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8" yWindow="-108" windowWidth="23256" windowHeight="14016" tabRatio="654" firstSheet="3" activeTab="7"/>
  </bookViews>
  <sheets>
    <sheet name="TRA_Cars" sheetId="1" r:id="rId1"/>
    <sheet name="TRA_Other" sheetId="7" r:id="rId2"/>
    <sheet name="TRA_Buses" sheetId="4" r:id="rId3"/>
    <sheet name="TRA_Trucks" sheetId="5" r:id="rId4"/>
    <sheet name="TRA_TT" sheetId="6" r:id="rId5"/>
    <sheet name="TRA_TAV" sheetId="8" r:id="rId6"/>
    <sheet name="TRA_TNA" sheetId="9" r:id="rId7"/>
    <sheet name="TRA_COMM_PRO" sheetId="12" r:id="rId8"/>
    <sheet name="CEFF" sheetId="11" r:id="rId9"/>
    <sheet name="INVCOST" sheetId="13" r:id="rId10"/>
    <sheet name="FIXOM_VAROM" sheetId="14" r:id="rId11"/>
    <sheet name="Comments" sheetId="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8" l="1"/>
  <c r="F6" i="8"/>
  <c r="F37" i="9"/>
  <c r="F34" i="9"/>
  <c r="F30" i="9"/>
  <c r="F19" i="9"/>
  <c r="F15" i="9"/>
  <c r="F6" i="9"/>
  <c r="D170" i="13" l="1"/>
  <c r="D169" i="13"/>
  <c r="Y22" i="9" l="1"/>
  <c r="C22" i="9"/>
  <c r="E9" i="13"/>
  <c r="F9" i="13" s="1"/>
  <c r="G9" i="13" s="1"/>
  <c r="H9" i="13" s="1"/>
  <c r="I9" i="13" s="1"/>
  <c r="J9" i="13" s="1"/>
  <c r="K9" i="13" s="1"/>
  <c r="E8" i="13"/>
  <c r="F8" i="13" s="1"/>
  <c r="G8" i="13" s="1"/>
  <c r="H8" i="13" s="1"/>
  <c r="I8" i="13" s="1"/>
  <c r="J8" i="13" s="1"/>
  <c r="K8" i="13" s="1"/>
  <c r="X15" i="8"/>
  <c r="X6" i="8"/>
  <c r="J149" i="11"/>
  <c r="I149" i="11"/>
  <c r="H149" i="11"/>
  <c r="G149" i="11"/>
  <c r="F149" i="11"/>
  <c r="J148" i="11"/>
  <c r="I148" i="11"/>
  <c r="H148" i="11"/>
  <c r="G148" i="11"/>
  <c r="F148" i="11"/>
  <c r="E149" i="11"/>
  <c r="E148" i="11"/>
  <c r="C149" i="11"/>
  <c r="C148" i="11"/>
  <c r="H19" i="9"/>
  <c r="H15" i="9"/>
  <c r="Y19" i="9"/>
  <c r="C19" i="9"/>
  <c r="T171" i="11" l="1"/>
  <c r="S171" i="11"/>
  <c r="R171" i="11"/>
  <c r="Q171" i="11"/>
  <c r="P171" i="11"/>
  <c r="T170" i="11"/>
  <c r="S170" i="11"/>
  <c r="R170" i="11"/>
  <c r="Q170" i="11"/>
  <c r="P170" i="11"/>
  <c r="T24" i="11"/>
  <c r="S24" i="11"/>
  <c r="R24" i="11"/>
  <c r="Q24" i="11"/>
  <c r="P24" i="11"/>
  <c r="T23" i="11"/>
  <c r="S23" i="11"/>
  <c r="R23" i="11"/>
  <c r="Q23" i="11"/>
  <c r="P23" i="11"/>
  <c r="T18" i="11"/>
  <c r="S18" i="11"/>
  <c r="R18" i="11"/>
  <c r="Q18" i="11"/>
  <c r="P18" i="11"/>
  <c r="F11" i="11"/>
  <c r="T177" i="11"/>
  <c r="S177" i="11"/>
  <c r="R177" i="11"/>
  <c r="Q177" i="11"/>
  <c r="P177" i="11"/>
  <c r="T176" i="11"/>
  <c r="S176" i="11"/>
  <c r="R176" i="11"/>
  <c r="Q176" i="11"/>
  <c r="P176" i="11"/>
  <c r="X45" i="13" l="1"/>
  <c r="W45" i="13"/>
  <c r="V45" i="13"/>
  <c r="U45" i="13"/>
  <c r="T45" i="13"/>
  <c r="S45" i="13"/>
  <c r="R45" i="13"/>
  <c r="Q45" i="13"/>
  <c r="X42" i="13" l="1"/>
  <c r="W42" i="13"/>
  <c r="V42" i="13"/>
  <c r="U42" i="13"/>
  <c r="T42" i="13"/>
  <c r="S42" i="13"/>
  <c r="R42" i="13"/>
  <c r="Q42" i="13"/>
  <c r="H51" i="4" l="1"/>
  <c r="H47" i="4"/>
  <c r="H44" i="4"/>
  <c r="H41" i="4"/>
  <c r="H37" i="4"/>
  <c r="H33" i="4"/>
  <c r="H30" i="4"/>
  <c r="H26" i="4"/>
  <c r="H22" i="4"/>
  <c r="H19" i="4"/>
  <c r="H16" i="4"/>
  <c r="H12" i="4"/>
  <c r="H9" i="4"/>
  <c r="H102" i="4"/>
  <c r="H98" i="4"/>
  <c r="H95" i="4"/>
  <c r="H92" i="4"/>
  <c r="H88" i="4"/>
  <c r="H84" i="4"/>
  <c r="H81" i="4"/>
  <c r="H77" i="4"/>
  <c r="H73" i="4"/>
  <c r="H70" i="4"/>
  <c r="H66" i="4"/>
  <c r="H63" i="4"/>
  <c r="R102" i="4"/>
  <c r="R98" i="4"/>
  <c r="R95" i="4"/>
  <c r="R92" i="4"/>
  <c r="R88" i="4"/>
  <c r="R84" i="4"/>
  <c r="R81" i="4"/>
  <c r="R77" i="4"/>
  <c r="R73" i="4"/>
  <c r="R70" i="4"/>
  <c r="R66" i="4"/>
  <c r="R63" i="4"/>
  <c r="R151" i="1"/>
  <c r="R147" i="1"/>
  <c r="R144" i="1"/>
  <c r="R140" i="1"/>
  <c r="R136" i="1"/>
  <c r="R132" i="1"/>
  <c r="R129" i="1"/>
  <c r="R125" i="1"/>
  <c r="R120" i="1"/>
  <c r="R116" i="1"/>
  <c r="R113" i="1"/>
  <c r="R100" i="1"/>
  <c r="R96" i="1"/>
  <c r="R93" i="1"/>
  <c r="R89" i="1"/>
  <c r="R85" i="1"/>
  <c r="R81" i="1"/>
  <c r="R78" i="1"/>
  <c r="R74" i="1"/>
  <c r="R69" i="1"/>
  <c r="R65" i="1"/>
  <c r="R62" i="1"/>
  <c r="R48" i="1"/>
  <c r="R44" i="1"/>
  <c r="R41" i="1"/>
  <c r="R37" i="1"/>
  <c r="R33" i="1"/>
  <c r="R29" i="1"/>
  <c r="R26" i="1"/>
  <c r="R22" i="1"/>
  <c r="R17" i="1"/>
  <c r="R13" i="1"/>
  <c r="R10" i="1"/>
  <c r="E171" i="13" l="1"/>
  <c r="F171" i="13" s="1"/>
  <c r="G171" i="13" s="1"/>
  <c r="H171" i="13" s="1"/>
  <c r="I171" i="13" s="1"/>
  <c r="J171" i="13" s="1"/>
  <c r="K171" i="13" s="1"/>
  <c r="Q56" i="7" l="1"/>
  <c r="P56" i="7"/>
  <c r="O56" i="7"/>
  <c r="N56" i="7"/>
  <c r="Q54" i="7"/>
  <c r="P54" i="7"/>
  <c r="O54" i="7"/>
  <c r="N54" i="7"/>
  <c r="M56" i="7"/>
  <c r="M54" i="7"/>
  <c r="Q52" i="7"/>
  <c r="P52" i="7"/>
  <c r="O52" i="7"/>
  <c r="N52" i="7"/>
  <c r="M52" i="7"/>
  <c r="Q51" i="7"/>
  <c r="P51" i="7"/>
  <c r="O51" i="7"/>
  <c r="N51" i="7"/>
  <c r="M51" i="7"/>
  <c r="Q49" i="7"/>
  <c r="P49" i="7"/>
  <c r="O49" i="7"/>
  <c r="N49" i="7"/>
  <c r="M49" i="7"/>
  <c r="Q48" i="7"/>
  <c r="P48" i="7"/>
  <c r="O48" i="7"/>
  <c r="N48" i="7"/>
  <c r="M48" i="7"/>
  <c r="Q29" i="7"/>
  <c r="P29" i="7"/>
  <c r="O29" i="7"/>
  <c r="N29" i="7"/>
  <c r="Q28" i="7"/>
  <c r="P28" i="7"/>
  <c r="O28" i="7"/>
  <c r="N28" i="7"/>
  <c r="M29" i="7"/>
  <c r="M28" i="7"/>
  <c r="Q26" i="7"/>
  <c r="P26" i="7"/>
  <c r="O26" i="7"/>
  <c r="N26" i="7"/>
  <c r="Q25" i="7"/>
  <c r="P25" i="7"/>
  <c r="O25" i="7"/>
  <c r="N25" i="7"/>
  <c r="M26" i="7"/>
  <c r="M25" i="7"/>
  <c r="F314" i="11" l="1"/>
  <c r="G314" i="11"/>
  <c r="H314" i="11"/>
  <c r="I314" i="11"/>
  <c r="J314" i="11"/>
  <c r="J313" i="11"/>
  <c r="I313" i="11"/>
  <c r="H313" i="11"/>
  <c r="G313" i="11"/>
  <c r="F313" i="11"/>
  <c r="J312" i="11"/>
  <c r="I312" i="11"/>
  <c r="H312" i="11"/>
  <c r="G312" i="11"/>
  <c r="F312" i="11"/>
  <c r="J311" i="11"/>
  <c r="I311" i="11"/>
  <c r="H311" i="11"/>
  <c r="G311" i="11"/>
  <c r="F311" i="11"/>
  <c r="J316" i="11" l="1"/>
  <c r="I316" i="11"/>
  <c r="H316" i="11"/>
  <c r="G316" i="11"/>
  <c r="F316" i="11"/>
  <c r="J315" i="11"/>
  <c r="I315" i="11"/>
  <c r="H315" i="11"/>
  <c r="G315" i="11"/>
  <c r="F315" i="11"/>
  <c r="J310" i="11"/>
  <c r="I310" i="11"/>
  <c r="H310" i="11"/>
  <c r="G310" i="11"/>
  <c r="F310" i="11"/>
  <c r="J309" i="11"/>
  <c r="I309" i="11"/>
  <c r="H309" i="11"/>
  <c r="G309" i="11"/>
  <c r="F309" i="11"/>
  <c r="J308" i="11"/>
  <c r="I308" i="11"/>
  <c r="H308" i="11"/>
  <c r="G308" i="11"/>
  <c r="F308" i="11"/>
  <c r="J307" i="11"/>
  <c r="I307" i="11"/>
  <c r="H307" i="11"/>
  <c r="G307" i="11"/>
  <c r="F307" i="11"/>
  <c r="J302" i="11"/>
  <c r="I302" i="11"/>
  <c r="H302" i="11"/>
  <c r="G302" i="11"/>
  <c r="F302" i="11"/>
  <c r="J301" i="11"/>
  <c r="I301" i="11"/>
  <c r="H301" i="11"/>
  <c r="G301" i="11"/>
  <c r="F301" i="11"/>
  <c r="J300" i="11"/>
  <c r="I300" i="11"/>
  <c r="H300" i="11"/>
  <c r="G300" i="11"/>
  <c r="F300" i="11"/>
  <c r="J299" i="11"/>
  <c r="I299" i="11"/>
  <c r="H299" i="11"/>
  <c r="G299" i="11"/>
  <c r="F299" i="11"/>
  <c r="J298" i="11"/>
  <c r="I298" i="11"/>
  <c r="H298" i="11"/>
  <c r="G298" i="11"/>
  <c r="F298" i="11"/>
  <c r="J297" i="11"/>
  <c r="I297" i="11"/>
  <c r="H297" i="11"/>
  <c r="G297" i="11"/>
  <c r="F297" i="11"/>
  <c r="J296" i="11"/>
  <c r="I296" i="11"/>
  <c r="H296" i="11"/>
  <c r="G296" i="11"/>
  <c r="F296" i="11"/>
  <c r="J295" i="11"/>
  <c r="I295" i="11"/>
  <c r="H295" i="11"/>
  <c r="G295" i="11"/>
  <c r="F295" i="11"/>
  <c r="J294" i="11"/>
  <c r="I294" i="11"/>
  <c r="H294" i="11"/>
  <c r="G294" i="11"/>
  <c r="F294" i="11"/>
  <c r="J293" i="11"/>
  <c r="I293" i="11"/>
  <c r="H293" i="11"/>
  <c r="G293" i="11"/>
  <c r="F293" i="11"/>
  <c r="J292" i="11"/>
  <c r="I292" i="11"/>
  <c r="H292" i="11"/>
  <c r="G292" i="11"/>
  <c r="F292" i="11"/>
  <c r="J291" i="11"/>
  <c r="I291" i="11"/>
  <c r="H291" i="11"/>
  <c r="G291" i="11"/>
  <c r="F291" i="11"/>
  <c r="J290" i="11"/>
  <c r="I290" i="11"/>
  <c r="H290" i="11"/>
  <c r="G290" i="11"/>
  <c r="F290" i="11"/>
  <c r="J289" i="11"/>
  <c r="I289" i="11"/>
  <c r="H289" i="11"/>
  <c r="G289" i="11"/>
  <c r="F289" i="11"/>
  <c r="J288" i="11"/>
  <c r="I288" i="11"/>
  <c r="H288" i="11"/>
  <c r="G288" i="11"/>
  <c r="F288" i="11"/>
  <c r="J287" i="11"/>
  <c r="I287" i="11"/>
  <c r="H287" i="11"/>
  <c r="G287" i="11"/>
  <c r="F287" i="11"/>
  <c r="J286" i="11"/>
  <c r="I286" i="11"/>
  <c r="H286" i="11"/>
  <c r="G286" i="11"/>
  <c r="F286" i="11"/>
  <c r="J285" i="11"/>
  <c r="I285" i="11"/>
  <c r="H285" i="11"/>
  <c r="G285" i="11"/>
  <c r="F285" i="11"/>
  <c r="J284" i="11"/>
  <c r="I284" i="11"/>
  <c r="H284" i="11"/>
  <c r="G284" i="11"/>
  <c r="F284" i="11"/>
  <c r="J283" i="11"/>
  <c r="I283" i="11"/>
  <c r="H283" i="11"/>
  <c r="G283" i="11"/>
  <c r="F283" i="11"/>
  <c r="J280" i="11"/>
  <c r="I280" i="11"/>
  <c r="H280" i="11"/>
  <c r="G280" i="11"/>
  <c r="F280" i="11"/>
  <c r="J279" i="11"/>
  <c r="I279" i="11"/>
  <c r="H279" i="11"/>
  <c r="G279" i="11"/>
  <c r="F279" i="11"/>
  <c r="J278" i="11"/>
  <c r="I278" i="11"/>
  <c r="H278" i="11"/>
  <c r="G278" i="11"/>
  <c r="F278" i="11"/>
  <c r="J277" i="11"/>
  <c r="I277" i="11"/>
  <c r="H277" i="11"/>
  <c r="G277" i="11"/>
  <c r="F277" i="11"/>
  <c r="J276" i="11"/>
  <c r="I276" i="11"/>
  <c r="H276" i="11"/>
  <c r="G276" i="11"/>
  <c r="F276" i="11"/>
  <c r="J275" i="11"/>
  <c r="I275" i="11"/>
  <c r="H275" i="11"/>
  <c r="G275" i="11"/>
  <c r="F275" i="11"/>
  <c r="J274" i="11"/>
  <c r="I274" i="11"/>
  <c r="H274" i="11"/>
  <c r="G274" i="11"/>
  <c r="F274" i="11"/>
  <c r="J273" i="11"/>
  <c r="I273" i="11"/>
  <c r="H273" i="11"/>
  <c r="G273" i="11"/>
  <c r="F273" i="11"/>
  <c r="J272" i="11"/>
  <c r="I272" i="11"/>
  <c r="H272" i="11"/>
  <c r="G272" i="11"/>
  <c r="F272" i="11"/>
  <c r="J271" i="11"/>
  <c r="I271" i="11"/>
  <c r="H271" i="11"/>
  <c r="G271" i="11"/>
  <c r="F271" i="11"/>
  <c r="J270" i="11"/>
  <c r="I270" i="11"/>
  <c r="H270" i="11"/>
  <c r="G270" i="11"/>
  <c r="F270" i="11"/>
  <c r="J269" i="11"/>
  <c r="I269" i="11"/>
  <c r="H269" i="11"/>
  <c r="G269" i="11"/>
  <c r="F269" i="11"/>
  <c r="J268" i="11"/>
  <c r="I268" i="11"/>
  <c r="H268" i="11"/>
  <c r="G268" i="11"/>
  <c r="F268" i="11"/>
  <c r="J267" i="11"/>
  <c r="I267" i="11"/>
  <c r="H267" i="11"/>
  <c r="G267" i="11"/>
  <c r="F267" i="11"/>
  <c r="J266" i="11"/>
  <c r="I266" i="11"/>
  <c r="H266" i="11"/>
  <c r="G266" i="11"/>
  <c r="F266" i="11"/>
  <c r="J265" i="11"/>
  <c r="I265" i="11"/>
  <c r="H265" i="11"/>
  <c r="G265" i="11"/>
  <c r="F265" i="11"/>
  <c r="J264" i="11"/>
  <c r="I264" i="11"/>
  <c r="H264" i="11"/>
  <c r="G264" i="11"/>
  <c r="F264" i="11"/>
  <c r="J263" i="11"/>
  <c r="I263" i="11"/>
  <c r="H263" i="11"/>
  <c r="G263" i="11"/>
  <c r="F263" i="11"/>
  <c r="J262" i="11"/>
  <c r="I262" i="11"/>
  <c r="H262" i="11"/>
  <c r="G262" i="11"/>
  <c r="F262" i="11"/>
  <c r="J261" i="11"/>
  <c r="I261" i="11"/>
  <c r="H261" i="11"/>
  <c r="G261" i="11"/>
  <c r="F261" i="11"/>
  <c r="J260" i="11"/>
  <c r="I260" i="11"/>
  <c r="H260" i="11"/>
  <c r="G260" i="11"/>
  <c r="F260" i="11"/>
  <c r="J259" i="11"/>
  <c r="I259" i="11"/>
  <c r="H259" i="11"/>
  <c r="G259" i="11"/>
  <c r="F259" i="11"/>
  <c r="J258" i="11"/>
  <c r="I258" i="11"/>
  <c r="H258" i="11"/>
  <c r="G258" i="11"/>
  <c r="F258" i="11"/>
  <c r="J257" i="11"/>
  <c r="I257" i="11"/>
  <c r="H257" i="11"/>
  <c r="G257" i="11"/>
  <c r="F257" i="11"/>
  <c r="J256" i="11"/>
  <c r="I256" i="11"/>
  <c r="H256" i="11"/>
  <c r="G256" i="11"/>
  <c r="F256" i="11"/>
  <c r="J255" i="11"/>
  <c r="I255" i="11"/>
  <c r="H255" i="11"/>
  <c r="G255" i="11"/>
  <c r="F255" i="11"/>
  <c r="J252" i="11"/>
  <c r="I252" i="11"/>
  <c r="H252" i="11"/>
  <c r="G252" i="11"/>
  <c r="F252" i="11"/>
  <c r="J251" i="11"/>
  <c r="I251" i="11"/>
  <c r="H251" i="11"/>
  <c r="G251" i="11"/>
  <c r="F251" i="11"/>
  <c r="J250" i="11"/>
  <c r="I250" i="11"/>
  <c r="H250" i="11"/>
  <c r="G250" i="11"/>
  <c r="F250" i="11"/>
  <c r="J249" i="11"/>
  <c r="I249" i="11"/>
  <c r="H249" i="11"/>
  <c r="G249" i="11"/>
  <c r="F249" i="11"/>
  <c r="J248" i="11"/>
  <c r="I248" i="11"/>
  <c r="H248" i="11"/>
  <c r="G248" i="11"/>
  <c r="F248" i="11"/>
  <c r="J247" i="11"/>
  <c r="I247" i="11"/>
  <c r="H247" i="11"/>
  <c r="G247" i="11"/>
  <c r="F247" i="11"/>
  <c r="J246" i="11"/>
  <c r="I246" i="11"/>
  <c r="H246" i="11"/>
  <c r="G246" i="11"/>
  <c r="F246" i="11"/>
  <c r="J245" i="11"/>
  <c r="I245" i="11"/>
  <c r="H245" i="11"/>
  <c r="G245" i="11"/>
  <c r="F245" i="11"/>
  <c r="J244" i="11"/>
  <c r="I244" i="11"/>
  <c r="H244" i="11"/>
  <c r="G244" i="11"/>
  <c r="F244" i="11"/>
  <c r="J243" i="11"/>
  <c r="I243" i="11"/>
  <c r="H243" i="11"/>
  <c r="G243" i="11"/>
  <c r="F243" i="11"/>
  <c r="J242" i="11"/>
  <c r="I242" i="11"/>
  <c r="H242" i="11"/>
  <c r="G242" i="11"/>
  <c r="F242" i="11"/>
  <c r="J241" i="11"/>
  <c r="I241" i="11"/>
  <c r="H241" i="11"/>
  <c r="G241" i="11"/>
  <c r="F241" i="11"/>
  <c r="J240" i="11"/>
  <c r="I240" i="11"/>
  <c r="H240" i="11"/>
  <c r="G240" i="11"/>
  <c r="F240" i="11"/>
  <c r="J239" i="11"/>
  <c r="I239" i="11"/>
  <c r="H239" i="11"/>
  <c r="G239" i="11"/>
  <c r="F239" i="11"/>
  <c r="J238" i="11"/>
  <c r="I238" i="11"/>
  <c r="H238" i="11"/>
  <c r="G238" i="11"/>
  <c r="F238" i="11"/>
  <c r="J237" i="11"/>
  <c r="I237" i="11"/>
  <c r="H237" i="11"/>
  <c r="G237" i="11"/>
  <c r="F237" i="11"/>
  <c r="J236" i="11"/>
  <c r="I236" i="11"/>
  <c r="H236" i="11"/>
  <c r="G236" i="11"/>
  <c r="F236" i="11"/>
  <c r="J235" i="11"/>
  <c r="I235" i="11"/>
  <c r="H235" i="11"/>
  <c r="G235" i="11"/>
  <c r="F235" i="11"/>
  <c r="J234" i="11"/>
  <c r="I234" i="11"/>
  <c r="H234" i="11"/>
  <c r="G234" i="11"/>
  <c r="F234" i="11"/>
  <c r="J233" i="11"/>
  <c r="I233" i="11"/>
  <c r="H233" i="11"/>
  <c r="G233" i="11"/>
  <c r="F233" i="11"/>
  <c r="J232" i="11"/>
  <c r="I232" i="11"/>
  <c r="H232" i="11"/>
  <c r="G232" i="11"/>
  <c r="F232" i="11"/>
  <c r="J231" i="11"/>
  <c r="I231" i="11"/>
  <c r="H231" i="11"/>
  <c r="G231" i="11"/>
  <c r="F231" i="11"/>
  <c r="J230" i="11"/>
  <c r="I230" i="11"/>
  <c r="H230" i="11"/>
  <c r="G230" i="11"/>
  <c r="F230" i="11"/>
  <c r="J229" i="11"/>
  <c r="I229" i="11"/>
  <c r="H229" i="11"/>
  <c r="G229" i="11"/>
  <c r="F229" i="11"/>
  <c r="J228" i="11"/>
  <c r="I228" i="11"/>
  <c r="H228" i="11"/>
  <c r="G228" i="11"/>
  <c r="F228" i="11"/>
  <c r="J227" i="11"/>
  <c r="I227" i="11"/>
  <c r="H227" i="11"/>
  <c r="G227" i="11"/>
  <c r="F227" i="11"/>
  <c r="J226" i="11"/>
  <c r="I226" i="11"/>
  <c r="H226" i="11"/>
  <c r="G226" i="11"/>
  <c r="F226" i="11"/>
  <c r="J225" i="11"/>
  <c r="I225" i="11"/>
  <c r="H225" i="11"/>
  <c r="G225" i="11"/>
  <c r="F225" i="11"/>
  <c r="J224" i="11"/>
  <c r="I224" i="11"/>
  <c r="H224" i="11"/>
  <c r="G224" i="11"/>
  <c r="F224" i="11"/>
  <c r="J223" i="11"/>
  <c r="I223" i="11"/>
  <c r="H223" i="11"/>
  <c r="G223" i="11"/>
  <c r="F223" i="11"/>
  <c r="J222" i="11"/>
  <c r="I222" i="11"/>
  <c r="H222" i="11"/>
  <c r="G222" i="11"/>
  <c r="F222" i="11"/>
  <c r="J221" i="11"/>
  <c r="I221" i="11"/>
  <c r="H221" i="11"/>
  <c r="G221" i="11"/>
  <c r="F221" i="11"/>
  <c r="J220" i="11"/>
  <c r="I220" i="11"/>
  <c r="H220" i="11"/>
  <c r="G220" i="11"/>
  <c r="F220" i="11"/>
  <c r="J219" i="11"/>
  <c r="I219" i="11"/>
  <c r="H219" i="11"/>
  <c r="G219" i="11"/>
  <c r="F219" i="11"/>
  <c r="J218" i="11"/>
  <c r="I218" i="11"/>
  <c r="H218" i="11"/>
  <c r="G218" i="11"/>
  <c r="F218" i="11"/>
  <c r="J217" i="11"/>
  <c r="I217" i="11"/>
  <c r="H217" i="11"/>
  <c r="G217" i="11"/>
  <c r="F217" i="11"/>
  <c r="J216" i="11"/>
  <c r="I216" i="11"/>
  <c r="H216" i="11"/>
  <c r="G216" i="11"/>
  <c r="F216" i="11"/>
  <c r="J215" i="11"/>
  <c r="I215" i="11"/>
  <c r="H215" i="11"/>
  <c r="G215" i="11"/>
  <c r="F215" i="11"/>
  <c r="J214" i="11"/>
  <c r="I214" i="11"/>
  <c r="H214" i="11"/>
  <c r="G214" i="11"/>
  <c r="F214" i="11"/>
  <c r="J213" i="11"/>
  <c r="I213" i="11"/>
  <c r="H213" i="11"/>
  <c r="G213" i="11"/>
  <c r="F213" i="11"/>
  <c r="J212" i="11"/>
  <c r="I212" i="11"/>
  <c r="H212" i="11"/>
  <c r="G212" i="11"/>
  <c r="F212" i="11"/>
  <c r="J211" i="11"/>
  <c r="I211" i="11"/>
  <c r="H211" i="11"/>
  <c r="G211" i="11"/>
  <c r="F211" i="11"/>
  <c r="J210" i="11"/>
  <c r="I210" i="11"/>
  <c r="H210" i="11"/>
  <c r="G210" i="11"/>
  <c r="F210" i="11"/>
  <c r="J209" i="11"/>
  <c r="I209" i="11"/>
  <c r="H209" i="11"/>
  <c r="G209" i="11"/>
  <c r="F209" i="11"/>
  <c r="J208" i="11"/>
  <c r="I208" i="11"/>
  <c r="H208" i="11"/>
  <c r="G208" i="11"/>
  <c r="F208" i="11"/>
  <c r="J207" i="11"/>
  <c r="I207" i="11"/>
  <c r="H207" i="11"/>
  <c r="G207" i="11"/>
  <c r="F207" i="11"/>
  <c r="J206" i="11"/>
  <c r="I206" i="11"/>
  <c r="H206" i="11"/>
  <c r="G206" i="11"/>
  <c r="F206" i="11"/>
  <c r="J205" i="11"/>
  <c r="I205" i="11"/>
  <c r="H205" i="11"/>
  <c r="G205" i="11"/>
  <c r="F205" i="11"/>
  <c r="J204" i="11"/>
  <c r="I204" i="11"/>
  <c r="H204" i="11"/>
  <c r="G204" i="11"/>
  <c r="F204" i="11"/>
  <c r="J203" i="11"/>
  <c r="I203" i="11"/>
  <c r="H203" i="11"/>
  <c r="G203" i="11"/>
  <c r="F203" i="11"/>
  <c r="J202" i="11"/>
  <c r="I202" i="11"/>
  <c r="H202" i="11"/>
  <c r="G202" i="11"/>
  <c r="F202" i="11"/>
  <c r="J201" i="11"/>
  <c r="I201" i="11"/>
  <c r="H201" i="11"/>
  <c r="G201" i="11"/>
  <c r="F201" i="11"/>
  <c r="J200" i="11"/>
  <c r="I200" i="11"/>
  <c r="H200" i="11"/>
  <c r="G200" i="11"/>
  <c r="F200" i="11"/>
  <c r="J199" i="11"/>
  <c r="I199" i="11"/>
  <c r="H199" i="11"/>
  <c r="G199" i="11"/>
  <c r="F199" i="11"/>
  <c r="J198" i="11"/>
  <c r="I198" i="11"/>
  <c r="H198" i="11"/>
  <c r="G198" i="11"/>
  <c r="F198" i="11"/>
  <c r="J197" i="11"/>
  <c r="I197" i="11"/>
  <c r="H197" i="11"/>
  <c r="G197" i="11"/>
  <c r="F197" i="11"/>
  <c r="J196" i="11"/>
  <c r="I196" i="11"/>
  <c r="H196" i="11"/>
  <c r="G196" i="11"/>
  <c r="F196" i="11"/>
  <c r="J195" i="11"/>
  <c r="I195" i="11"/>
  <c r="H195" i="11"/>
  <c r="G195" i="11"/>
  <c r="F195" i="11"/>
  <c r="J194" i="11"/>
  <c r="I194" i="11"/>
  <c r="H194" i="11"/>
  <c r="G194" i="11"/>
  <c r="F194" i="11"/>
  <c r="J193" i="11"/>
  <c r="I193" i="11"/>
  <c r="H193" i="11"/>
  <c r="G193" i="11"/>
  <c r="F193" i="11"/>
  <c r="J192" i="11"/>
  <c r="I192" i="11"/>
  <c r="H192" i="11"/>
  <c r="G192" i="11"/>
  <c r="F192" i="11"/>
  <c r="J191" i="11"/>
  <c r="I191" i="11"/>
  <c r="H191" i="11"/>
  <c r="G191" i="11"/>
  <c r="F191" i="11"/>
  <c r="J190" i="11"/>
  <c r="I190" i="11"/>
  <c r="H190" i="11"/>
  <c r="G190" i="11"/>
  <c r="F190" i="11"/>
  <c r="J189" i="11"/>
  <c r="I189" i="11"/>
  <c r="H189" i="11"/>
  <c r="G189" i="11"/>
  <c r="F189" i="11"/>
  <c r="J188" i="11"/>
  <c r="I188" i="11"/>
  <c r="H188" i="11"/>
  <c r="G188" i="11"/>
  <c r="F188" i="11"/>
  <c r="J187" i="11"/>
  <c r="I187" i="11"/>
  <c r="H187" i="11"/>
  <c r="G187" i="11"/>
  <c r="F187" i="11"/>
  <c r="J186" i="11"/>
  <c r="I186" i="11"/>
  <c r="H186" i="11"/>
  <c r="G186" i="11"/>
  <c r="F186" i="11"/>
  <c r="J185" i="11"/>
  <c r="I185" i="11"/>
  <c r="H185" i="11"/>
  <c r="G185" i="11"/>
  <c r="F185" i="11"/>
  <c r="J184" i="11"/>
  <c r="I184" i="11"/>
  <c r="H184" i="11"/>
  <c r="G184" i="11"/>
  <c r="F184" i="11"/>
  <c r="J183" i="11"/>
  <c r="I183" i="11"/>
  <c r="H183" i="11"/>
  <c r="G183" i="11"/>
  <c r="F183" i="11"/>
  <c r="J182" i="11"/>
  <c r="I182" i="11"/>
  <c r="H182" i="11"/>
  <c r="G182" i="11"/>
  <c r="F182" i="11"/>
  <c r="J181" i="11"/>
  <c r="I181" i="11"/>
  <c r="H181" i="11"/>
  <c r="G181" i="11"/>
  <c r="F181" i="11"/>
  <c r="J180" i="11"/>
  <c r="I180" i="11"/>
  <c r="H180" i="11"/>
  <c r="G180" i="11"/>
  <c r="F180" i="11"/>
  <c r="J179" i="11"/>
  <c r="I179" i="11"/>
  <c r="H179" i="11"/>
  <c r="G179" i="11"/>
  <c r="F179" i="11"/>
  <c r="J178" i="11"/>
  <c r="I178" i="11"/>
  <c r="H178" i="11"/>
  <c r="G178" i="11"/>
  <c r="F178" i="11"/>
  <c r="J175" i="11"/>
  <c r="I175" i="11"/>
  <c r="H175" i="11"/>
  <c r="G175" i="11"/>
  <c r="F175" i="11"/>
  <c r="J174" i="11"/>
  <c r="I174" i="11"/>
  <c r="H174" i="11"/>
  <c r="G174" i="11"/>
  <c r="F174" i="11"/>
  <c r="J173" i="11"/>
  <c r="I173" i="11"/>
  <c r="H173" i="11"/>
  <c r="G173" i="11"/>
  <c r="F173" i="11"/>
  <c r="J171" i="11"/>
  <c r="I171" i="11"/>
  <c r="H171" i="11"/>
  <c r="G171" i="11"/>
  <c r="F171" i="11"/>
  <c r="J170" i="11"/>
  <c r="I170" i="11"/>
  <c r="H170" i="11"/>
  <c r="G170" i="11"/>
  <c r="F170" i="11"/>
  <c r="J169" i="11"/>
  <c r="I169" i="11"/>
  <c r="H169" i="11"/>
  <c r="G169" i="11"/>
  <c r="F169" i="11"/>
  <c r="J168" i="11"/>
  <c r="I168" i="11"/>
  <c r="H168" i="11"/>
  <c r="G168" i="11"/>
  <c r="F168" i="11"/>
  <c r="J165" i="11"/>
  <c r="I165" i="11"/>
  <c r="H165" i="11"/>
  <c r="G165" i="11"/>
  <c r="F165" i="11"/>
  <c r="J164" i="11"/>
  <c r="I164" i="11"/>
  <c r="H164" i="11"/>
  <c r="G164" i="11"/>
  <c r="F164" i="11"/>
  <c r="J163" i="11"/>
  <c r="I163" i="11"/>
  <c r="H163" i="11"/>
  <c r="G163" i="11"/>
  <c r="F163" i="11"/>
  <c r="J156" i="11"/>
  <c r="I156" i="11"/>
  <c r="H156" i="11"/>
  <c r="G156" i="11"/>
  <c r="F156" i="11"/>
  <c r="J155" i="11"/>
  <c r="I155" i="11"/>
  <c r="H155" i="11"/>
  <c r="G155" i="11"/>
  <c r="F155" i="11"/>
  <c r="J154" i="11"/>
  <c r="I154" i="11"/>
  <c r="H154" i="11"/>
  <c r="G154" i="11"/>
  <c r="F154" i="11"/>
  <c r="J153" i="11"/>
  <c r="I153" i="11"/>
  <c r="H153" i="11"/>
  <c r="G153" i="11"/>
  <c r="F153" i="11"/>
  <c r="J152" i="11"/>
  <c r="I152" i="11"/>
  <c r="H152" i="11"/>
  <c r="G152" i="11"/>
  <c r="F152" i="11"/>
  <c r="J151" i="11"/>
  <c r="I151" i="11"/>
  <c r="H151" i="11"/>
  <c r="G151" i="11"/>
  <c r="F151" i="11"/>
  <c r="J150" i="11"/>
  <c r="I150" i="11"/>
  <c r="H150" i="11"/>
  <c r="G150" i="11"/>
  <c r="F150" i="11"/>
  <c r="J147" i="11"/>
  <c r="I147" i="11"/>
  <c r="H147" i="11"/>
  <c r="G147" i="11"/>
  <c r="F147" i="11"/>
  <c r="J146" i="11"/>
  <c r="I146" i="11"/>
  <c r="H146" i="11"/>
  <c r="G146" i="11"/>
  <c r="F146" i="11"/>
  <c r="J145" i="11"/>
  <c r="I145" i="11"/>
  <c r="H145" i="11"/>
  <c r="G145" i="11"/>
  <c r="F145" i="11"/>
  <c r="J144" i="11"/>
  <c r="I144" i="11"/>
  <c r="H144" i="11"/>
  <c r="G144" i="11"/>
  <c r="F144" i="11"/>
  <c r="J143" i="11"/>
  <c r="I143" i="11"/>
  <c r="H143" i="11"/>
  <c r="G143" i="11"/>
  <c r="F143" i="11"/>
  <c r="J142" i="11"/>
  <c r="I142" i="11"/>
  <c r="H142" i="11"/>
  <c r="G142" i="11"/>
  <c r="F142" i="11"/>
  <c r="J141" i="11"/>
  <c r="I141" i="11"/>
  <c r="H141" i="11"/>
  <c r="G141" i="11"/>
  <c r="F141" i="11"/>
  <c r="J140" i="11"/>
  <c r="I140" i="11"/>
  <c r="H140" i="11"/>
  <c r="G140" i="11"/>
  <c r="F140" i="11"/>
  <c r="J139" i="11"/>
  <c r="I139" i="11"/>
  <c r="H139" i="11"/>
  <c r="G139" i="11"/>
  <c r="F139" i="11"/>
  <c r="J138" i="11"/>
  <c r="I138" i="11"/>
  <c r="H138" i="11"/>
  <c r="G138" i="11"/>
  <c r="F138" i="11"/>
  <c r="J137" i="11"/>
  <c r="I137" i="11"/>
  <c r="H137" i="11"/>
  <c r="G137" i="11"/>
  <c r="F137" i="11"/>
  <c r="J136" i="11"/>
  <c r="I136" i="11"/>
  <c r="H136" i="11"/>
  <c r="G136" i="11"/>
  <c r="F136" i="11"/>
  <c r="J135" i="11"/>
  <c r="I135" i="11"/>
  <c r="H135" i="11"/>
  <c r="G135" i="11"/>
  <c r="F135" i="11"/>
  <c r="J134" i="11"/>
  <c r="I134" i="11"/>
  <c r="H134" i="11"/>
  <c r="G134" i="11"/>
  <c r="F134" i="11"/>
  <c r="J133" i="11"/>
  <c r="I133" i="11"/>
  <c r="H133" i="11"/>
  <c r="G133" i="11"/>
  <c r="F133" i="11"/>
  <c r="J132" i="11"/>
  <c r="I132" i="11"/>
  <c r="H132" i="11"/>
  <c r="G132" i="11"/>
  <c r="F132" i="11"/>
  <c r="J131" i="11"/>
  <c r="I131" i="11"/>
  <c r="H131" i="11"/>
  <c r="G131" i="11"/>
  <c r="F131" i="11"/>
  <c r="J130" i="11"/>
  <c r="I130" i="11"/>
  <c r="H130" i="11"/>
  <c r="G130" i="11"/>
  <c r="F130" i="11"/>
  <c r="J129" i="11"/>
  <c r="I129" i="11"/>
  <c r="H129" i="11"/>
  <c r="G129" i="11"/>
  <c r="F129" i="11"/>
  <c r="J128" i="11"/>
  <c r="I128" i="11"/>
  <c r="H128" i="11"/>
  <c r="G128" i="11"/>
  <c r="F128" i="11"/>
  <c r="J125" i="11"/>
  <c r="I125" i="11"/>
  <c r="H125" i="11"/>
  <c r="G125" i="11"/>
  <c r="F125" i="11"/>
  <c r="J124" i="11"/>
  <c r="I124" i="11"/>
  <c r="H124" i="11"/>
  <c r="G124" i="11"/>
  <c r="F124" i="11"/>
  <c r="J123" i="11"/>
  <c r="I123" i="11"/>
  <c r="H123" i="11"/>
  <c r="G123" i="11"/>
  <c r="F123" i="11"/>
  <c r="J122" i="11"/>
  <c r="I122" i="11"/>
  <c r="H122" i="11"/>
  <c r="G122" i="11"/>
  <c r="F122" i="11"/>
  <c r="J121" i="11"/>
  <c r="I121" i="11"/>
  <c r="H121" i="11"/>
  <c r="G121" i="11"/>
  <c r="F121" i="11"/>
  <c r="J120" i="11"/>
  <c r="I120" i="11"/>
  <c r="H120" i="11"/>
  <c r="G120" i="11"/>
  <c r="F120" i="11"/>
  <c r="J99" i="11"/>
  <c r="I99" i="11"/>
  <c r="H99" i="11"/>
  <c r="G99" i="11"/>
  <c r="F99" i="11"/>
  <c r="J98" i="11"/>
  <c r="I98" i="11"/>
  <c r="H98" i="11"/>
  <c r="G98" i="11"/>
  <c r="F98" i="11"/>
  <c r="J91" i="11"/>
  <c r="I91" i="11"/>
  <c r="H91" i="11"/>
  <c r="G91" i="11"/>
  <c r="F91" i="11"/>
  <c r="J90" i="11"/>
  <c r="I90" i="11"/>
  <c r="H90" i="11"/>
  <c r="G90" i="11"/>
  <c r="F90" i="11"/>
  <c r="J89" i="11"/>
  <c r="I89" i="11"/>
  <c r="H89" i="11"/>
  <c r="G89" i="11"/>
  <c r="F89" i="11"/>
  <c r="J88" i="11"/>
  <c r="I88" i="11"/>
  <c r="H88" i="11"/>
  <c r="G88" i="11"/>
  <c r="F88" i="11"/>
  <c r="J87" i="11"/>
  <c r="I87" i="11"/>
  <c r="H87" i="11"/>
  <c r="G87" i="11"/>
  <c r="F87" i="11"/>
  <c r="J86" i="11"/>
  <c r="I86" i="11"/>
  <c r="H86" i="11"/>
  <c r="G86" i="11"/>
  <c r="F86" i="11"/>
  <c r="J85" i="11"/>
  <c r="I85" i="11"/>
  <c r="H85" i="11"/>
  <c r="G85" i="11"/>
  <c r="F85" i="11"/>
  <c r="J84" i="11"/>
  <c r="I84" i="11"/>
  <c r="H84" i="11"/>
  <c r="G84" i="11"/>
  <c r="F84" i="11"/>
  <c r="J83" i="11"/>
  <c r="I83" i="11"/>
  <c r="H83" i="11"/>
  <c r="G83" i="11"/>
  <c r="F83" i="11"/>
  <c r="J82" i="11"/>
  <c r="I82" i="11"/>
  <c r="H82" i="11"/>
  <c r="G82" i="11"/>
  <c r="F82" i="11"/>
  <c r="J81" i="11"/>
  <c r="I81" i="11"/>
  <c r="H81" i="11"/>
  <c r="G81" i="11"/>
  <c r="F81" i="11"/>
  <c r="J80" i="11"/>
  <c r="I80" i="11"/>
  <c r="H80" i="11"/>
  <c r="G80" i="11"/>
  <c r="F80" i="11"/>
  <c r="J79" i="11"/>
  <c r="I79" i="11"/>
  <c r="H79" i="11"/>
  <c r="G79" i="11"/>
  <c r="F79" i="11"/>
  <c r="J78" i="11"/>
  <c r="I78" i="11"/>
  <c r="H78" i="11"/>
  <c r="G78" i="11"/>
  <c r="F78" i="11"/>
  <c r="J77" i="11"/>
  <c r="I77" i="11"/>
  <c r="H77" i="11"/>
  <c r="G77" i="11"/>
  <c r="F77" i="11"/>
  <c r="J76" i="11"/>
  <c r="I76" i="11"/>
  <c r="H76" i="11"/>
  <c r="G76" i="11"/>
  <c r="F76" i="11"/>
  <c r="J75" i="11"/>
  <c r="I75" i="11"/>
  <c r="H75" i="11"/>
  <c r="G75" i="11"/>
  <c r="F75" i="11"/>
  <c r="J74" i="11"/>
  <c r="I74" i="11"/>
  <c r="H74" i="11"/>
  <c r="G74" i="11"/>
  <c r="F74" i="11"/>
  <c r="J73" i="11"/>
  <c r="I73" i="11"/>
  <c r="H73" i="11"/>
  <c r="G73" i="11"/>
  <c r="F73" i="11"/>
  <c r="J72" i="11"/>
  <c r="I72" i="11"/>
  <c r="H72" i="11"/>
  <c r="G72" i="11"/>
  <c r="F72" i="11"/>
  <c r="J71" i="11"/>
  <c r="I71" i="11"/>
  <c r="H71" i="11"/>
  <c r="G71" i="11"/>
  <c r="F71" i="11"/>
  <c r="J70" i="11"/>
  <c r="I70" i="11"/>
  <c r="H70" i="11"/>
  <c r="G70" i="11"/>
  <c r="F70" i="11"/>
  <c r="J69" i="11"/>
  <c r="I69" i="11"/>
  <c r="H69" i="11"/>
  <c r="G69" i="11"/>
  <c r="F69" i="11"/>
  <c r="J68" i="11"/>
  <c r="I68" i="11"/>
  <c r="H68" i="11"/>
  <c r="G68" i="11"/>
  <c r="F68" i="11"/>
  <c r="J67" i="11"/>
  <c r="I67" i="11"/>
  <c r="H67" i="11"/>
  <c r="G67" i="11"/>
  <c r="F67" i="11"/>
  <c r="J66" i="11"/>
  <c r="I66" i="11"/>
  <c r="H66" i="11"/>
  <c r="G66" i="11"/>
  <c r="F66" i="11"/>
  <c r="J65" i="11"/>
  <c r="I65" i="11"/>
  <c r="H65" i="11"/>
  <c r="G65" i="11"/>
  <c r="F65" i="11"/>
  <c r="J64" i="11"/>
  <c r="I64" i="11"/>
  <c r="H64" i="11"/>
  <c r="G64" i="11"/>
  <c r="F64" i="11"/>
  <c r="J63" i="11"/>
  <c r="I63" i="11"/>
  <c r="H63" i="11"/>
  <c r="G63" i="11"/>
  <c r="F63" i="11"/>
  <c r="J62" i="11"/>
  <c r="I62" i="11"/>
  <c r="H62" i="11"/>
  <c r="G62" i="11"/>
  <c r="F62" i="11"/>
  <c r="J61" i="11"/>
  <c r="I61" i="11"/>
  <c r="H61" i="11"/>
  <c r="G61" i="11"/>
  <c r="F61" i="11"/>
  <c r="J60" i="11"/>
  <c r="I60" i="11"/>
  <c r="H60" i="11"/>
  <c r="G60" i="11"/>
  <c r="F60" i="11"/>
  <c r="J59" i="11"/>
  <c r="I59" i="11"/>
  <c r="H59" i="11"/>
  <c r="G59" i="11"/>
  <c r="F59" i="11"/>
  <c r="J58" i="11"/>
  <c r="I58" i="11"/>
  <c r="H58" i="11"/>
  <c r="G58" i="11"/>
  <c r="F58" i="11"/>
  <c r="J57" i="11"/>
  <c r="I57" i="11"/>
  <c r="H57" i="11"/>
  <c r="G57" i="11"/>
  <c r="F57" i="11"/>
  <c r="J56" i="11"/>
  <c r="I56" i="11"/>
  <c r="H56" i="11"/>
  <c r="G56" i="11"/>
  <c r="F56" i="11"/>
  <c r="J55" i="11"/>
  <c r="I55" i="11"/>
  <c r="H55" i="11"/>
  <c r="G55" i="11"/>
  <c r="F55" i="11"/>
  <c r="J54" i="11"/>
  <c r="I54" i="11"/>
  <c r="H54" i="11"/>
  <c r="G54" i="11"/>
  <c r="F54" i="11"/>
  <c r="J53" i="11"/>
  <c r="I53" i="11"/>
  <c r="H53" i="11"/>
  <c r="G53" i="11"/>
  <c r="F53" i="11"/>
  <c r="J52" i="11"/>
  <c r="I52" i="11"/>
  <c r="H52" i="11"/>
  <c r="G52" i="11"/>
  <c r="F52" i="11"/>
  <c r="J51" i="11"/>
  <c r="I51" i="11"/>
  <c r="H51" i="11"/>
  <c r="G51" i="11"/>
  <c r="F51" i="11"/>
  <c r="J50" i="11"/>
  <c r="I50" i="11"/>
  <c r="H50" i="11"/>
  <c r="G50" i="11"/>
  <c r="F50" i="11"/>
  <c r="J49" i="11"/>
  <c r="I49" i="11"/>
  <c r="H49" i="11"/>
  <c r="G49" i="11"/>
  <c r="F49" i="11"/>
  <c r="J48" i="11"/>
  <c r="I48" i="11"/>
  <c r="H48" i="11"/>
  <c r="G48" i="11"/>
  <c r="F48" i="11"/>
  <c r="J47" i="11"/>
  <c r="I47" i="11"/>
  <c r="H47" i="11"/>
  <c r="G47" i="11"/>
  <c r="F47" i="11"/>
  <c r="J46" i="11"/>
  <c r="I46" i="11"/>
  <c r="H46" i="11"/>
  <c r="G46" i="11"/>
  <c r="F46" i="11"/>
  <c r="J45" i="11"/>
  <c r="I45" i="11"/>
  <c r="H45" i="11"/>
  <c r="G45" i="11"/>
  <c r="F45" i="11"/>
  <c r="J44" i="11"/>
  <c r="I44" i="11"/>
  <c r="H44" i="11"/>
  <c r="G44" i="11"/>
  <c r="F44" i="11"/>
  <c r="J43" i="11"/>
  <c r="I43" i="11"/>
  <c r="H43" i="11"/>
  <c r="G43" i="11"/>
  <c r="F43" i="11"/>
  <c r="J42" i="11"/>
  <c r="I42" i="11"/>
  <c r="H42" i="11"/>
  <c r="G42" i="11"/>
  <c r="F42" i="11"/>
  <c r="J41" i="11"/>
  <c r="I41" i="11"/>
  <c r="H41" i="11"/>
  <c r="G41" i="11"/>
  <c r="F41" i="11"/>
  <c r="J40" i="11"/>
  <c r="I40" i="11"/>
  <c r="H40" i="11"/>
  <c r="G40" i="11"/>
  <c r="F40" i="11"/>
  <c r="J39" i="11"/>
  <c r="I39" i="11"/>
  <c r="H39" i="11"/>
  <c r="G39" i="11"/>
  <c r="F39" i="11"/>
  <c r="J38" i="11"/>
  <c r="I38" i="11"/>
  <c r="H38" i="11"/>
  <c r="G38" i="11"/>
  <c r="F38" i="11"/>
  <c r="J37" i="11"/>
  <c r="I37" i="11"/>
  <c r="H37" i="11"/>
  <c r="G37" i="11"/>
  <c r="F37" i="11"/>
  <c r="J36" i="11"/>
  <c r="I36" i="11"/>
  <c r="H36" i="11"/>
  <c r="G36" i="11"/>
  <c r="F36" i="11"/>
  <c r="J35" i="11"/>
  <c r="I35" i="11"/>
  <c r="H35" i="11"/>
  <c r="G35" i="11"/>
  <c r="F35" i="11"/>
  <c r="J34" i="11"/>
  <c r="I34" i="11"/>
  <c r="H34" i="11"/>
  <c r="G34" i="11"/>
  <c r="F34" i="11"/>
  <c r="J33" i="11"/>
  <c r="I33" i="11"/>
  <c r="H33" i="11"/>
  <c r="G33" i="11"/>
  <c r="F33" i="11"/>
  <c r="J32" i="11"/>
  <c r="I32" i="11"/>
  <c r="H32" i="11"/>
  <c r="G32" i="11"/>
  <c r="F32" i="11"/>
  <c r="J31" i="11"/>
  <c r="I31" i="11"/>
  <c r="H31" i="11"/>
  <c r="G31" i="11"/>
  <c r="F31" i="11"/>
  <c r="J30" i="11"/>
  <c r="I30" i="11"/>
  <c r="H30" i="11"/>
  <c r="G30" i="11"/>
  <c r="F30" i="11"/>
  <c r="J29" i="11"/>
  <c r="I29" i="11"/>
  <c r="H29" i="11"/>
  <c r="G29" i="11"/>
  <c r="F29" i="11"/>
  <c r="J28" i="11"/>
  <c r="I28" i="11"/>
  <c r="H28" i="11"/>
  <c r="G28" i="11"/>
  <c r="F28" i="11"/>
  <c r="J27" i="11"/>
  <c r="I27" i="11"/>
  <c r="H27" i="11"/>
  <c r="G27" i="11"/>
  <c r="F27" i="11"/>
  <c r="J26" i="11"/>
  <c r="I26" i="11"/>
  <c r="H26" i="11"/>
  <c r="G26" i="11"/>
  <c r="F26" i="11"/>
  <c r="J25" i="11"/>
  <c r="I25" i="11"/>
  <c r="H25" i="11"/>
  <c r="G25" i="11"/>
  <c r="F25" i="11"/>
  <c r="J24" i="11"/>
  <c r="I24" i="11"/>
  <c r="H24" i="11"/>
  <c r="G24" i="11"/>
  <c r="F24" i="11"/>
  <c r="J23" i="11"/>
  <c r="I23" i="11"/>
  <c r="H23" i="11"/>
  <c r="G23" i="11"/>
  <c r="F23" i="11"/>
  <c r="J22" i="11"/>
  <c r="I22" i="11"/>
  <c r="H22" i="11"/>
  <c r="G22" i="11"/>
  <c r="F22" i="11"/>
  <c r="J21" i="11"/>
  <c r="I21" i="11"/>
  <c r="H21" i="11"/>
  <c r="G21" i="11"/>
  <c r="F21" i="11"/>
  <c r="J20" i="11"/>
  <c r="I20" i="11"/>
  <c r="H20" i="11"/>
  <c r="G20" i="11"/>
  <c r="F20" i="11"/>
  <c r="J19" i="11"/>
  <c r="I19" i="11"/>
  <c r="H19" i="11"/>
  <c r="G19" i="11"/>
  <c r="F19" i="11"/>
  <c r="J18" i="11"/>
  <c r="I18" i="11"/>
  <c r="H18" i="11"/>
  <c r="G18" i="11"/>
  <c r="F18" i="11"/>
  <c r="J17" i="11"/>
  <c r="I17" i="11"/>
  <c r="H17" i="11"/>
  <c r="G17" i="11"/>
  <c r="F17" i="11"/>
  <c r="J16" i="11"/>
  <c r="I16" i="11"/>
  <c r="H16" i="11"/>
  <c r="G16" i="11"/>
  <c r="F16" i="11"/>
  <c r="J15" i="11"/>
  <c r="I15" i="11"/>
  <c r="H15" i="11"/>
  <c r="G15" i="11"/>
  <c r="F15" i="11"/>
  <c r="J13" i="11"/>
  <c r="I13" i="11"/>
  <c r="H13" i="11"/>
  <c r="G13" i="11"/>
  <c r="F13" i="11"/>
  <c r="J12" i="11"/>
  <c r="I12" i="11"/>
  <c r="H12" i="11"/>
  <c r="G12" i="11"/>
  <c r="F12" i="11"/>
  <c r="J11" i="11"/>
  <c r="I11" i="11"/>
  <c r="H11" i="11"/>
  <c r="G11" i="11"/>
  <c r="J10" i="11"/>
  <c r="I10" i="11"/>
  <c r="H10" i="11"/>
  <c r="G10" i="11"/>
  <c r="F10" i="11"/>
  <c r="J9" i="11"/>
  <c r="I9" i="11"/>
  <c r="H9" i="11"/>
  <c r="G9" i="11"/>
  <c r="F9" i="11"/>
  <c r="J8" i="11"/>
  <c r="I8" i="11"/>
  <c r="H8" i="11"/>
  <c r="G8" i="11"/>
  <c r="F8" i="11"/>
  <c r="P166" i="11" l="1"/>
  <c r="F166" i="11" s="1"/>
  <c r="T282" i="11"/>
  <c r="J282" i="11" s="1"/>
  <c r="S282" i="11"/>
  <c r="I282" i="11" s="1"/>
  <c r="R282" i="11"/>
  <c r="H282" i="11" s="1"/>
  <c r="Q282" i="11"/>
  <c r="G282" i="11" s="1"/>
  <c r="P282" i="11"/>
  <c r="F282" i="11" s="1"/>
  <c r="T281" i="11"/>
  <c r="J281" i="11" s="1"/>
  <c r="S281" i="11"/>
  <c r="I281" i="11" s="1"/>
  <c r="R281" i="11"/>
  <c r="H281" i="11" s="1"/>
  <c r="Q281" i="11"/>
  <c r="G281" i="11" s="1"/>
  <c r="P281" i="11"/>
  <c r="F281" i="11" s="1"/>
  <c r="T254" i="11"/>
  <c r="J254" i="11" s="1"/>
  <c r="S254" i="11"/>
  <c r="I254" i="11" s="1"/>
  <c r="R254" i="11"/>
  <c r="H254" i="11" s="1"/>
  <c r="Q254" i="11"/>
  <c r="G254" i="11" s="1"/>
  <c r="P254" i="11"/>
  <c r="F254" i="11" s="1"/>
  <c r="T253" i="11"/>
  <c r="J253" i="11" s="1"/>
  <c r="S253" i="11"/>
  <c r="I253" i="11" s="1"/>
  <c r="R253" i="11"/>
  <c r="H253" i="11" s="1"/>
  <c r="Q253" i="11"/>
  <c r="G253" i="11" s="1"/>
  <c r="P253" i="11"/>
  <c r="F253" i="11" s="1"/>
  <c r="T167" i="11"/>
  <c r="J167" i="11" s="1"/>
  <c r="S167" i="11"/>
  <c r="I167" i="11" s="1"/>
  <c r="R167" i="11"/>
  <c r="H167" i="11" s="1"/>
  <c r="Q167" i="11"/>
  <c r="G167" i="11" s="1"/>
  <c r="P167" i="11"/>
  <c r="F167" i="11" s="1"/>
  <c r="T127" i="11"/>
  <c r="J127" i="11" s="1"/>
  <c r="S127" i="11"/>
  <c r="I127" i="11" s="1"/>
  <c r="R127" i="11"/>
  <c r="H127" i="11" s="1"/>
  <c r="Q127" i="11"/>
  <c r="G127" i="11" s="1"/>
  <c r="P127" i="11"/>
  <c r="F127" i="11" s="1"/>
  <c r="T126" i="11"/>
  <c r="J126" i="11" s="1"/>
  <c r="S126" i="11"/>
  <c r="I126" i="11" s="1"/>
  <c r="R126" i="11"/>
  <c r="H126" i="11" s="1"/>
  <c r="Q126" i="11"/>
  <c r="G126" i="11" s="1"/>
  <c r="P126" i="11"/>
  <c r="T14" i="11"/>
  <c r="J14" i="11" s="1"/>
  <c r="S14" i="11"/>
  <c r="I14" i="11" s="1"/>
  <c r="R14" i="11"/>
  <c r="H14" i="11" s="1"/>
  <c r="Q14" i="11"/>
  <c r="G14" i="11" s="1"/>
  <c r="P14" i="11"/>
  <c r="F14" i="11" s="1"/>
  <c r="P100" i="11" l="1"/>
  <c r="F100" i="11" s="1"/>
  <c r="F126" i="11"/>
  <c r="C6" i="9"/>
  <c r="Y6" i="9"/>
  <c r="H6" i="9"/>
  <c r="H37" i="9"/>
  <c r="H34" i="9"/>
  <c r="H30" i="9"/>
  <c r="E167" i="13" l="1"/>
  <c r="E168" i="13"/>
  <c r="E169" i="13" l="1"/>
  <c r="E170" i="13"/>
  <c r="Z22" i="9" s="1"/>
  <c r="F168" i="13"/>
  <c r="Z19" i="9"/>
  <c r="F167" i="13"/>
  <c r="Z6" i="9"/>
  <c r="G168" i="13" l="1"/>
  <c r="F169" i="13"/>
  <c r="F170" i="13"/>
  <c r="AA22" i="9" s="1"/>
  <c r="AA19" i="9"/>
  <c r="H168" i="13"/>
  <c r="G167" i="13"/>
  <c r="AA6" i="9"/>
  <c r="H170" i="13" l="1"/>
  <c r="AC22" i="9" s="1"/>
  <c r="H169" i="13"/>
  <c r="G169" i="13"/>
  <c r="AB19" i="9" s="1"/>
  <c r="G170" i="13"/>
  <c r="AB22" i="9" s="1"/>
  <c r="I168" i="13"/>
  <c r="AC19" i="9"/>
  <c r="H167" i="13"/>
  <c r="AB6" i="9"/>
  <c r="AC15" i="9"/>
  <c r="AB15" i="9"/>
  <c r="AA15" i="9"/>
  <c r="Z15" i="9"/>
  <c r="Y15" i="9"/>
  <c r="C15" i="9"/>
  <c r="I169" i="13" l="1"/>
  <c r="I170" i="13"/>
  <c r="AD22" i="9" s="1"/>
  <c r="J168" i="13"/>
  <c r="AD19" i="9"/>
  <c r="AD15" i="9"/>
  <c r="I167" i="13"/>
  <c r="AC6" i="9"/>
  <c r="Q64" i="7"/>
  <c r="Q71" i="7"/>
  <c r="G71" i="7"/>
  <c r="C71" i="7"/>
  <c r="G64" i="7"/>
  <c r="C64" i="7"/>
  <c r="K174" i="13"/>
  <c r="AF41" i="9" s="1"/>
  <c r="J174" i="13"/>
  <c r="AE41" i="9" s="1"/>
  <c r="I174" i="13"/>
  <c r="AD41" i="9" s="1"/>
  <c r="H174" i="13"/>
  <c r="AC41" i="9" s="1"/>
  <c r="G174" i="13"/>
  <c r="AB41" i="9" s="1"/>
  <c r="F174" i="13"/>
  <c r="AA41" i="9" s="1"/>
  <c r="E174" i="13"/>
  <c r="Z41" i="9" s="1"/>
  <c r="K173" i="13"/>
  <c r="AF37" i="9" s="1"/>
  <c r="J173" i="13"/>
  <c r="AE37" i="9" s="1"/>
  <c r="I173" i="13"/>
  <c r="AD37" i="9" s="1"/>
  <c r="H173" i="13"/>
  <c r="AC37" i="9" s="1"/>
  <c r="G173" i="13"/>
  <c r="AB37" i="9" s="1"/>
  <c r="F173" i="13"/>
  <c r="AA37" i="9" s="1"/>
  <c r="E173" i="13"/>
  <c r="Z37" i="9" s="1"/>
  <c r="K172" i="13"/>
  <c r="AF34" i="9" s="1"/>
  <c r="J172" i="13"/>
  <c r="AE34" i="9" s="1"/>
  <c r="I172" i="13"/>
  <c r="AD34" i="9" s="1"/>
  <c r="H172" i="13"/>
  <c r="AC34" i="9" s="1"/>
  <c r="G172" i="13"/>
  <c r="AB34" i="9" s="1"/>
  <c r="F172" i="13"/>
  <c r="AA34" i="9" s="1"/>
  <c r="E172" i="13"/>
  <c r="Z34" i="9" s="1"/>
  <c r="D174" i="13"/>
  <c r="Y41" i="9" s="1"/>
  <c r="D173" i="13"/>
  <c r="Y37" i="9" s="1"/>
  <c r="D172" i="13"/>
  <c r="Y34" i="9" s="1"/>
  <c r="Z30" i="9"/>
  <c r="AF30" i="9"/>
  <c r="AE30" i="9"/>
  <c r="AD30" i="9"/>
  <c r="AC30" i="9"/>
  <c r="AB30" i="9"/>
  <c r="AA30" i="9"/>
  <c r="Y30" i="9"/>
  <c r="X6" i="5"/>
  <c r="C34" i="9"/>
  <c r="C41" i="9"/>
  <c r="C314" i="11"/>
  <c r="C37" i="9"/>
  <c r="C30" i="9"/>
  <c r="J100" i="1"/>
  <c r="J96" i="1"/>
  <c r="J93" i="1"/>
  <c r="J89" i="1"/>
  <c r="J85" i="1"/>
  <c r="J81" i="1"/>
  <c r="J78" i="1"/>
  <c r="J74" i="1"/>
  <c r="J69" i="1"/>
  <c r="J65" i="1"/>
  <c r="J62" i="1"/>
  <c r="G51" i="7"/>
  <c r="C51" i="7"/>
  <c r="X56" i="7"/>
  <c r="G56" i="7"/>
  <c r="C56" i="7"/>
  <c r="E162" i="13"/>
  <c r="F162" i="13" s="1"/>
  <c r="E161" i="13"/>
  <c r="F161" i="13" s="1"/>
  <c r="G161" i="13" s="1"/>
  <c r="H161" i="13" s="1"/>
  <c r="I161" i="13" s="1"/>
  <c r="J161" i="13" s="1"/>
  <c r="K161" i="13" s="1"/>
  <c r="X46" i="7"/>
  <c r="G46" i="7"/>
  <c r="C46" i="7"/>
  <c r="AE37" i="7"/>
  <c r="AD37" i="7"/>
  <c r="AC37" i="7"/>
  <c r="AB37" i="7"/>
  <c r="AA37" i="7"/>
  <c r="Z37" i="7"/>
  <c r="Y37" i="7"/>
  <c r="X37" i="7"/>
  <c r="G37" i="7"/>
  <c r="C37" i="7"/>
  <c r="AE33" i="7"/>
  <c r="AD33" i="7"/>
  <c r="AC33" i="7"/>
  <c r="AB33" i="7"/>
  <c r="AA33" i="7"/>
  <c r="Z33" i="7"/>
  <c r="Y33" i="7"/>
  <c r="X33" i="7"/>
  <c r="G33" i="7"/>
  <c r="C33" i="7"/>
  <c r="X28" i="7"/>
  <c r="G28" i="7"/>
  <c r="C28" i="7"/>
  <c r="AE8" i="7"/>
  <c r="AD8" i="7"/>
  <c r="AC8" i="7"/>
  <c r="AB8" i="7"/>
  <c r="AA8" i="7"/>
  <c r="Z8" i="7"/>
  <c r="Y8" i="7"/>
  <c r="X8" i="7"/>
  <c r="G8" i="7"/>
  <c r="C8" i="7"/>
  <c r="C23" i="7"/>
  <c r="X13" i="7"/>
  <c r="G13" i="7"/>
  <c r="C13" i="7"/>
  <c r="X23" i="7"/>
  <c r="G23" i="7"/>
  <c r="X54" i="7"/>
  <c r="J170" i="13" l="1"/>
  <c r="AE22" i="9" s="1"/>
  <c r="J169" i="13"/>
  <c r="K168" i="13"/>
  <c r="AE19" i="9"/>
  <c r="AE15" i="9"/>
  <c r="J167" i="13"/>
  <c r="AD6" i="9"/>
  <c r="G162" i="13"/>
  <c r="Z46" i="7"/>
  <c r="Y46" i="7"/>
  <c r="K170" i="13" l="1"/>
  <c r="AF22" i="9" s="1"/>
  <c r="K169" i="13"/>
  <c r="AF19" i="9"/>
  <c r="AF15" i="9"/>
  <c r="K167" i="13"/>
  <c r="AF6" i="9" s="1"/>
  <c r="AE6" i="9"/>
  <c r="H162" i="13"/>
  <c r="AA46" i="7"/>
  <c r="I162" i="13" l="1"/>
  <c r="AB46" i="7"/>
  <c r="J162" i="13" l="1"/>
  <c r="AC46" i="7"/>
  <c r="K162" i="13" l="1"/>
  <c r="AE46" i="7" s="1"/>
  <c r="AD46" i="7"/>
  <c r="C77" i="4" l="1"/>
  <c r="C26" i="4"/>
  <c r="X31" i="7" l="1"/>
  <c r="C303" i="11"/>
  <c r="C44" i="7" l="1"/>
  <c r="C48" i="7"/>
  <c r="C54" i="7"/>
  <c r="C35" i="7"/>
  <c r="C31" i="7"/>
  <c r="C25" i="7"/>
  <c r="C21" i="7"/>
  <c r="C6" i="7"/>
  <c r="C10" i="7"/>
  <c r="AF6" i="8"/>
  <c r="AE6" i="8"/>
  <c r="AD6" i="8"/>
  <c r="AC6" i="8"/>
  <c r="AB6" i="8"/>
  <c r="AA6" i="8"/>
  <c r="Z6" i="8"/>
  <c r="Y6" i="8"/>
  <c r="C6" i="8"/>
  <c r="C15" i="8"/>
  <c r="H6" i="8"/>
  <c r="AF15" i="8"/>
  <c r="AE15" i="8"/>
  <c r="AD15" i="8"/>
  <c r="AC15" i="8"/>
  <c r="AB15" i="8"/>
  <c r="AA15" i="8"/>
  <c r="Z15" i="8"/>
  <c r="Y15" i="8"/>
  <c r="E192" i="13" l="1"/>
  <c r="E191" i="13"/>
  <c r="D190" i="13"/>
  <c r="X51" i="7" s="1"/>
  <c r="E163" i="13"/>
  <c r="F163" i="13" s="1"/>
  <c r="G163" i="13" s="1"/>
  <c r="H163" i="13" s="1"/>
  <c r="I163" i="13" s="1"/>
  <c r="J163" i="13" s="1"/>
  <c r="K163" i="13" s="1"/>
  <c r="E164" i="13"/>
  <c r="F192" i="13" l="1"/>
  <c r="Y56" i="7"/>
  <c r="Y13" i="7"/>
  <c r="E190" i="13"/>
  <c r="Y51" i="7" s="1"/>
  <c r="Y28" i="7"/>
  <c r="F191" i="13"/>
  <c r="F164" i="13"/>
  <c r="Y23" i="7"/>
  <c r="Z13" i="7"/>
  <c r="F190" i="13"/>
  <c r="Z51" i="7" s="1"/>
  <c r="J109" i="5"/>
  <c r="J105" i="5"/>
  <c r="J102" i="5"/>
  <c r="J99" i="5"/>
  <c r="J95" i="5"/>
  <c r="J91" i="5"/>
  <c r="J88" i="5"/>
  <c r="J84" i="5"/>
  <c r="J79" i="5"/>
  <c r="J75" i="5"/>
  <c r="J72" i="5"/>
  <c r="J68" i="5"/>
  <c r="J65" i="5"/>
  <c r="J53" i="5"/>
  <c r="J49" i="5"/>
  <c r="J46" i="5"/>
  <c r="J43" i="5"/>
  <c r="J39" i="5"/>
  <c r="J35" i="5"/>
  <c r="J32" i="5"/>
  <c r="J28" i="5"/>
  <c r="J23" i="5"/>
  <c r="J19" i="5"/>
  <c r="J16" i="5"/>
  <c r="J12" i="5"/>
  <c r="J9" i="5"/>
  <c r="G192" i="13" l="1"/>
  <c r="Z56" i="7"/>
  <c r="Z28" i="7"/>
  <c r="G191" i="13"/>
  <c r="G164" i="13"/>
  <c r="Z23" i="7"/>
  <c r="AA13" i="7"/>
  <c r="W102" i="4"/>
  <c r="W98" i="4"/>
  <c r="W95" i="4"/>
  <c r="W92" i="4"/>
  <c r="W88" i="4"/>
  <c r="W84" i="4"/>
  <c r="W81" i="4"/>
  <c r="W77" i="4"/>
  <c r="W73" i="4"/>
  <c r="W70" i="4"/>
  <c r="W66" i="4"/>
  <c r="W63" i="4"/>
  <c r="W60" i="4"/>
  <c r="W6" i="4"/>
  <c r="H192" i="13" l="1"/>
  <c r="AA56" i="7"/>
  <c r="H191" i="13"/>
  <c r="AA28" i="7"/>
  <c r="G190" i="13"/>
  <c r="AA51" i="7" s="1"/>
  <c r="AA23" i="7"/>
  <c r="H164" i="13"/>
  <c r="AB13" i="7"/>
  <c r="W319" i="5"/>
  <c r="W315" i="5"/>
  <c r="W312" i="5"/>
  <c r="W309" i="5"/>
  <c r="W305" i="5"/>
  <c r="W301" i="5"/>
  <c r="W298" i="5"/>
  <c r="W294" i="5"/>
  <c r="W290" i="5"/>
  <c r="W287" i="5"/>
  <c r="W283" i="5"/>
  <c r="W280" i="5"/>
  <c r="W277" i="5"/>
  <c r="W268" i="5"/>
  <c r="W264" i="5"/>
  <c r="W261" i="5"/>
  <c r="W258" i="5"/>
  <c r="W254" i="5"/>
  <c r="W250" i="5"/>
  <c r="W247" i="5"/>
  <c r="W243" i="5"/>
  <c r="W239" i="5"/>
  <c r="W236" i="5"/>
  <c r="W232" i="5"/>
  <c r="W229" i="5"/>
  <c r="W226" i="5"/>
  <c r="W217" i="5"/>
  <c r="W213" i="5"/>
  <c r="W210" i="5"/>
  <c r="W207" i="5"/>
  <c r="W203" i="5"/>
  <c r="W199" i="5"/>
  <c r="W196" i="5"/>
  <c r="W192" i="5"/>
  <c r="W188" i="5"/>
  <c r="W185" i="5"/>
  <c r="W182" i="5"/>
  <c r="W178" i="5"/>
  <c r="W175" i="5"/>
  <c r="W172" i="5"/>
  <c r="W163" i="5"/>
  <c r="W159" i="5"/>
  <c r="W156" i="5"/>
  <c r="W153" i="5"/>
  <c r="W149" i="5"/>
  <c r="W145" i="5"/>
  <c r="W142" i="5"/>
  <c r="W138" i="5"/>
  <c r="W134" i="5"/>
  <c r="W131" i="5"/>
  <c r="W128" i="5"/>
  <c r="W124" i="5"/>
  <c r="W121" i="5"/>
  <c r="W118" i="5"/>
  <c r="W109" i="5"/>
  <c r="W105" i="5"/>
  <c r="W102" i="5"/>
  <c r="W99" i="5"/>
  <c r="W95" i="5"/>
  <c r="W91" i="5"/>
  <c r="W88" i="5"/>
  <c r="W84" i="5"/>
  <c r="W79" i="5"/>
  <c r="W75" i="5"/>
  <c r="W72" i="5"/>
  <c r="W68" i="5"/>
  <c r="W65" i="5"/>
  <c r="W62" i="5"/>
  <c r="W53" i="5"/>
  <c r="W49" i="5"/>
  <c r="W46" i="5"/>
  <c r="W43" i="5"/>
  <c r="W39" i="5"/>
  <c r="W35" i="5"/>
  <c r="W32" i="5"/>
  <c r="W28" i="5"/>
  <c r="W23" i="5"/>
  <c r="W19" i="5"/>
  <c r="W16" i="5"/>
  <c r="W12" i="5"/>
  <c r="W9" i="5"/>
  <c r="W6" i="5"/>
  <c r="I192" i="13" l="1"/>
  <c r="AB56" i="7"/>
  <c r="I191" i="13"/>
  <c r="AB28" i="7"/>
  <c r="H190" i="13"/>
  <c r="AB51" i="7" s="1"/>
  <c r="I164" i="13"/>
  <c r="AB23" i="7"/>
  <c r="AC13" i="7"/>
  <c r="W51" i="4"/>
  <c r="W47" i="4"/>
  <c r="W44" i="4"/>
  <c r="W41" i="4"/>
  <c r="W37" i="4"/>
  <c r="W33" i="4"/>
  <c r="W26" i="4"/>
  <c r="W22" i="4"/>
  <c r="W19" i="4"/>
  <c r="W12" i="4"/>
  <c r="W9" i="4"/>
  <c r="W151" i="1"/>
  <c r="W147" i="1"/>
  <c r="W144" i="1"/>
  <c r="W140" i="1"/>
  <c r="W136" i="1"/>
  <c r="W132" i="1"/>
  <c r="W129" i="1"/>
  <c r="W125" i="1"/>
  <c r="W120" i="1"/>
  <c r="W116" i="1"/>
  <c r="W113" i="1"/>
  <c r="W109" i="1"/>
  <c r="W100" i="1"/>
  <c r="W96" i="1"/>
  <c r="W93" i="1"/>
  <c r="W89" i="1"/>
  <c r="W85" i="1"/>
  <c r="W81" i="1"/>
  <c r="W78" i="1"/>
  <c r="W74" i="1"/>
  <c r="W69" i="1"/>
  <c r="W65" i="1"/>
  <c r="W62" i="1"/>
  <c r="W58" i="1"/>
  <c r="W48" i="1"/>
  <c r="W44" i="1"/>
  <c r="W41" i="1"/>
  <c r="W37" i="1"/>
  <c r="W33" i="1"/>
  <c r="W29" i="1"/>
  <c r="W26" i="1"/>
  <c r="W22" i="1"/>
  <c r="W17" i="1"/>
  <c r="W13" i="1"/>
  <c r="W10" i="1"/>
  <c r="W6" i="1"/>
  <c r="W30" i="4"/>
  <c r="W16" i="4"/>
  <c r="J192" i="13" l="1"/>
  <c r="AC56" i="7"/>
  <c r="J191" i="13"/>
  <c r="AC28" i="7"/>
  <c r="I190" i="13"/>
  <c r="AC51" i="7" s="1"/>
  <c r="J164" i="13"/>
  <c r="AC23" i="7"/>
  <c r="AE13" i="7"/>
  <c r="AD13" i="7"/>
  <c r="T119" i="11"/>
  <c r="J119" i="11" s="1"/>
  <c r="S119" i="11"/>
  <c r="I119" i="11" s="1"/>
  <c r="R119" i="11"/>
  <c r="H119" i="11" s="1"/>
  <c r="Q119" i="11"/>
  <c r="G119" i="11" s="1"/>
  <c r="P119" i="11"/>
  <c r="F119" i="11" s="1"/>
  <c r="T118" i="11"/>
  <c r="J118" i="11" s="1"/>
  <c r="S118" i="11"/>
  <c r="I118" i="11" s="1"/>
  <c r="R118" i="11"/>
  <c r="H118" i="11" s="1"/>
  <c r="Q118" i="11"/>
  <c r="G118" i="11" s="1"/>
  <c r="P118" i="11"/>
  <c r="F118" i="11" s="1"/>
  <c r="T117" i="11"/>
  <c r="J117" i="11" s="1"/>
  <c r="S117" i="11"/>
  <c r="I117" i="11" s="1"/>
  <c r="R117" i="11"/>
  <c r="H117" i="11" s="1"/>
  <c r="Q117" i="11"/>
  <c r="G117" i="11" s="1"/>
  <c r="P117" i="11"/>
  <c r="F117" i="11" s="1"/>
  <c r="T116" i="11"/>
  <c r="J116" i="11" s="1"/>
  <c r="S116" i="11"/>
  <c r="I116" i="11" s="1"/>
  <c r="R116" i="11"/>
  <c r="H116" i="11" s="1"/>
  <c r="Q116" i="11"/>
  <c r="G116" i="11" s="1"/>
  <c r="P116" i="11"/>
  <c r="F116" i="11" s="1"/>
  <c r="T115" i="11"/>
  <c r="J115" i="11" s="1"/>
  <c r="S115" i="11"/>
  <c r="I115" i="11" s="1"/>
  <c r="R115" i="11"/>
  <c r="H115" i="11" s="1"/>
  <c r="Q115" i="11"/>
  <c r="G115" i="11" s="1"/>
  <c r="P115" i="11"/>
  <c r="F115" i="11" s="1"/>
  <c r="T114" i="11"/>
  <c r="J114" i="11" s="1"/>
  <c r="S114" i="11"/>
  <c r="I114" i="11" s="1"/>
  <c r="R114" i="11"/>
  <c r="H114" i="11" s="1"/>
  <c r="Q114" i="11"/>
  <c r="G114" i="11" s="1"/>
  <c r="P114" i="11"/>
  <c r="F114" i="11" s="1"/>
  <c r="T113" i="11"/>
  <c r="J113" i="11" s="1"/>
  <c r="S113" i="11"/>
  <c r="I113" i="11" s="1"/>
  <c r="R113" i="11"/>
  <c r="H113" i="11" s="1"/>
  <c r="Q113" i="11"/>
  <c r="G113" i="11" s="1"/>
  <c r="P113" i="11"/>
  <c r="F113" i="11" s="1"/>
  <c r="T112" i="11"/>
  <c r="J112" i="11" s="1"/>
  <c r="S112" i="11"/>
  <c r="I112" i="11" s="1"/>
  <c r="R112" i="11"/>
  <c r="H112" i="11" s="1"/>
  <c r="Q112" i="11"/>
  <c r="G112" i="11" s="1"/>
  <c r="P112" i="11"/>
  <c r="F112" i="11" s="1"/>
  <c r="T111" i="11"/>
  <c r="J111" i="11" s="1"/>
  <c r="S111" i="11"/>
  <c r="I111" i="11" s="1"/>
  <c r="R111" i="11"/>
  <c r="H111" i="11" s="1"/>
  <c r="Q111" i="11"/>
  <c r="G111" i="11" s="1"/>
  <c r="P111" i="11"/>
  <c r="F111" i="11" s="1"/>
  <c r="T110" i="11"/>
  <c r="J110" i="11" s="1"/>
  <c r="S110" i="11"/>
  <c r="I110" i="11" s="1"/>
  <c r="R110" i="11"/>
  <c r="H110" i="11" s="1"/>
  <c r="Q110" i="11"/>
  <c r="G110" i="11" s="1"/>
  <c r="P110" i="11"/>
  <c r="F110" i="11" s="1"/>
  <c r="T109" i="11"/>
  <c r="J109" i="11" s="1"/>
  <c r="S109" i="11"/>
  <c r="I109" i="11" s="1"/>
  <c r="R109" i="11"/>
  <c r="H109" i="11" s="1"/>
  <c r="Q109" i="11"/>
  <c r="G109" i="11" s="1"/>
  <c r="P109" i="11"/>
  <c r="F109" i="11" s="1"/>
  <c r="T108" i="11"/>
  <c r="J108" i="11" s="1"/>
  <c r="S108" i="11"/>
  <c r="I108" i="11" s="1"/>
  <c r="R108" i="11"/>
  <c r="H108" i="11" s="1"/>
  <c r="Q108" i="11"/>
  <c r="G108" i="11" s="1"/>
  <c r="P108" i="11"/>
  <c r="F108" i="11" s="1"/>
  <c r="T107" i="11"/>
  <c r="J107" i="11" s="1"/>
  <c r="S107" i="11"/>
  <c r="I107" i="11" s="1"/>
  <c r="R107" i="11"/>
  <c r="H107" i="11" s="1"/>
  <c r="Q107" i="11"/>
  <c r="G107" i="11" s="1"/>
  <c r="P107" i="11"/>
  <c r="F107" i="11" s="1"/>
  <c r="T106" i="11"/>
  <c r="J106" i="11" s="1"/>
  <c r="S106" i="11"/>
  <c r="I106" i="11" s="1"/>
  <c r="R106" i="11"/>
  <c r="H106" i="11" s="1"/>
  <c r="Q106" i="11"/>
  <c r="G106" i="11" s="1"/>
  <c r="P106" i="11"/>
  <c r="F106" i="11" s="1"/>
  <c r="T105" i="11"/>
  <c r="J105" i="11" s="1"/>
  <c r="S105" i="11"/>
  <c r="I105" i="11" s="1"/>
  <c r="R105" i="11"/>
  <c r="H105" i="11" s="1"/>
  <c r="Q105" i="11"/>
  <c r="G105" i="11" s="1"/>
  <c r="P105" i="11"/>
  <c r="F105" i="11" s="1"/>
  <c r="T104" i="11"/>
  <c r="J104" i="11" s="1"/>
  <c r="S104" i="11"/>
  <c r="I104" i="11" s="1"/>
  <c r="R104" i="11"/>
  <c r="H104" i="11" s="1"/>
  <c r="Q104" i="11"/>
  <c r="G104" i="11" s="1"/>
  <c r="P104" i="11"/>
  <c r="F104" i="11" s="1"/>
  <c r="T103" i="11"/>
  <c r="J103" i="11" s="1"/>
  <c r="S103" i="11"/>
  <c r="I103" i="11" s="1"/>
  <c r="R103" i="11"/>
  <c r="H103" i="11" s="1"/>
  <c r="Q103" i="11"/>
  <c r="G103" i="11" s="1"/>
  <c r="P103" i="11"/>
  <c r="F103" i="11" s="1"/>
  <c r="T102" i="11"/>
  <c r="J102" i="11" s="1"/>
  <c r="S102" i="11"/>
  <c r="I102" i="11" s="1"/>
  <c r="R102" i="11"/>
  <c r="H102" i="11" s="1"/>
  <c r="Q102" i="11"/>
  <c r="G102" i="11" s="1"/>
  <c r="P102" i="11"/>
  <c r="F102" i="11" s="1"/>
  <c r="T101" i="11"/>
  <c r="J101" i="11" s="1"/>
  <c r="S101" i="11"/>
  <c r="I101" i="11" s="1"/>
  <c r="R101" i="11"/>
  <c r="H101" i="11" s="1"/>
  <c r="Q101" i="11"/>
  <c r="G101" i="11" s="1"/>
  <c r="P101" i="11"/>
  <c r="F101" i="11" s="1"/>
  <c r="T100" i="11"/>
  <c r="J100" i="11" s="1"/>
  <c r="S100" i="11"/>
  <c r="I100" i="11" s="1"/>
  <c r="R100" i="11"/>
  <c r="H100" i="11" s="1"/>
  <c r="Q100" i="11"/>
  <c r="G100" i="11" s="1"/>
  <c r="T97" i="11"/>
  <c r="J97" i="11" s="1"/>
  <c r="S97" i="11"/>
  <c r="I97" i="11" s="1"/>
  <c r="R97" i="11"/>
  <c r="H97" i="11" s="1"/>
  <c r="Q97" i="11"/>
  <c r="G97" i="11" s="1"/>
  <c r="P97" i="11"/>
  <c r="F97" i="11" s="1"/>
  <c r="T96" i="11"/>
  <c r="J96" i="11" s="1"/>
  <c r="S96" i="11"/>
  <c r="I96" i="11" s="1"/>
  <c r="R96" i="11"/>
  <c r="H96" i="11" s="1"/>
  <c r="Q96" i="11"/>
  <c r="G96" i="11" s="1"/>
  <c r="P96" i="11"/>
  <c r="F96" i="11" s="1"/>
  <c r="T95" i="11"/>
  <c r="J95" i="11" s="1"/>
  <c r="S95" i="11"/>
  <c r="I95" i="11" s="1"/>
  <c r="R95" i="11"/>
  <c r="H95" i="11" s="1"/>
  <c r="Q95" i="11"/>
  <c r="G95" i="11" s="1"/>
  <c r="P95" i="11"/>
  <c r="F95" i="11" s="1"/>
  <c r="T94" i="11"/>
  <c r="J94" i="11" s="1"/>
  <c r="S94" i="11"/>
  <c r="I94" i="11" s="1"/>
  <c r="R94" i="11"/>
  <c r="H94" i="11" s="1"/>
  <c r="Q94" i="11"/>
  <c r="G94" i="11" s="1"/>
  <c r="P94" i="11"/>
  <c r="F94" i="11" s="1"/>
  <c r="T93" i="11"/>
  <c r="J93" i="11" s="1"/>
  <c r="S93" i="11"/>
  <c r="I93" i="11" s="1"/>
  <c r="R93" i="11"/>
  <c r="H93" i="11" s="1"/>
  <c r="Q93" i="11"/>
  <c r="G93" i="11" s="1"/>
  <c r="P93" i="11"/>
  <c r="F93" i="11" s="1"/>
  <c r="T92" i="11"/>
  <c r="J92" i="11" s="1"/>
  <c r="S92" i="11"/>
  <c r="I92" i="11" s="1"/>
  <c r="R92" i="11"/>
  <c r="H92" i="11" s="1"/>
  <c r="Q92" i="11"/>
  <c r="G92" i="11" s="1"/>
  <c r="P92" i="11"/>
  <c r="F92" i="11" s="1"/>
  <c r="K192" i="13" l="1"/>
  <c r="AE56" i="7" s="1"/>
  <c r="AD56" i="7"/>
  <c r="K191" i="13"/>
  <c r="AD28" i="7"/>
  <c r="J190" i="13"/>
  <c r="AD51" i="7" s="1"/>
  <c r="K164" i="13"/>
  <c r="AE23" i="7" s="1"/>
  <c r="AD23" i="7"/>
  <c r="AE25" i="6"/>
  <c r="AD25" i="6"/>
  <c r="AC25" i="6"/>
  <c r="AB25" i="6"/>
  <c r="AA25" i="6"/>
  <c r="Z25" i="6"/>
  <c r="Y25" i="6"/>
  <c r="AE21" i="6"/>
  <c r="AD21" i="6"/>
  <c r="AC21" i="6"/>
  <c r="AB21" i="6"/>
  <c r="AA21" i="6"/>
  <c r="Z21" i="6"/>
  <c r="Y21" i="6"/>
  <c r="AE18" i="6"/>
  <c r="AD18" i="6"/>
  <c r="AC18" i="6"/>
  <c r="AB18" i="6"/>
  <c r="AA18" i="6"/>
  <c r="Z18" i="6"/>
  <c r="Y18" i="6"/>
  <c r="AE15" i="6"/>
  <c r="AD15" i="6"/>
  <c r="AC15" i="6"/>
  <c r="AB15" i="6"/>
  <c r="AA15" i="6"/>
  <c r="Z15" i="6"/>
  <c r="Y15" i="6"/>
  <c r="X25" i="6"/>
  <c r="X21" i="6"/>
  <c r="X18" i="6"/>
  <c r="X15" i="6"/>
  <c r="AE12" i="6"/>
  <c r="AD12" i="6"/>
  <c r="AC12" i="6"/>
  <c r="AB12" i="6"/>
  <c r="AA12" i="6"/>
  <c r="Z12" i="6"/>
  <c r="Y12" i="6"/>
  <c r="X12" i="6"/>
  <c r="AE9" i="6"/>
  <c r="AD9" i="6"/>
  <c r="AC9" i="6"/>
  <c r="AB9" i="6"/>
  <c r="AA9" i="6"/>
  <c r="Z9" i="6"/>
  <c r="Y9" i="6"/>
  <c r="X9" i="6"/>
  <c r="X6" i="6"/>
  <c r="AE6" i="6"/>
  <c r="AD6" i="6"/>
  <c r="AC6" i="6"/>
  <c r="AB6" i="6"/>
  <c r="AA6" i="6"/>
  <c r="Z6" i="6"/>
  <c r="Y6" i="6"/>
  <c r="AE38" i="6"/>
  <c r="AD38" i="6"/>
  <c r="AC38" i="6"/>
  <c r="AB38" i="6"/>
  <c r="AA38" i="6"/>
  <c r="Z38" i="6"/>
  <c r="Y38" i="6"/>
  <c r="X38" i="6"/>
  <c r="AE34" i="6"/>
  <c r="AD34" i="6"/>
  <c r="AC34" i="6"/>
  <c r="AB34" i="6"/>
  <c r="AA34" i="6"/>
  <c r="Z34" i="6"/>
  <c r="Y34" i="6"/>
  <c r="X34" i="6"/>
  <c r="AE28" i="7" l="1"/>
  <c r="K190" i="13"/>
  <c r="AE51" i="7" s="1"/>
  <c r="I277" i="5"/>
  <c r="I226" i="5"/>
  <c r="I319" i="5" s="1"/>
  <c r="I172" i="5"/>
  <c r="I118" i="5"/>
  <c r="I210" i="5" s="1"/>
  <c r="I62" i="5"/>
  <c r="I6" i="5"/>
  <c r="I102" i="5" s="1"/>
  <c r="I60" i="4"/>
  <c r="I95" i="4" s="1"/>
  <c r="I6" i="4"/>
  <c r="I47" i="4" s="1"/>
  <c r="I109" i="1"/>
  <c r="I140" i="1" s="1"/>
  <c r="I58" i="1"/>
  <c r="I89" i="1" s="1"/>
  <c r="I6" i="1"/>
  <c r="I37" i="1" s="1"/>
  <c r="I69" i="1" l="1"/>
  <c r="I30" i="4"/>
  <c r="I85" i="1"/>
  <c r="I93" i="1"/>
  <c r="I65" i="1"/>
  <c r="I16" i="4"/>
  <c r="I98" i="4"/>
  <c r="I37" i="4"/>
  <c r="I12" i="4"/>
  <c r="I51" i="4"/>
  <c r="I312" i="5"/>
  <c r="I247" i="5"/>
  <c r="I264" i="5"/>
  <c r="I91" i="5"/>
  <c r="I232" i="5"/>
  <c r="I236" i="5"/>
  <c r="I283" i="5"/>
  <c r="I28" i="5"/>
  <c r="I261" i="5"/>
  <c r="I294" i="5"/>
  <c r="I44" i="1"/>
  <c r="I129" i="1"/>
  <c r="I175" i="5"/>
  <c r="I10" i="1"/>
  <c r="I48" i="1"/>
  <c r="I132" i="1"/>
  <c r="I65" i="5"/>
  <c r="I124" i="5"/>
  <c r="I185" i="5"/>
  <c r="I78" i="1"/>
  <c r="I96" i="1"/>
  <c r="I116" i="1"/>
  <c r="I136" i="1"/>
  <c r="I22" i="4"/>
  <c r="I41" i="4"/>
  <c r="I70" i="4"/>
  <c r="I12" i="5"/>
  <c r="I43" i="5"/>
  <c r="I75" i="5"/>
  <c r="I105" i="5"/>
  <c r="I131" i="5"/>
  <c r="I159" i="5"/>
  <c r="I188" i="5"/>
  <c r="I217" i="5"/>
  <c r="I298" i="5"/>
  <c r="I26" i="1"/>
  <c r="I147" i="1"/>
  <c r="I145" i="5"/>
  <c r="I203" i="5"/>
  <c r="I29" i="1"/>
  <c r="I113" i="1"/>
  <c r="I151" i="1"/>
  <c r="I32" i="5"/>
  <c r="I95" i="5"/>
  <c r="I156" i="5"/>
  <c r="I213" i="5"/>
  <c r="I13" i="1"/>
  <c r="I33" i="1"/>
  <c r="I17" i="1"/>
  <c r="I41" i="1"/>
  <c r="I62" i="1"/>
  <c r="I81" i="1"/>
  <c r="I100" i="1"/>
  <c r="I120" i="1"/>
  <c r="I144" i="1"/>
  <c r="I9" i="4"/>
  <c r="I26" i="4"/>
  <c r="I44" i="4"/>
  <c r="I84" i="4"/>
  <c r="I16" i="5"/>
  <c r="I46" i="5"/>
  <c r="I79" i="5"/>
  <c r="I109" i="5"/>
  <c r="I142" i="5"/>
  <c r="I199" i="5"/>
  <c r="I250" i="5"/>
  <c r="I280" i="5"/>
  <c r="I309" i="5"/>
  <c r="I73" i="4"/>
  <c r="I88" i="4"/>
  <c r="I102" i="4"/>
  <c r="I63" i="4"/>
  <c r="I77" i="4"/>
  <c r="I92" i="4"/>
  <c r="I19" i="5"/>
  <c r="I35" i="5"/>
  <c r="I49" i="5"/>
  <c r="I68" i="5"/>
  <c r="I84" i="5"/>
  <c r="I99" i="5"/>
  <c r="I134" i="5"/>
  <c r="I149" i="5"/>
  <c r="I163" i="5"/>
  <c r="I178" i="5"/>
  <c r="I192" i="5"/>
  <c r="I207" i="5"/>
  <c r="I239" i="5"/>
  <c r="I254" i="5"/>
  <c r="I268" i="5"/>
  <c r="I287" i="5"/>
  <c r="I301" i="5"/>
  <c r="I315" i="5"/>
  <c r="I22" i="1"/>
  <c r="I74" i="1"/>
  <c r="I125" i="1"/>
  <c r="I19" i="4"/>
  <c r="I33" i="4"/>
  <c r="I66" i="4"/>
  <c r="I81" i="4"/>
  <c r="I9" i="5"/>
  <c r="I23" i="5"/>
  <c r="I39" i="5"/>
  <c r="I53" i="5"/>
  <c r="I72" i="5"/>
  <c r="I88" i="5"/>
  <c r="I121" i="5"/>
  <c r="I138" i="5"/>
  <c r="I153" i="5"/>
  <c r="I128" i="5"/>
  <c r="I182" i="5"/>
  <c r="I196" i="5"/>
  <c r="I229" i="5"/>
  <c r="I243" i="5"/>
  <c r="I258" i="5"/>
  <c r="I290" i="5"/>
  <c r="I305" i="5"/>
  <c r="H151" i="1"/>
  <c r="H147" i="1"/>
  <c r="H144" i="1"/>
  <c r="H140" i="1"/>
  <c r="H136" i="1"/>
  <c r="H132" i="1"/>
  <c r="H129" i="1"/>
  <c r="H125" i="1"/>
  <c r="H120" i="1"/>
  <c r="H116" i="1"/>
  <c r="H100" i="1"/>
  <c r="H96" i="1"/>
  <c r="H93" i="1"/>
  <c r="H89" i="1"/>
  <c r="H85" i="1"/>
  <c r="H81" i="1"/>
  <c r="H78" i="1"/>
  <c r="H74" i="1"/>
  <c r="H69" i="1"/>
  <c r="H65" i="1"/>
  <c r="H48" i="1"/>
  <c r="H44" i="1"/>
  <c r="H41" i="1"/>
  <c r="H37" i="1"/>
  <c r="H33" i="1"/>
  <c r="H29" i="1"/>
  <c r="H26" i="1"/>
  <c r="H22" i="1"/>
  <c r="H17" i="1"/>
  <c r="H13" i="1"/>
  <c r="X78" i="1" l="1"/>
  <c r="X129" i="1"/>
  <c r="X26" i="1"/>
  <c r="Y78" i="1" l="1"/>
  <c r="Y129" i="1"/>
  <c r="Y26" i="1"/>
  <c r="G88" i="5"/>
  <c r="G142" i="5" s="1"/>
  <c r="G196" i="5" s="1"/>
  <c r="G247" i="5" s="1"/>
  <c r="G298" i="5" s="1"/>
  <c r="G81" i="4"/>
  <c r="G78" i="1"/>
  <c r="G129" i="1" s="1"/>
  <c r="Z78" i="1" l="1"/>
  <c r="Z129" i="1"/>
  <c r="Z26" i="1"/>
  <c r="AA78" i="1" l="1"/>
  <c r="AA129" i="1"/>
  <c r="AA26" i="1"/>
  <c r="AB78" i="1" l="1"/>
  <c r="AB129" i="1"/>
  <c r="AB26" i="1"/>
  <c r="C78" i="1"/>
  <c r="AC78" i="1" l="1"/>
  <c r="AC129" i="1"/>
  <c r="AC26" i="1"/>
  <c r="AD78" i="1" l="1"/>
  <c r="AD129" i="1"/>
  <c r="AD26" i="1"/>
  <c r="AE78" i="1" l="1"/>
  <c r="AE129" i="1"/>
  <c r="AE26" i="1"/>
  <c r="C38" i="6"/>
  <c r="C34" i="6"/>
  <c r="C25" i="6"/>
  <c r="C21" i="6"/>
  <c r="C18" i="6"/>
  <c r="C15" i="6"/>
  <c r="C12" i="6"/>
  <c r="C9" i="6"/>
  <c r="C6" i="6"/>
  <c r="G44" i="7"/>
  <c r="G48" i="7"/>
  <c r="G54" i="7"/>
  <c r="G21" i="7"/>
  <c r="G6" i="7"/>
  <c r="G10" i="7"/>
  <c r="E156" i="11"/>
  <c r="C156" i="11"/>
  <c r="E155" i="11"/>
  <c r="C155" i="11"/>
  <c r="E154" i="11"/>
  <c r="C154" i="11"/>
  <c r="E153" i="11"/>
  <c r="C153" i="11"/>
  <c r="E152" i="11"/>
  <c r="C152" i="11"/>
  <c r="E151" i="11"/>
  <c r="C151" i="11"/>
  <c r="E150" i="11"/>
  <c r="C150" i="11"/>
  <c r="E316" i="11"/>
  <c r="C316" i="11"/>
  <c r="E315" i="11"/>
  <c r="C315" i="11"/>
  <c r="H15" i="8"/>
  <c r="G319" i="5"/>
  <c r="C319" i="5"/>
  <c r="G315" i="5"/>
  <c r="C315" i="5"/>
  <c r="G312" i="5"/>
  <c r="C312" i="5"/>
  <c r="G309" i="5"/>
  <c r="C309" i="5"/>
  <c r="G305" i="5"/>
  <c r="C305" i="5"/>
  <c r="G301" i="5"/>
  <c r="C301" i="5"/>
  <c r="C298" i="5"/>
  <c r="G294" i="5"/>
  <c r="C294" i="5"/>
  <c r="G290" i="5"/>
  <c r="C290" i="5"/>
  <c r="G287" i="5"/>
  <c r="C287" i="5"/>
  <c r="G283" i="5"/>
  <c r="C283" i="5"/>
  <c r="G280" i="5"/>
  <c r="C280" i="5"/>
  <c r="G277" i="5"/>
  <c r="C277" i="5"/>
  <c r="G268" i="5"/>
  <c r="C268" i="5"/>
  <c r="G264" i="5"/>
  <c r="C264" i="5"/>
  <c r="E252" i="11"/>
  <c r="C252" i="11"/>
  <c r="E251" i="11"/>
  <c r="C251" i="11"/>
  <c r="G258" i="5"/>
  <c r="C258" i="5"/>
  <c r="G261" i="5"/>
  <c r="C261" i="5"/>
  <c r="C254" i="5"/>
  <c r="C250" i="5"/>
  <c r="C247" i="5"/>
  <c r="C243" i="5"/>
  <c r="C239" i="5"/>
  <c r="C236" i="5"/>
  <c r="C232" i="5"/>
  <c r="C229" i="5"/>
  <c r="C226" i="5"/>
  <c r="G254" i="5"/>
  <c r="G217" i="5"/>
  <c r="C217" i="5"/>
  <c r="G213" i="5"/>
  <c r="C213" i="5"/>
  <c r="G210" i="5"/>
  <c r="C210" i="5"/>
  <c r="G207" i="5"/>
  <c r="C207" i="5"/>
  <c r="G203" i="5"/>
  <c r="C203" i="5"/>
  <c r="G199" i="5"/>
  <c r="C199" i="5"/>
  <c r="C196" i="5"/>
  <c r="G192" i="5"/>
  <c r="C192" i="5"/>
  <c r="G188" i="5"/>
  <c r="C188" i="5"/>
  <c r="G185" i="5"/>
  <c r="C185" i="5"/>
  <c r="G182" i="5"/>
  <c r="C182" i="5"/>
  <c r="G178" i="5"/>
  <c r="C178" i="5"/>
  <c r="J175" i="5"/>
  <c r="J178" i="5" s="1"/>
  <c r="J182" i="5" s="1"/>
  <c r="J185" i="5" s="1"/>
  <c r="J188" i="5" s="1"/>
  <c r="J192" i="5" s="1"/>
  <c r="J196" i="5" s="1"/>
  <c r="J199" i="5" s="1"/>
  <c r="J203" i="5" s="1"/>
  <c r="J207" i="5" s="1"/>
  <c r="J210" i="5" s="1"/>
  <c r="J213" i="5" s="1"/>
  <c r="J217" i="5" s="1"/>
  <c r="G175" i="5"/>
  <c r="C175" i="5"/>
  <c r="G172" i="5"/>
  <c r="C172" i="5"/>
  <c r="G109" i="5"/>
  <c r="C109" i="5"/>
  <c r="G105" i="5"/>
  <c r="C105" i="5"/>
  <c r="G102" i="5"/>
  <c r="C102" i="5"/>
  <c r="R99" i="5"/>
  <c r="H99" i="5"/>
  <c r="G99" i="5"/>
  <c r="C99" i="5"/>
  <c r="G95" i="5"/>
  <c r="C95" i="5"/>
  <c r="G91" i="5"/>
  <c r="C91" i="5"/>
  <c r="C88" i="5"/>
  <c r="G84" i="5"/>
  <c r="C84" i="5"/>
  <c r="G79" i="5"/>
  <c r="C79" i="5"/>
  <c r="G75" i="5"/>
  <c r="C75" i="5"/>
  <c r="G72" i="5"/>
  <c r="C72" i="5"/>
  <c r="G68" i="5"/>
  <c r="C68" i="5"/>
  <c r="G65" i="5"/>
  <c r="C65" i="5"/>
  <c r="G62" i="5"/>
  <c r="C62" i="5"/>
  <c r="G163" i="5"/>
  <c r="C163" i="5"/>
  <c r="G159" i="5"/>
  <c r="C159" i="5"/>
  <c r="G250" i="5"/>
  <c r="G243" i="5"/>
  <c r="G239" i="5"/>
  <c r="G236" i="5"/>
  <c r="G232" i="5"/>
  <c r="G229" i="5"/>
  <c r="G226" i="5"/>
  <c r="G156" i="5"/>
  <c r="C156" i="5"/>
  <c r="G38" i="6"/>
  <c r="G34" i="6"/>
  <c r="H9" i="6"/>
  <c r="H12" i="6" s="1"/>
  <c r="H15" i="6" s="1"/>
  <c r="H18" i="6" s="1"/>
  <c r="H21" i="6" s="1"/>
  <c r="H25" i="6" s="1"/>
  <c r="G25" i="6"/>
  <c r="G21" i="6"/>
  <c r="G18" i="6"/>
  <c r="G15" i="6"/>
  <c r="G12" i="6"/>
  <c r="G9" i="6"/>
  <c r="G6" i="6"/>
  <c r="G153" i="5"/>
  <c r="C153" i="5"/>
  <c r="C149" i="5"/>
  <c r="C145" i="5"/>
  <c r="C142" i="5"/>
  <c r="C138" i="5"/>
  <c r="C134" i="5"/>
  <c r="C131" i="5"/>
  <c r="C128" i="5"/>
  <c r="C124" i="5"/>
  <c r="C121" i="5"/>
  <c r="C118" i="5"/>
  <c r="C53" i="5"/>
  <c r="C49" i="5"/>
  <c r="C46" i="5"/>
  <c r="C43" i="5"/>
  <c r="C39" i="5"/>
  <c r="C35" i="5"/>
  <c r="C32" i="5"/>
  <c r="C28" i="5"/>
  <c r="C23" i="5"/>
  <c r="C19" i="5"/>
  <c r="C16" i="5"/>
  <c r="C12" i="5"/>
  <c r="C9" i="5"/>
  <c r="C6" i="5"/>
  <c r="J121" i="5"/>
  <c r="J124" i="5" s="1"/>
  <c r="J128" i="5" s="1"/>
  <c r="J131" i="5" s="1"/>
  <c r="J134" i="5" s="1"/>
  <c r="J138" i="5" s="1"/>
  <c r="J142" i="5" s="1"/>
  <c r="J145" i="5" s="1"/>
  <c r="J149" i="5" s="1"/>
  <c r="J153" i="5" s="1"/>
  <c r="J156" i="5" s="1"/>
  <c r="J159" i="5" s="1"/>
  <c r="J163" i="5" s="1"/>
  <c r="G149" i="5"/>
  <c r="G145" i="5"/>
  <c r="G138" i="5"/>
  <c r="G134" i="5"/>
  <c r="G131" i="5"/>
  <c r="G128" i="5"/>
  <c r="G124" i="5"/>
  <c r="G121" i="5"/>
  <c r="C102" i="4"/>
  <c r="C98" i="4"/>
  <c r="C95" i="4"/>
  <c r="C92" i="4"/>
  <c r="C88" i="4"/>
  <c r="C84" i="4"/>
  <c r="C81" i="4"/>
  <c r="C73" i="4"/>
  <c r="C70" i="4"/>
  <c r="C66" i="4"/>
  <c r="C63" i="4"/>
  <c r="C60" i="4"/>
  <c r="G102" i="4"/>
  <c r="G98" i="4"/>
  <c r="C9" i="11"/>
  <c r="C8" i="11"/>
  <c r="G118" i="5" l="1"/>
  <c r="G53" i="5"/>
  <c r="G49" i="5"/>
  <c r="G46" i="5"/>
  <c r="G43" i="5"/>
  <c r="G39" i="5"/>
  <c r="G35" i="5"/>
  <c r="G28" i="5"/>
  <c r="G23" i="5"/>
  <c r="G19" i="5"/>
  <c r="G16" i="5"/>
  <c r="G12" i="5"/>
  <c r="G9" i="5"/>
  <c r="G6" i="5"/>
  <c r="C51" i="4" l="1"/>
  <c r="C47" i="4"/>
  <c r="C44" i="4"/>
  <c r="C41" i="4"/>
  <c r="C30" i="4"/>
  <c r="C37" i="4"/>
  <c r="C33" i="4"/>
  <c r="C22" i="4"/>
  <c r="C19" i="4"/>
  <c r="C16" i="4"/>
  <c r="C12" i="4"/>
  <c r="C9" i="4"/>
  <c r="C6" i="4"/>
  <c r="G88" i="4"/>
  <c r="J63" i="4"/>
  <c r="G92" i="4"/>
  <c r="G95" i="4"/>
  <c r="G84" i="4"/>
  <c r="G77" i="4"/>
  <c r="G73" i="4"/>
  <c r="G70" i="4"/>
  <c r="G66" i="4"/>
  <c r="G63" i="4"/>
  <c r="G60" i="4"/>
  <c r="Q166" i="11" l="1"/>
  <c r="Z15" i="11"/>
  <c r="Z16" i="11" s="1"/>
  <c r="J177" i="11"/>
  <c r="I177" i="11"/>
  <c r="H177" i="11"/>
  <c r="G177" i="11"/>
  <c r="F177" i="11"/>
  <c r="J176" i="11"/>
  <c r="I176" i="11"/>
  <c r="H176" i="11"/>
  <c r="G176" i="11"/>
  <c r="F176" i="11"/>
  <c r="G51" i="4"/>
  <c r="G47" i="4"/>
  <c r="G44" i="4"/>
  <c r="G41" i="4"/>
  <c r="G37" i="4"/>
  <c r="G33" i="4"/>
  <c r="G26" i="4"/>
  <c r="G22" i="4"/>
  <c r="G19" i="4"/>
  <c r="G16" i="4"/>
  <c r="G12" i="4"/>
  <c r="G9" i="4"/>
  <c r="G6" i="4"/>
  <c r="C308" i="11"/>
  <c r="E308" i="11"/>
  <c r="C309" i="11"/>
  <c r="E309" i="11"/>
  <c r="C310" i="11"/>
  <c r="E310" i="11"/>
  <c r="E314" i="11"/>
  <c r="E313" i="11"/>
  <c r="C313" i="11"/>
  <c r="E312" i="11"/>
  <c r="C312" i="11"/>
  <c r="E311" i="11"/>
  <c r="C311" i="11"/>
  <c r="D330" i="11"/>
  <c r="D329" i="11"/>
  <c r="D328" i="11"/>
  <c r="D327" i="11"/>
  <c r="D325" i="11"/>
  <c r="D326" i="11"/>
  <c r="D324" i="11"/>
  <c r="D323" i="11"/>
  <c r="D322" i="11"/>
  <c r="D321" i="11"/>
  <c r="D320" i="11"/>
  <c r="D319" i="11"/>
  <c r="D318" i="11"/>
  <c r="D317" i="11"/>
  <c r="C319" i="11"/>
  <c r="E319" i="11"/>
  <c r="C320" i="11"/>
  <c r="E320" i="11"/>
  <c r="C321" i="11"/>
  <c r="E321" i="11"/>
  <c r="C322" i="11"/>
  <c r="E322" i="11"/>
  <c r="C323" i="11"/>
  <c r="E323" i="11"/>
  <c r="C324" i="11"/>
  <c r="E324" i="11"/>
  <c r="C6" i="1"/>
  <c r="E306" i="11"/>
  <c r="C306" i="11"/>
  <c r="E305" i="11"/>
  <c r="C305" i="11"/>
  <c r="E304" i="11"/>
  <c r="C304" i="11"/>
  <c r="E303" i="11"/>
  <c r="R166" i="11" l="1"/>
  <c r="G166" i="11"/>
  <c r="AC63" i="4"/>
  <c r="AB63" i="4"/>
  <c r="AB95" i="4"/>
  <c r="AB81" i="4"/>
  <c r="AA84" i="4"/>
  <c r="AD81" i="4"/>
  <c r="AA63" i="4"/>
  <c r="X63" i="4"/>
  <c r="X81" i="4"/>
  <c r="AE84" i="4"/>
  <c r="Z63" i="4"/>
  <c r="AD63" i="4"/>
  <c r="Z35" i="7"/>
  <c r="AE44" i="7"/>
  <c r="AA44" i="7"/>
  <c r="AD319" i="5"/>
  <c r="Z319" i="5"/>
  <c r="AB315" i="5"/>
  <c r="X315" i="5"/>
  <c r="AD312" i="5"/>
  <c r="Z312" i="5"/>
  <c r="AB309" i="5"/>
  <c r="X309" i="5"/>
  <c r="AD305" i="5"/>
  <c r="Z305" i="5"/>
  <c r="AB301" i="5"/>
  <c r="X301" i="5"/>
  <c r="AD298" i="5"/>
  <c r="Z298" i="5"/>
  <c r="AB294" i="5"/>
  <c r="X294" i="5"/>
  <c r="AD290" i="5"/>
  <c r="Z290" i="5"/>
  <c r="AB287" i="5"/>
  <c r="X287" i="5"/>
  <c r="AD283" i="5"/>
  <c r="Z283" i="5"/>
  <c r="AB280" i="5"/>
  <c r="X280" i="5"/>
  <c r="AD277" i="5"/>
  <c r="Z277" i="5"/>
  <c r="AB268" i="5"/>
  <c r="X268" i="5"/>
  <c r="AB264" i="5"/>
  <c r="X264" i="5"/>
  <c r="AB261" i="5"/>
  <c r="X261" i="5"/>
  <c r="AB258" i="5"/>
  <c r="X258" i="5"/>
  <c r="AB254" i="5"/>
  <c r="X254" i="5"/>
  <c r="AB250" i="5"/>
  <c r="X250" i="5"/>
  <c r="AB247" i="5"/>
  <c r="X247" i="5"/>
  <c r="AB243" i="5"/>
  <c r="X243" i="5"/>
  <c r="AB239" i="5"/>
  <c r="X239" i="5"/>
  <c r="AB236" i="5"/>
  <c r="X236" i="5"/>
  <c r="AB232" i="5"/>
  <c r="X232" i="5"/>
  <c r="AB229" i="5"/>
  <c r="X229" i="5"/>
  <c r="AB226" i="5"/>
  <c r="X226" i="5"/>
  <c r="AB217" i="5"/>
  <c r="X217" i="5"/>
  <c r="AD213" i="5"/>
  <c r="Z213" i="5"/>
  <c r="AB210" i="5"/>
  <c r="X210" i="5"/>
  <c r="AE207" i="5"/>
  <c r="AA207" i="5"/>
  <c r="AD203" i="5"/>
  <c r="Z203" i="5"/>
  <c r="AB199" i="5"/>
  <c r="X199" i="5"/>
  <c r="AD196" i="5"/>
  <c r="Z196" i="5"/>
  <c r="AB192" i="5"/>
  <c r="X192" i="5"/>
  <c r="AD188" i="5"/>
  <c r="Z188" i="5"/>
  <c r="AB185" i="5"/>
  <c r="X185" i="5"/>
  <c r="AD182" i="5"/>
  <c r="AB44" i="7"/>
  <c r="AC319" i="5"/>
  <c r="X319" i="5"/>
  <c r="AD315" i="5"/>
  <c r="Y315" i="5"/>
  <c r="AC312" i="5"/>
  <c r="X312" i="5"/>
  <c r="AD309" i="5"/>
  <c r="Y309" i="5"/>
  <c r="AC305" i="5"/>
  <c r="X305" i="5"/>
  <c r="AD301" i="5"/>
  <c r="Y301" i="5"/>
  <c r="AC298" i="5"/>
  <c r="X298" i="5"/>
  <c r="AD294" i="5"/>
  <c r="Y294" i="5"/>
  <c r="AC290" i="5"/>
  <c r="X290" i="5"/>
  <c r="AD287" i="5"/>
  <c r="Y287" i="5"/>
  <c r="AC283" i="5"/>
  <c r="X283" i="5"/>
  <c r="AD280" i="5"/>
  <c r="Y280" i="5"/>
  <c r="AC277" i="5"/>
  <c r="X277" i="5"/>
  <c r="AD268" i="5"/>
  <c r="Y268" i="5"/>
  <c r="AA264" i="5"/>
  <c r="AD261" i="5"/>
  <c r="Y261" i="5"/>
  <c r="AA258" i="5"/>
  <c r="AD254" i="5"/>
  <c r="Y254" i="5"/>
  <c r="AA250" i="5"/>
  <c r="AD247" i="5"/>
  <c r="Y247" i="5"/>
  <c r="AA243" i="5"/>
  <c r="AD239" i="5"/>
  <c r="Y239" i="5"/>
  <c r="AA236" i="5"/>
  <c r="AD232" i="5"/>
  <c r="Y232" i="5"/>
  <c r="AA229" i="5"/>
  <c r="AD226" i="5"/>
  <c r="Y226" i="5"/>
  <c r="AA217" i="5"/>
  <c r="AA213" i="5"/>
  <c r="AA210" i="5"/>
  <c r="AB207" i="5"/>
  <c r="AC203" i="5"/>
  <c r="X203" i="5"/>
  <c r="AD199" i="5"/>
  <c r="Y199" i="5"/>
  <c r="AC196" i="5"/>
  <c r="X196" i="5"/>
  <c r="AD192" i="5"/>
  <c r="Y192" i="5"/>
  <c r="AC188" i="5"/>
  <c r="X188" i="5"/>
  <c r="AD185" i="5"/>
  <c r="Y185" i="5"/>
  <c r="AC182" i="5"/>
  <c r="Y182" i="5"/>
  <c r="AE178" i="5"/>
  <c r="AA178" i="5"/>
  <c r="AC175" i="5"/>
  <c r="Y175" i="5"/>
  <c r="AB172" i="5"/>
  <c r="X172" i="5"/>
  <c r="AD109" i="5"/>
  <c r="Z109" i="5"/>
  <c r="AB105" i="5"/>
  <c r="X105" i="5"/>
  <c r="AD102" i="5"/>
  <c r="Z102" i="5"/>
  <c r="AB99" i="5"/>
  <c r="X99" i="5"/>
  <c r="AD95" i="5"/>
  <c r="Z95" i="5"/>
  <c r="AB91" i="5"/>
  <c r="X91" i="5"/>
  <c r="AD88" i="5"/>
  <c r="Z88" i="5"/>
  <c r="AB84" i="5"/>
  <c r="X84" i="5"/>
  <c r="AD79" i="5"/>
  <c r="Z79" i="5"/>
  <c r="AB75" i="5"/>
  <c r="X75" i="5"/>
  <c r="AD72" i="5"/>
  <c r="Z72" i="5"/>
  <c r="AB68" i="5"/>
  <c r="X68" i="5"/>
  <c r="AD65" i="5"/>
  <c r="Z65" i="5"/>
  <c r="AB62" i="5"/>
  <c r="X62" i="5"/>
  <c r="AD163" i="5"/>
  <c r="Z44" i="7"/>
  <c r="X48" i="7"/>
  <c r="AB319" i="5"/>
  <c r="AC315" i="5"/>
  <c r="AB312" i="5"/>
  <c r="AC309" i="5"/>
  <c r="AB305" i="5"/>
  <c r="AC301" i="5"/>
  <c r="AB298" i="5"/>
  <c r="AC294" i="5"/>
  <c r="AB290" i="5"/>
  <c r="AC287" i="5"/>
  <c r="AB283" i="5"/>
  <c r="AC280" i="5"/>
  <c r="AB277" i="5"/>
  <c r="AC268" i="5"/>
  <c r="AE264" i="5"/>
  <c r="Z264" i="5"/>
  <c r="AC261" i="5"/>
  <c r="AE258" i="5"/>
  <c r="Z258" i="5"/>
  <c r="AC254" i="5"/>
  <c r="AE250" i="5"/>
  <c r="Z250" i="5"/>
  <c r="AC247" i="5"/>
  <c r="AE243" i="5"/>
  <c r="Z243" i="5"/>
  <c r="AC239" i="5"/>
  <c r="AE236" i="5"/>
  <c r="Z236" i="5"/>
  <c r="AC232" i="5"/>
  <c r="X44" i="7"/>
  <c r="AE319" i="5"/>
  <c r="Y312" i="5"/>
  <c r="AA309" i="5"/>
  <c r="AE305" i="5"/>
  <c r="Y298" i="5"/>
  <c r="AA294" i="5"/>
  <c r="AE290" i="5"/>
  <c r="Y283" i="5"/>
  <c r="AA280" i="5"/>
  <c r="AE277" i="5"/>
  <c r="AD264" i="5"/>
  <c r="AA261" i="5"/>
  <c r="Y258" i="5"/>
  <c r="AD250" i="5"/>
  <c r="AA247" i="5"/>
  <c r="Y243" i="5"/>
  <c r="AD236" i="5"/>
  <c r="AA232" i="5"/>
  <c r="AC229" i="5"/>
  <c r="AC226" i="5"/>
  <c r="AD217" i="5"/>
  <c r="AB213" i="5"/>
  <c r="Z210" i="5"/>
  <c r="Y207" i="5"/>
  <c r="Y203" i="5"/>
  <c r="AC199" i="5"/>
  <c r="Y196" i="5"/>
  <c r="AC192" i="5"/>
  <c r="Y188" i="5"/>
  <c r="AC185" i="5"/>
  <c r="Z182" i="5"/>
  <c r="AD178" i="5"/>
  <c r="Y178" i="5"/>
  <c r="AE175" i="5"/>
  <c r="Z175" i="5"/>
  <c r="AA172" i="5"/>
  <c r="AA109" i="5"/>
  <c r="AA105" i="5"/>
  <c r="AA102" i="5"/>
  <c r="AA99" i="5"/>
  <c r="AA95" i="5"/>
  <c r="AA91" i="5"/>
  <c r="AA88" i="5"/>
  <c r="AA84" i="5"/>
  <c r="AA79" i="5"/>
  <c r="AA75" i="5"/>
  <c r="AA72" i="5"/>
  <c r="AD44" i="7"/>
  <c r="AA319" i="5"/>
  <c r="AE315" i="5"/>
  <c r="Z309" i="5"/>
  <c r="AA305" i="5"/>
  <c r="AE301" i="5"/>
  <c r="Z294" i="5"/>
  <c r="AA290" i="5"/>
  <c r="AE287" i="5"/>
  <c r="Z280" i="5"/>
  <c r="AA277" i="5"/>
  <c r="AE268" i="5"/>
  <c r="AC264" i="5"/>
  <c r="Z261" i="5"/>
  <c r="AE254" i="5"/>
  <c r="AC250" i="5"/>
  <c r="Z247" i="5"/>
  <c r="AE239" i="5"/>
  <c r="AC236" i="5"/>
  <c r="Z232" i="5"/>
  <c r="Z229" i="5"/>
  <c r="AA226" i="5"/>
  <c r="AC217" i="5"/>
  <c r="Y213" i="5"/>
  <c r="AE210" i="5"/>
  <c r="Y210" i="5"/>
  <c r="AD207" i="5"/>
  <c r="X207" i="5"/>
  <c r="AE203" i="5"/>
  <c r="AA199" i="5"/>
  <c r="AE196" i="5"/>
  <c r="AA192" i="5"/>
  <c r="AE188" i="5"/>
  <c r="AA185" i="5"/>
  <c r="AE182" i="5"/>
  <c r="X182" i="5"/>
  <c r="AC178" i="5"/>
  <c r="X178" i="5"/>
  <c r="AD175" i="5"/>
  <c r="X175" i="5"/>
  <c r="AE172" i="5"/>
  <c r="Z172" i="5"/>
  <c r="AE109" i="5"/>
  <c r="Y109" i="5"/>
  <c r="AE105" i="5"/>
  <c r="Z105" i="5"/>
  <c r="AE102" i="5"/>
  <c r="Y102" i="5"/>
  <c r="AE99" i="5"/>
  <c r="Z99" i="5"/>
  <c r="AE95" i="5"/>
  <c r="Y95" i="5"/>
  <c r="AE91" i="5"/>
  <c r="Z91" i="5"/>
  <c r="AE88" i="5"/>
  <c r="Y88" i="5"/>
  <c r="AE84" i="5"/>
  <c r="Z84" i="5"/>
  <c r="AE79" i="5"/>
  <c r="Y79" i="5"/>
  <c r="AE75" i="5"/>
  <c r="Z75" i="5"/>
  <c r="AE72" i="5"/>
  <c r="Y72" i="5"/>
  <c r="AE68" i="5"/>
  <c r="Z68" i="5"/>
  <c r="AE65" i="5"/>
  <c r="Y65" i="5"/>
  <c r="AE62" i="5"/>
  <c r="Z62" i="5"/>
  <c r="AE163" i="5"/>
  <c r="Z163" i="5"/>
  <c r="Y319" i="5"/>
  <c r="Z315" i="5"/>
  <c r="AA312" i="5"/>
  <c r="Y290" i="5"/>
  <c r="Z287" i="5"/>
  <c r="AA283" i="5"/>
  <c r="AE261" i="5"/>
  <c r="Z254" i="5"/>
  <c r="AC243" i="5"/>
  <c r="AE232" i="5"/>
  <c r="AE226" i="5"/>
  <c r="Y217" i="5"/>
  <c r="AC213" i="5"/>
  <c r="AD210" i="5"/>
  <c r="AC172" i="5"/>
  <c r="AC109" i="5"/>
  <c r="X102" i="5"/>
  <c r="AC99" i="5"/>
  <c r="AC95" i="5"/>
  <c r="X88" i="5"/>
  <c r="AC84" i="5"/>
  <c r="AC79" i="5"/>
  <c r="X72" i="5"/>
  <c r="AC68" i="5"/>
  <c r="X65" i="5"/>
  <c r="AC62" i="5"/>
  <c r="Y163" i="5"/>
  <c r="AE159" i="5"/>
  <c r="AA159" i="5"/>
  <c r="AD156" i="5"/>
  <c r="Z156" i="5"/>
  <c r="AB153" i="5"/>
  <c r="X153" i="5"/>
  <c r="AB149" i="5"/>
  <c r="X149" i="5"/>
  <c r="Y44" i="7"/>
  <c r="Z301" i="5"/>
  <c r="Y277" i="5"/>
  <c r="AC258" i="5"/>
  <c r="Z239" i="5"/>
  <c r="Z207" i="5"/>
  <c r="AE199" i="5"/>
  <c r="AE192" i="5"/>
  <c r="AE185" i="5"/>
  <c r="AB178" i="5"/>
  <c r="AC105" i="5"/>
  <c r="AC91" i="5"/>
  <c r="X79" i="5"/>
  <c r="AC72" i="5"/>
  <c r="AB65" i="5"/>
  <c r="AB163" i="5"/>
  <c r="Y159" i="5"/>
  <c r="X156" i="5"/>
  <c r="AD153" i="5"/>
  <c r="Z149" i="5"/>
  <c r="Z48" i="7"/>
  <c r="AA315" i="5"/>
  <c r="AE309" i="5"/>
  <c r="AA287" i="5"/>
  <c r="AE283" i="5"/>
  <c r="AE280" i="5"/>
  <c r="Y264" i="5"/>
  <c r="AD243" i="5"/>
  <c r="Y229" i="5"/>
  <c r="AE213" i="5"/>
  <c r="Z199" i="5"/>
  <c r="Z192" i="5"/>
  <c r="Z185" i="5"/>
  <c r="Z178" i="5"/>
  <c r="AD172" i="5"/>
  <c r="Y105" i="5"/>
  <c r="AD99" i="5"/>
  <c r="AB88" i="5"/>
  <c r="Y75" i="5"/>
  <c r="AD68" i="5"/>
  <c r="AA65" i="5"/>
  <c r="AB159" i="5"/>
  <c r="AA156" i="5"/>
  <c r="Y153" i="5"/>
  <c r="AC149" i="5"/>
  <c r="Y149" i="5"/>
  <c r="AC44" i="7"/>
  <c r="AA301" i="5"/>
  <c r="AE298" i="5"/>
  <c r="AE294" i="5"/>
  <c r="AA268" i="5"/>
  <c r="AD258" i="5"/>
  <c r="Y250" i="5"/>
  <c r="AA239" i="5"/>
  <c r="AE229" i="5"/>
  <c r="Z226" i="5"/>
  <c r="X213" i="5"/>
  <c r="AC210" i="5"/>
  <c r="AC207" i="5"/>
  <c r="Y172" i="5"/>
  <c r="AB109" i="5"/>
  <c r="AD105" i="5"/>
  <c r="Y99" i="5"/>
  <c r="AB95" i="5"/>
  <c r="AD91" i="5"/>
  <c r="Y84" i="5"/>
  <c r="AB79" i="5"/>
  <c r="AD75" i="5"/>
  <c r="AA68" i="5"/>
  <c r="AC65" i="5"/>
  <c r="AA62" i="5"/>
  <c r="AC163" i="5"/>
  <c r="X163" i="5"/>
  <c r="AD159" i="5"/>
  <c r="Z159" i="5"/>
  <c r="AC156" i="5"/>
  <c r="Y156" i="5"/>
  <c r="AE153" i="5"/>
  <c r="AA153" i="5"/>
  <c r="AE149" i="5"/>
  <c r="AA149" i="5"/>
  <c r="Y305" i="5"/>
  <c r="AA298" i="5"/>
  <c r="Z268" i="5"/>
  <c r="AE247" i="5"/>
  <c r="AD229" i="5"/>
  <c r="AE217" i="5"/>
  <c r="AB203" i="5"/>
  <c r="AB196" i="5"/>
  <c r="AB188" i="5"/>
  <c r="AB182" i="5"/>
  <c r="AB175" i="5"/>
  <c r="X109" i="5"/>
  <c r="AC102" i="5"/>
  <c r="X95" i="5"/>
  <c r="AC88" i="5"/>
  <c r="AC75" i="5"/>
  <c r="Y68" i="5"/>
  <c r="Y62" i="5"/>
  <c r="AC159" i="5"/>
  <c r="AB156" i="5"/>
  <c r="Z153" i="5"/>
  <c r="AD149" i="5"/>
  <c r="AE312" i="5"/>
  <c r="AA254" i="5"/>
  <c r="Y236" i="5"/>
  <c r="Z217" i="5"/>
  <c r="AA203" i="5"/>
  <c r="AA196" i="5"/>
  <c r="AA188" i="5"/>
  <c r="AA182" i="5"/>
  <c r="AA175" i="5"/>
  <c r="AB102" i="5"/>
  <c r="Y91" i="5"/>
  <c r="AD84" i="5"/>
  <c r="AB72" i="5"/>
  <c r="AD62" i="5"/>
  <c r="AA163" i="5"/>
  <c r="X159" i="5"/>
  <c r="AE156" i="5"/>
  <c r="AC153" i="5"/>
  <c r="AC84" i="4"/>
  <c r="AB51" i="4"/>
  <c r="Z6" i="7"/>
  <c r="X66" i="4"/>
  <c r="AE63" i="4"/>
  <c r="Z81" i="4"/>
  <c r="Y84" i="4"/>
  <c r="AD102" i="4"/>
  <c r="Z102" i="4"/>
  <c r="AC98" i="4"/>
  <c r="Y98" i="4"/>
  <c r="AC102" i="4"/>
  <c r="Y102" i="4"/>
  <c r="AB98" i="4"/>
  <c r="X98" i="4"/>
  <c r="AB102" i="4"/>
  <c r="X102" i="4"/>
  <c r="AE98" i="4"/>
  <c r="AA98" i="4"/>
  <c r="AE102" i="4"/>
  <c r="AA102" i="4"/>
  <c r="AD98" i="4"/>
  <c r="Z98" i="4"/>
  <c r="AD95" i="4"/>
  <c r="Z95" i="4"/>
  <c r="AD92" i="4"/>
  <c r="Z92" i="4"/>
  <c r="AD88" i="4"/>
  <c r="Z88" i="4"/>
  <c r="AE77" i="4"/>
  <c r="AA77" i="4"/>
  <c r="AD73" i="4"/>
  <c r="Z73" i="4"/>
  <c r="AD70" i="4"/>
  <c r="Z70" i="4"/>
  <c r="AD66" i="4"/>
  <c r="Z66" i="4"/>
  <c r="AD60" i="4"/>
  <c r="Z60" i="4"/>
  <c r="AC95" i="4"/>
  <c r="Y95" i="4"/>
  <c r="AC92" i="4"/>
  <c r="Y92" i="4"/>
  <c r="AC88" i="4"/>
  <c r="Y88" i="4"/>
  <c r="AD77" i="4"/>
  <c r="Z77" i="4"/>
  <c r="AC73" i="4"/>
  <c r="Y73" i="4"/>
  <c r="AC70" i="4"/>
  <c r="Y70" i="4"/>
  <c r="AC66" i="4"/>
  <c r="Y66" i="4"/>
  <c r="AC60" i="4"/>
  <c r="Y60" i="4"/>
  <c r="AE60" i="4"/>
  <c r="X95" i="4"/>
  <c r="AB92" i="4"/>
  <c r="X92" i="4"/>
  <c r="AB88" i="4"/>
  <c r="X88" i="4"/>
  <c r="AC77" i="4"/>
  <c r="Y77" i="4"/>
  <c r="AB73" i="4"/>
  <c r="X73" i="4"/>
  <c r="AB70" i="4"/>
  <c r="X70" i="4"/>
  <c r="AB66" i="4"/>
  <c r="AB60" i="4"/>
  <c r="X60" i="4"/>
  <c r="AE95" i="4"/>
  <c r="AA95" i="4"/>
  <c r="AE92" i="4"/>
  <c r="AA92" i="4"/>
  <c r="AE88" i="4"/>
  <c r="AA88" i="4"/>
  <c r="X77" i="4"/>
  <c r="AB77" i="4"/>
  <c r="AE73" i="4"/>
  <c r="AA73" i="4"/>
  <c r="AE70" i="4"/>
  <c r="AA70" i="4"/>
  <c r="AE66" i="4"/>
  <c r="AA66" i="4"/>
  <c r="AA60" i="4"/>
  <c r="X51" i="4"/>
  <c r="Y10" i="7"/>
  <c r="AD6" i="7"/>
  <c r="Z31" i="7"/>
  <c r="AD31" i="7"/>
  <c r="AD35" i="7"/>
  <c r="AA81" i="4"/>
  <c r="AE81" i="4"/>
  <c r="Z84" i="4"/>
  <c r="AD84" i="4"/>
  <c r="Y51" i="4"/>
  <c r="AC51" i="4"/>
  <c r="AA6" i="7"/>
  <c r="AE6" i="7"/>
  <c r="AA31" i="7"/>
  <c r="AE31" i="7"/>
  <c r="AA35" i="7"/>
  <c r="AE35" i="7"/>
  <c r="Y63" i="4"/>
  <c r="Z51" i="4"/>
  <c r="AD51" i="4"/>
  <c r="X6" i="7"/>
  <c r="AB6" i="7"/>
  <c r="X25" i="7"/>
  <c r="AB31" i="7"/>
  <c r="X35" i="7"/>
  <c r="AB35" i="7"/>
  <c r="Y81" i="4"/>
  <c r="AC81" i="4"/>
  <c r="X84" i="4"/>
  <c r="AB84" i="4"/>
  <c r="X21" i="7"/>
  <c r="Y54" i="7"/>
  <c r="AA51" i="4"/>
  <c r="AE51" i="4"/>
  <c r="Y48" i="7"/>
  <c r="X10" i="7"/>
  <c r="Y6" i="7"/>
  <c r="AC6" i="7"/>
  <c r="Y25" i="7"/>
  <c r="Y31" i="7"/>
  <c r="AC31" i="7"/>
  <c r="Y35" i="7"/>
  <c r="AC35" i="7"/>
  <c r="Z21" i="7"/>
  <c r="Y21" i="7"/>
  <c r="Z54" i="7"/>
  <c r="Z25" i="7"/>
  <c r="AA48" i="7"/>
  <c r="S166" i="11" l="1"/>
  <c r="H166" i="11"/>
  <c r="Z10" i="7"/>
  <c r="AA21" i="7"/>
  <c r="AA54" i="7"/>
  <c r="AB48" i="7"/>
  <c r="AA25" i="7"/>
  <c r="T166" i="11" l="1"/>
  <c r="J166" i="11" s="1"/>
  <c r="I166" i="11"/>
  <c r="AA10" i="7"/>
  <c r="AB21" i="7"/>
  <c r="AB54" i="7"/>
  <c r="AC48" i="7"/>
  <c r="AB25" i="7"/>
  <c r="AB10" i="7" l="1"/>
  <c r="AC21" i="7"/>
  <c r="AC54" i="7"/>
  <c r="AC25" i="7"/>
  <c r="AD48" i="7"/>
  <c r="AC10" i="7" l="1"/>
  <c r="AD21" i="7"/>
  <c r="AE21" i="7"/>
  <c r="AE54" i="7"/>
  <c r="AD54" i="7"/>
  <c r="AD25" i="7"/>
  <c r="AE25" i="7" l="1"/>
  <c r="AE48" i="7"/>
  <c r="AE10" i="7"/>
  <c r="AD10" i="7"/>
  <c r="N108" i="1" l="1"/>
  <c r="O108" i="1" s="1"/>
  <c r="P108" i="1" s="1"/>
  <c r="Q108" i="1" s="1"/>
  <c r="N57" i="1"/>
  <c r="O57" i="1" s="1"/>
  <c r="P57" i="1" s="1"/>
  <c r="Q57" i="1" s="1"/>
  <c r="C174" i="11"/>
  <c r="E174" i="11"/>
  <c r="C18" i="11"/>
  <c r="E18" i="11"/>
  <c r="C19" i="11"/>
  <c r="E19" i="11"/>
  <c r="C20" i="11"/>
  <c r="E20" i="11"/>
  <c r="C21" i="11"/>
  <c r="E21" i="11"/>
  <c r="E99" i="11"/>
  <c r="C99" i="11"/>
  <c r="E98" i="11"/>
  <c r="C98" i="11"/>
  <c r="E12" i="11"/>
  <c r="C12" i="11"/>
  <c r="E13" i="11"/>
  <c r="C13" i="11"/>
  <c r="C23" i="11"/>
  <c r="E23" i="11"/>
  <c r="C24" i="11"/>
  <c r="E24" i="11"/>
  <c r="E307" i="11"/>
  <c r="Z10" i="11"/>
  <c r="Z11" i="11" s="1"/>
  <c r="E219" i="11"/>
  <c r="E220" i="11"/>
  <c r="E10" i="11"/>
  <c r="C220" i="11"/>
  <c r="C219" i="11"/>
  <c r="E302" i="11"/>
  <c r="C302" i="11"/>
  <c r="E301" i="11"/>
  <c r="C301" i="11"/>
  <c r="E300" i="11"/>
  <c r="C300" i="11"/>
  <c r="E299" i="11"/>
  <c r="C299" i="11"/>
  <c r="E298" i="11"/>
  <c r="C298" i="11"/>
  <c r="E297" i="11"/>
  <c r="C297" i="11"/>
  <c r="E296" i="11"/>
  <c r="C296" i="11"/>
  <c r="E295" i="11"/>
  <c r="C295" i="11"/>
  <c r="E294" i="11"/>
  <c r="C294" i="11"/>
  <c r="E293" i="11"/>
  <c r="C293" i="11"/>
  <c r="E288" i="11"/>
  <c r="C288" i="11"/>
  <c r="E287" i="11"/>
  <c r="C287" i="11"/>
  <c r="E292" i="11"/>
  <c r="C292" i="11"/>
  <c r="E291" i="11"/>
  <c r="C291" i="11"/>
  <c r="E290" i="11"/>
  <c r="C290" i="11"/>
  <c r="E289" i="11"/>
  <c r="C289" i="11"/>
  <c r="E286" i="11"/>
  <c r="C286" i="11"/>
  <c r="E285" i="11"/>
  <c r="C285" i="11"/>
  <c r="E284" i="11"/>
  <c r="C284" i="11"/>
  <c r="E283" i="11"/>
  <c r="C283" i="11"/>
  <c r="E282" i="11"/>
  <c r="C282" i="11"/>
  <c r="E281" i="11"/>
  <c r="C281" i="11"/>
  <c r="E280" i="11"/>
  <c r="C280" i="11"/>
  <c r="E279" i="11"/>
  <c r="C279" i="11"/>
  <c r="E278" i="11"/>
  <c r="C278" i="11"/>
  <c r="E277" i="11"/>
  <c r="C277" i="11"/>
  <c r="E276" i="11"/>
  <c r="C276" i="11"/>
  <c r="E275" i="11"/>
  <c r="C275" i="11"/>
  <c r="E274" i="11"/>
  <c r="C274" i="11"/>
  <c r="E273" i="11"/>
  <c r="C273" i="11"/>
  <c r="E272" i="11"/>
  <c r="C272" i="11"/>
  <c r="E271" i="11"/>
  <c r="C271" i="11"/>
  <c r="E270" i="11"/>
  <c r="C270" i="11"/>
  <c r="E269" i="11"/>
  <c r="C269" i="11"/>
  <c r="E268" i="11"/>
  <c r="C268" i="11"/>
  <c r="E267" i="11"/>
  <c r="C267" i="11"/>
  <c r="E266" i="11"/>
  <c r="C266" i="11"/>
  <c r="E265" i="11"/>
  <c r="C265" i="11"/>
  <c r="E260" i="11"/>
  <c r="C260" i="11"/>
  <c r="E259" i="11"/>
  <c r="C259" i="11"/>
  <c r="E264" i="11"/>
  <c r="C264" i="11"/>
  <c r="E263" i="11"/>
  <c r="C263" i="11"/>
  <c r="E262" i="11"/>
  <c r="C262" i="11"/>
  <c r="E261" i="11"/>
  <c r="C261" i="11"/>
  <c r="E258" i="11"/>
  <c r="C258" i="11"/>
  <c r="E257" i="11"/>
  <c r="C257" i="11"/>
  <c r="E256" i="11"/>
  <c r="C256" i="11"/>
  <c r="E255" i="11"/>
  <c r="C255" i="11"/>
  <c r="E254" i="11"/>
  <c r="C254" i="11"/>
  <c r="E253" i="11"/>
  <c r="C253" i="11"/>
  <c r="E250" i="11"/>
  <c r="C250" i="11"/>
  <c r="E249" i="11"/>
  <c r="C249" i="11"/>
  <c r="E248" i="11"/>
  <c r="C248" i="11"/>
  <c r="E247" i="11"/>
  <c r="C247" i="11"/>
  <c r="E246" i="11"/>
  <c r="C246" i="11"/>
  <c r="E245" i="11"/>
  <c r="C245" i="11"/>
  <c r="AD25" i="11"/>
  <c r="Q15" i="7" l="1"/>
  <c r="P15" i="7"/>
  <c r="O15" i="7"/>
  <c r="M12" i="7"/>
  <c r="N15" i="7"/>
  <c r="M15" i="7"/>
  <c r="Q12" i="7"/>
  <c r="P12" i="7"/>
  <c r="O12" i="7"/>
  <c r="N12" i="7"/>
  <c r="R43" i="9"/>
  <c r="P40" i="9"/>
  <c r="N36" i="9"/>
  <c r="Q32" i="9"/>
  <c r="Q43" i="9"/>
  <c r="O40" i="9"/>
  <c r="R35" i="9"/>
  <c r="P32" i="9"/>
  <c r="P43" i="9"/>
  <c r="N40" i="9"/>
  <c r="Q35" i="9"/>
  <c r="O32" i="9"/>
  <c r="O43" i="9"/>
  <c r="R39" i="9"/>
  <c r="P35" i="9"/>
  <c r="N32" i="9"/>
  <c r="P36" i="9"/>
  <c r="N43" i="9"/>
  <c r="Q39" i="9"/>
  <c r="O35" i="9"/>
  <c r="R42" i="9"/>
  <c r="P39" i="9"/>
  <c r="N35" i="9"/>
  <c r="Q42" i="9"/>
  <c r="O39" i="9"/>
  <c r="R33" i="9"/>
  <c r="P42" i="9"/>
  <c r="N39" i="9"/>
  <c r="Q33" i="9"/>
  <c r="O42" i="9"/>
  <c r="R36" i="9"/>
  <c r="P33" i="9"/>
  <c r="N33" i="9"/>
  <c r="N42" i="9"/>
  <c r="Q36" i="9"/>
  <c r="O33" i="9"/>
  <c r="R40" i="9"/>
  <c r="Q40" i="9"/>
  <c r="O36" i="9"/>
  <c r="R32" i="9"/>
  <c r="Q44" i="7"/>
  <c r="M44" i="7"/>
  <c r="P44" i="7"/>
  <c r="O44" i="7"/>
  <c r="N44" i="7"/>
  <c r="N46" i="7"/>
  <c r="N21" i="7"/>
  <c r="Q21" i="7"/>
  <c r="O21" i="7"/>
  <c r="P46" i="7"/>
  <c r="M46" i="7"/>
  <c r="M21" i="7"/>
  <c r="P21" i="7"/>
  <c r="Q46" i="7"/>
  <c r="O46" i="7"/>
  <c r="O191" i="5"/>
  <c r="P242" i="5"/>
  <c r="N293" i="5"/>
  <c r="O308" i="5"/>
  <c r="N242" i="5"/>
  <c r="Q206" i="5"/>
  <c r="O293" i="5"/>
  <c r="M257" i="5"/>
  <c r="P308" i="5"/>
  <c r="Q242" i="5"/>
  <c r="P206" i="5"/>
  <c r="P257" i="5"/>
  <c r="P191" i="5"/>
  <c r="M206" i="5"/>
  <c r="P322" i="5"/>
  <c r="N318" i="5"/>
  <c r="P314" i="5"/>
  <c r="N311" i="5"/>
  <c r="O304" i="5"/>
  <c r="Q300" i="5"/>
  <c r="M300" i="5"/>
  <c r="O297" i="5"/>
  <c r="P289" i="5"/>
  <c r="N286" i="5"/>
  <c r="P282" i="5"/>
  <c r="N279" i="5"/>
  <c r="M228" i="5"/>
  <c r="Q228" i="5"/>
  <c r="P231" i="5"/>
  <c r="O235" i="5"/>
  <c r="N238" i="5"/>
  <c r="M246" i="5"/>
  <c r="Q246" i="5"/>
  <c r="P249" i="5"/>
  <c r="O253" i="5"/>
  <c r="N260" i="5"/>
  <c r="M263" i="5"/>
  <c r="Q263" i="5"/>
  <c r="P267" i="5"/>
  <c r="O271" i="5"/>
  <c r="P220" i="5"/>
  <c r="Q216" i="5"/>
  <c r="M216" i="5"/>
  <c r="O212" i="5"/>
  <c r="Q209" i="5"/>
  <c r="M209" i="5"/>
  <c r="O202" i="5"/>
  <c r="Q198" i="5"/>
  <c r="M198" i="5"/>
  <c r="O195" i="5"/>
  <c r="P187" i="5"/>
  <c r="N184" i="5"/>
  <c r="P181" i="5"/>
  <c r="N177" i="5"/>
  <c r="P174" i="5"/>
  <c r="Q322" i="5"/>
  <c r="P318" i="5"/>
  <c r="O314" i="5"/>
  <c r="O311" i="5"/>
  <c r="N304" i="5"/>
  <c r="N300" i="5"/>
  <c r="M297" i="5"/>
  <c r="M289" i="5"/>
  <c r="Q286" i="5"/>
  <c r="Q282" i="5"/>
  <c r="P279" i="5"/>
  <c r="M231" i="5"/>
  <c r="M235" i="5"/>
  <c r="M238" i="5"/>
  <c r="N246" i="5"/>
  <c r="N249" i="5"/>
  <c r="N253" i="5"/>
  <c r="O260" i="5"/>
  <c r="O263" i="5"/>
  <c r="O267" i="5"/>
  <c r="P271" i="5"/>
  <c r="N220" i="5"/>
  <c r="N216" i="5"/>
  <c r="M212" i="5"/>
  <c r="Q202" i="5"/>
  <c r="P198" i="5"/>
  <c r="P195" i="5"/>
  <c r="O187" i="5"/>
  <c r="O184" i="5"/>
  <c r="N181" i="5"/>
  <c r="M177" i="5"/>
  <c r="M174" i="5"/>
  <c r="N322" i="5"/>
  <c r="Q318" i="5"/>
  <c r="M314" i="5"/>
  <c r="P311" i="5"/>
  <c r="M304" i="5"/>
  <c r="P300" i="5"/>
  <c r="Q289" i="5"/>
  <c r="M286" i="5"/>
  <c r="O282" i="5"/>
  <c r="N228" i="5"/>
  <c r="O231" i="5"/>
  <c r="Q235" i="5"/>
  <c r="O246" i="5"/>
  <c r="Q249" i="5"/>
  <c r="M260" i="5"/>
  <c r="P263" i="5"/>
  <c r="M271" i="5"/>
  <c r="O220" i="5"/>
  <c r="P212" i="5"/>
  <c r="N202" i="5"/>
  <c r="M195" i="5"/>
  <c r="M184" i="5"/>
  <c r="Q181" i="5"/>
  <c r="O174" i="5"/>
  <c r="O322" i="5"/>
  <c r="O318" i="5"/>
  <c r="Q314" i="5"/>
  <c r="Q311" i="5"/>
  <c r="N297" i="5"/>
  <c r="Q231" i="5"/>
  <c r="P238" i="5"/>
  <c r="O249" i="5"/>
  <c r="P260" i="5"/>
  <c r="N267" i="5"/>
  <c r="Q220" i="5"/>
  <c r="N209" i="5"/>
  <c r="M202" i="5"/>
  <c r="N198" i="5"/>
  <c r="N195" i="5"/>
  <c r="M322" i="5"/>
  <c r="M318" i="5"/>
  <c r="N314" i="5"/>
  <c r="M311" i="5"/>
  <c r="O289" i="5"/>
  <c r="P286" i="5"/>
  <c r="Q279" i="5"/>
  <c r="O228" i="5"/>
  <c r="N235" i="5"/>
  <c r="Q238" i="5"/>
  <c r="M253" i="5"/>
  <c r="Q260" i="5"/>
  <c r="Q267" i="5"/>
  <c r="M220" i="5"/>
  <c r="Q187" i="5"/>
  <c r="Q184" i="5"/>
  <c r="Q177" i="5"/>
  <c r="P304" i="5"/>
  <c r="P297" i="5"/>
  <c r="M279" i="5"/>
  <c r="N231" i="5"/>
  <c r="M249" i="5"/>
  <c r="M267" i="5"/>
  <c r="O216" i="5"/>
  <c r="O209" i="5"/>
  <c r="O198" i="5"/>
  <c r="M187" i="5"/>
  <c r="M181" i="5"/>
  <c r="N174" i="5"/>
  <c r="N289" i="5"/>
  <c r="N282" i="5"/>
  <c r="P235" i="5"/>
  <c r="P253" i="5"/>
  <c r="N271" i="5"/>
  <c r="Q212" i="5"/>
  <c r="P184" i="5"/>
  <c r="P177" i="5"/>
  <c r="O300" i="5"/>
  <c r="M282" i="5"/>
  <c r="O238" i="5"/>
  <c r="Q271" i="5"/>
  <c r="P202" i="5"/>
  <c r="N212" i="5"/>
  <c r="O177" i="5"/>
  <c r="O286" i="5"/>
  <c r="P228" i="5"/>
  <c r="N263" i="5"/>
  <c r="N187" i="5"/>
  <c r="Q297" i="5"/>
  <c r="O279" i="5"/>
  <c r="P246" i="5"/>
  <c r="P216" i="5"/>
  <c r="O181" i="5"/>
  <c r="Q253" i="5"/>
  <c r="Q195" i="5"/>
  <c r="Q304" i="5"/>
  <c r="P209" i="5"/>
  <c r="Q174" i="5"/>
  <c r="M191" i="5"/>
  <c r="Q191" i="5"/>
  <c r="N206" i="5"/>
  <c r="P293" i="5"/>
  <c r="N257" i="5"/>
  <c r="M308" i="5"/>
  <c r="Q308" i="5"/>
  <c r="N191" i="5"/>
  <c r="O206" i="5"/>
  <c r="O242" i="5"/>
  <c r="M293" i="5"/>
  <c r="Q293" i="5"/>
  <c r="Q257" i="5"/>
  <c r="N308" i="5"/>
  <c r="M242" i="5"/>
  <c r="O257" i="5"/>
  <c r="Q137" i="5"/>
  <c r="M137" i="5"/>
  <c r="N130" i="5"/>
  <c r="N166" i="5"/>
  <c r="O162" i="5"/>
  <c r="P152" i="5"/>
  <c r="Q148" i="5"/>
  <c r="M148" i="5"/>
  <c r="N141" i="5"/>
  <c r="O127" i="5"/>
  <c r="P158" i="5"/>
  <c r="Q155" i="5"/>
  <c r="M155" i="5"/>
  <c r="N144" i="5"/>
  <c r="O133" i="5"/>
  <c r="P123" i="5"/>
  <c r="O166" i="5"/>
  <c r="N162" i="5"/>
  <c r="N152" i="5"/>
  <c r="N148" i="5"/>
  <c r="M141" i="5"/>
  <c r="M127" i="5"/>
  <c r="M158" i="5"/>
  <c r="Q144" i="5"/>
  <c r="Q133" i="5"/>
  <c r="Q123" i="5"/>
  <c r="P137" i="5"/>
  <c r="M166" i="5"/>
  <c r="M162" i="5"/>
  <c r="M152" i="5"/>
  <c r="Q141" i="5"/>
  <c r="Q127" i="5"/>
  <c r="Q158" i="5"/>
  <c r="P155" i="5"/>
  <c r="P144" i="5"/>
  <c r="P133" i="5"/>
  <c r="O123" i="5"/>
  <c r="O137" i="5"/>
  <c r="Q166" i="5"/>
  <c r="Q162" i="5"/>
  <c r="Q152" i="5"/>
  <c r="P148" i="5"/>
  <c r="P141" i="5"/>
  <c r="P127" i="5"/>
  <c r="O158" i="5"/>
  <c r="O155" i="5"/>
  <c r="O144" i="5"/>
  <c r="N133" i="5"/>
  <c r="N123" i="5"/>
  <c r="O152" i="5"/>
  <c r="N158" i="5"/>
  <c r="M123" i="5"/>
  <c r="O148" i="5"/>
  <c r="N155" i="5"/>
  <c r="N137" i="5"/>
  <c r="P166" i="5"/>
  <c r="O141" i="5"/>
  <c r="M144" i="5"/>
  <c r="P162" i="5"/>
  <c r="N127" i="5"/>
  <c r="M133" i="5"/>
  <c r="O130" i="5"/>
  <c r="P130" i="5"/>
  <c r="M130" i="5"/>
  <c r="Q130" i="5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07" i="11"/>
  <c r="C107" i="11"/>
  <c r="E106" i="11"/>
  <c r="C106" i="11"/>
  <c r="E111" i="11"/>
  <c r="C111" i="11"/>
  <c r="E110" i="11"/>
  <c r="C110" i="11"/>
  <c r="E109" i="11"/>
  <c r="C109" i="11"/>
  <c r="E108" i="11"/>
  <c r="C108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C138" i="11"/>
  <c r="E138" i="11"/>
  <c r="C139" i="11"/>
  <c r="E139" i="11"/>
  <c r="C140" i="11"/>
  <c r="E140" i="11"/>
  <c r="C141" i="11"/>
  <c r="E141" i="11"/>
  <c r="C142" i="11"/>
  <c r="E142" i="11"/>
  <c r="C143" i="11"/>
  <c r="E143" i="11"/>
  <c r="C144" i="11"/>
  <c r="E144" i="11"/>
  <c r="C145" i="11"/>
  <c r="E145" i="11"/>
  <c r="C179" i="11"/>
  <c r="E179" i="11"/>
  <c r="C180" i="11"/>
  <c r="E180" i="11"/>
  <c r="C181" i="11"/>
  <c r="E181" i="11"/>
  <c r="C182" i="11"/>
  <c r="E182" i="11"/>
  <c r="C183" i="11"/>
  <c r="E183" i="11"/>
  <c r="C184" i="11"/>
  <c r="E184" i="11"/>
  <c r="C185" i="11"/>
  <c r="E185" i="11"/>
  <c r="C186" i="11"/>
  <c r="E186" i="11"/>
  <c r="C187" i="11"/>
  <c r="E187" i="11"/>
  <c r="C188" i="11"/>
  <c r="E188" i="11"/>
  <c r="C189" i="11"/>
  <c r="E189" i="11"/>
  <c r="C190" i="11"/>
  <c r="E190" i="11"/>
  <c r="C191" i="11"/>
  <c r="E191" i="11"/>
  <c r="C192" i="11"/>
  <c r="E192" i="11"/>
  <c r="C193" i="11"/>
  <c r="E193" i="11"/>
  <c r="C194" i="11"/>
  <c r="E194" i="11"/>
  <c r="C195" i="11"/>
  <c r="E195" i="11"/>
  <c r="C196" i="11"/>
  <c r="E196" i="11"/>
  <c r="C197" i="11"/>
  <c r="E197" i="11"/>
  <c r="C198" i="11"/>
  <c r="E198" i="11"/>
  <c r="C199" i="11"/>
  <c r="E199" i="11"/>
  <c r="C200" i="11"/>
  <c r="E200" i="11"/>
  <c r="C201" i="11"/>
  <c r="E201" i="11"/>
  <c r="C202" i="11"/>
  <c r="E202" i="11"/>
  <c r="C203" i="11"/>
  <c r="E203" i="11"/>
  <c r="C204" i="11"/>
  <c r="E204" i="11"/>
  <c r="C205" i="11"/>
  <c r="E205" i="11"/>
  <c r="C206" i="11"/>
  <c r="E206" i="11"/>
  <c r="C207" i="11"/>
  <c r="E207" i="11"/>
  <c r="C208" i="11"/>
  <c r="E208" i="11"/>
  <c r="C209" i="11"/>
  <c r="E209" i="11"/>
  <c r="C210" i="11"/>
  <c r="E210" i="11"/>
  <c r="C211" i="11"/>
  <c r="E211" i="11"/>
  <c r="C212" i="11"/>
  <c r="E212" i="11"/>
  <c r="C213" i="11"/>
  <c r="E213" i="11"/>
  <c r="C214" i="11"/>
  <c r="E214" i="11"/>
  <c r="C215" i="11"/>
  <c r="E215" i="11"/>
  <c r="P139" i="1" l="1"/>
  <c r="N135" i="1"/>
  <c r="P131" i="1"/>
  <c r="N128" i="1"/>
  <c r="P124" i="1"/>
  <c r="N119" i="1"/>
  <c r="P115" i="1"/>
  <c r="N84" i="1"/>
  <c r="P80" i="1"/>
  <c r="N77" i="1"/>
  <c r="P73" i="1"/>
  <c r="N68" i="1"/>
  <c r="P64" i="1"/>
  <c r="N61" i="1"/>
  <c r="N139" i="1"/>
  <c r="P135" i="1"/>
  <c r="N131" i="1"/>
  <c r="P128" i="1"/>
  <c r="N124" i="1"/>
  <c r="P119" i="1"/>
  <c r="N115" i="1"/>
  <c r="P84" i="1"/>
  <c r="N80" i="1"/>
  <c r="P77" i="1"/>
  <c r="N73" i="1"/>
  <c r="P68" i="1"/>
  <c r="N64" i="1"/>
  <c r="P61" i="1"/>
  <c r="Q139" i="1"/>
  <c r="M131" i="1"/>
  <c r="O128" i="1"/>
  <c r="Q124" i="1"/>
  <c r="M115" i="1"/>
  <c r="M80" i="1"/>
  <c r="O77" i="1"/>
  <c r="Q73" i="1"/>
  <c r="M64" i="1"/>
  <c r="O61" i="1"/>
  <c r="P28" i="1"/>
  <c r="N36" i="1"/>
  <c r="P32" i="1"/>
  <c r="N16" i="1"/>
  <c r="O25" i="1"/>
  <c r="Q12" i="1"/>
  <c r="O139" i="1"/>
  <c r="Q135" i="1"/>
  <c r="M128" i="1"/>
  <c r="O124" i="1"/>
  <c r="Q119" i="1"/>
  <c r="Q84" i="1"/>
  <c r="M77" i="1"/>
  <c r="O73" i="1"/>
  <c r="Q68" i="1"/>
  <c r="M61" i="1"/>
  <c r="O28" i="1"/>
  <c r="Q36" i="1"/>
  <c r="M36" i="1"/>
  <c r="O32" i="1"/>
  <c r="Q16" i="1"/>
  <c r="N25" i="1"/>
  <c r="P12" i="1"/>
  <c r="O131" i="1"/>
  <c r="M119" i="1"/>
  <c r="M84" i="1"/>
  <c r="Q77" i="1"/>
  <c r="O64" i="1"/>
  <c r="Q28" i="1"/>
  <c r="M32" i="1"/>
  <c r="O16" i="1"/>
  <c r="P25" i="1"/>
  <c r="O135" i="1"/>
  <c r="M124" i="1"/>
  <c r="Q80" i="1"/>
  <c r="O68" i="1"/>
  <c r="O12" i="1"/>
  <c r="Q128" i="1"/>
  <c r="O115" i="1"/>
  <c r="Q61" i="1"/>
  <c r="M28" i="1"/>
  <c r="O36" i="1"/>
  <c r="Q131" i="1"/>
  <c r="O119" i="1"/>
  <c r="Q64" i="1"/>
  <c r="N32" i="1"/>
  <c r="Q25" i="1"/>
  <c r="Q115" i="1"/>
  <c r="N28" i="1"/>
  <c r="P36" i="1"/>
  <c r="M25" i="1"/>
  <c r="M135" i="1"/>
  <c r="O80" i="1"/>
  <c r="M68" i="1"/>
  <c r="Q32" i="1"/>
  <c r="N12" i="1"/>
  <c r="M139" i="1"/>
  <c r="O84" i="1"/>
  <c r="M73" i="1"/>
  <c r="P16" i="1"/>
  <c r="E147" i="11"/>
  <c r="C147" i="11"/>
  <c r="E146" i="11"/>
  <c r="C146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E29" i="11"/>
  <c r="E9" i="11"/>
  <c r="E8" i="11"/>
  <c r="G35" i="7"/>
  <c r="G31" i="7"/>
  <c r="G25" i="7"/>
  <c r="E26" i="11" l="1"/>
  <c r="C26" i="11"/>
  <c r="E177" i="11" l="1"/>
  <c r="C177" i="11"/>
  <c r="E176" i="11"/>
  <c r="C176" i="11"/>
  <c r="T172" i="11"/>
  <c r="J172" i="11" s="1"/>
  <c r="S172" i="11"/>
  <c r="I172" i="11" s="1"/>
  <c r="R172" i="11"/>
  <c r="H172" i="11" s="1"/>
  <c r="Q172" i="11"/>
  <c r="G172" i="11" s="1"/>
  <c r="P172" i="11"/>
  <c r="F172" i="11" s="1"/>
  <c r="E171" i="11"/>
  <c r="C171" i="11"/>
  <c r="AE124" i="5" l="1"/>
  <c r="AD145" i="5"/>
  <c r="AB138" i="5"/>
  <c r="AB131" i="5"/>
  <c r="AB124" i="5"/>
  <c r="Z138" i="5"/>
  <c r="Z124" i="5"/>
  <c r="Y142" i="5"/>
  <c r="Y134" i="5"/>
  <c r="Y128" i="5"/>
  <c r="AB142" i="5"/>
  <c r="AE138" i="5"/>
  <c r="AB47" i="4"/>
  <c r="X47" i="4"/>
  <c r="X145" i="5"/>
  <c r="Z134" i="5"/>
  <c r="Z131" i="5"/>
  <c r="AB121" i="5"/>
  <c r="X121" i="5"/>
  <c r="AC118" i="5"/>
  <c r="Y118" i="5"/>
  <c r="AE47" i="4"/>
  <c r="AA47" i="4"/>
  <c r="Z47" i="4"/>
  <c r="AB145" i="5"/>
  <c r="AE131" i="5"/>
  <c r="AD121" i="5"/>
  <c r="Y121" i="5"/>
  <c r="AB118" i="5"/>
  <c r="Y47" i="4"/>
  <c r="AE134" i="5"/>
  <c r="AD131" i="5"/>
  <c r="AC121" i="5"/>
  <c r="AA118" i="5"/>
  <c r="AC47" i="4"/>
  <c r="AA134" i="5"/>
  <c r="Z121" i="5"/>
  <c r="Z118" i="5"/>
  <c r="AA131" i="5"/>
  <c r="X118" i="5"/>
  <c r="AE121" i="5"/>
  <c r="AE118" i="5"/>
  <c r="AD134" i="5"/>
  <c r="AD47" i="4"/>
  <c r="AA121" i="5"/>
  <c r="AD118" i="5"/>
  <c r="Z145" i="5"/>
  <c r="X138" i="5"/>
  <c r="X131" i="5"/>
  <c r="X124" i="5"/>
  <c r="AD128" i="5"/>
  <c r="AE145" i="5"/>
  <c r="AC138" i="5"/>
  <c r="AC131" i="5"/>
  <c r="AC124" i="5"/>
  <c r="AC145" i="5"/>
  <c r="AA138" i="5"/>
  <c r="AA124" i="5"/>
  <c r="AD142" i="5"/>
  <c r="AB134" i="5"/>
  <c r="AB128" i="5"/>
  <c r="Z142" i="5"/>
  <c r="Z128" i="5"/>
  <c r="AA145" i="5"/>
  <c r="Y138" i="5"/>
  <c r="Y131" i="5"/>
  <c r="Y124" i="5"/>
  <c r="Y145" i="5"/>
  <c r="AE128" i="5"/>
  <c r="X142" i="5"/>
  <c r="X134" i="5"/>
  <c r="X128" i="5"/>
  <c r="AD138" i="5"/>
  <c r="AD124" i="5"/>
  <c r="AE142" i="5"/>
  <c r="AC134" i="5"/>
  <c r="AC128" i="5"/>
  <c r="AA142" i="5"/>
  <c r="AC142" i="5"/>
  <c r="AA128" i="5"/>
  <c r="AD43" i="5" l="1"/>
  <c r="AE43" i="5"/>
  <c r="Z43" i="5"/>
  <c r="AB43" i="5" l="1"/>
  <c r="X43" i="5"/>
  <c r="AC43" i="5"/>
  <c r="Y43" i="5"/>
  <c r="AA43" i="5"/>
  <c r="X6" i="4" l="1"/>
  <c r="Y6" i="4"/>
  <c r="Z6" i="4"/>
  <c r="AA6" i="4"/>
  <c r="AB6" i="4"/>
  <c r="AC6" i="4"/>
  <c r="AD6" i="4"/>
  <c r="AE6" i="4"/>
  <c r="X9" i="4"/>
  <c r="Y9" i="4"/>
  <c r="Z9" i="4"/>
  <c r="AA9" i="4"/>
  <c r="AB9" i="4"/>
  <c r="AC9" i="4"/>
  <c r="AD9" i="4"/>
  <c r="AE9" i="4"/>
  <c r="X12" i="4"/>
  <c r="Y12" i="4"/>
  <c r="Z12" i="4"/>
  <c r="AA12" i="4"/>
  <c r="AB12" i="4"/>
  <c r="AC12" i="4"/>
  <c r="AD12" i="4"/>
  <c r="AE12" i="4"/>
  <c r="X16" i="4"/>
  <c r="Y16" i="4"/>
  <c r="Z16" i="4"/>
  <c r="AA16" i="4"/>
  <c r="AB16" i="4"/>
  <c r="AC16" i="4"/>
  <c r="AD16" i="4"/>
  <c r="AE16" i="4"/>
  <c r="X19" i="4"/>
  <c r="Y19" i="4"/>
  <c r="Z19" i="4"/>
  <c r="AA19" i="4"/>
  <c r="AB19" i="4"/>
  <c r="AC19" i="4"/>
  <c r="AD19" i="4"/>
  <c r="AE19" i="4"/>
  <c r="X22" i="4"/>
  <c r="Y22" i="4"/>
  <c r="Z22" i="4"/>
  <c r="AA22" i="4"/>
  <c r="AB22" i="4"/>
  <c r="AC22" i="4"/>
  <c r="AD22" i="4"/>
  <c r="AE22" i="4"/>
  <c r="X26" i="4"/>
  <c r="Y26" i="4"/>
  <c r="Z26" i="4"/>
  <c r="AA26" i="4"/>
  <c r="AB26" i="4"/>
  <c r="AC26" i="4"/>
  <c r="AD26" i="4"/>
  <c r="AE26" i="4"/>
  <c r="X33" i="4"/>
  <c r="Y33" i="4"/>
  <c r="Z33" i="4"/>
  <c r="AA33" i="4"/>
  <c r="AB33" i="4"/>
  <c r="AC33" i="4"/>
  <c r="AD33" i="4"/>
  <c r="AE33" i="4"/>
  <c r="X37" i="4"/>
  <c r="Y37" i="4"/>
  <c r="Z37" i="4"/>
  <c r="AA37" i="4"/>
  <c r="AB37" i="4"/>
  <c r="AC37" i="4"/>
  <c r="AD37" i="4"/>
  <c r="AE37" i="4"/>
  <c r="X30" i="4"/>
  <c r="Y30" i="4"/>
  <c r="Z30" i="4"/>
  <c r="AA30" i="4"/>
  <c r="AB30" i="4"/>
  <c r="AC30" i="4"/>
  <c r="AD30" i="4"/>
  <c r="AE30" i="4"/>
  <c r="X44" i="4"/>
  <c r="Y44" i="4"/>
  <c r="Z44" i="4"/>
  <c r="AA44" i="4"/>
  <c r="AB44" i="4"/>
  <c r="AC44" i="4"/>
  <c r="AD44" i="4"/>
  <c r="AE44" i="4"/>
  <c r="X41" i="4"/>
  <c r="Y41" i="4"/>
  <c r="Z41" i="4"/>
  <c r="AA41" i="4"/>
  <c r="AB41" i="4"/>
  <c r="AC41" i="4"/>
  <c r="AD41" i="4"/>
  <c r="AE41" i="4"/>
  <c r="X6" i="1"/>
  <c r="Y6" i="1"/>
  <c r="Z6" i="1"/>
  <c r="AA6" i="1"/>
  <c r="AB6" i="1"/>
  <c r="AC6" i="1"/>
  <c r="AD6" i="1"/>
  <c r="AE6" i="1"/>
  <c r="X10" i="1"/>
  <c r="Y10" i="1"/>
  <c r="Z10" i="1"/>
  <c r="AA10" i="1"/>
  <c r="AB10" i="1"/>
  <c r="AC10" i="1"/>
  <c r="AD10" i="1"/>
  <c r="AE10" i="1"/>
  <c r="X13" i="1"/>
  <c r="Y13" i="1"/>
  <c r="Z13" i="1"/>
  <c r="AA13" i="1"/>
  <c r="AB13" i="1"/>
  <c r="AC13" i="1"/>
  <c r="AD13" i="1"/>
  <c r="AE13" i="1"/>
  <c r="X17" i="1"/>
  <c r="Y17" i="1"/>
  <c r="Z17" i="1"/>
  <c r="AA17" i="1"/>
  <c r="AB17" i="1"/>
  <c r="AC17" i="1"/>
  <c r="AD17" i="1"/>
  <c r="AE17" i="1"/>
  <c r="X22" i="1"/>
  <c r="Y22" i="1"/>
  <c r="Z22" i="1"/>
  <c r="AA22" i="1"/>
  <c r="AB22" i="1"/>
  <c r="AC22" i="1"/>
  <c r="AD22" i="1"/>
  <c r="AE22" i="1"/>
  <c r="X37" i="1"/>
  <c r="Y37" i="1"/>
  <c r="Z37" i="1"/>
  <c r="AA37" i="1"/>
  <c r="AB37" i="1"/>
  <c r="AC37" i="1"/>
  <c r="AD37" i="1"/>
  <c r="AE37" i="1"/>
  <c r="X41" i="1"/>
  <c r="Y41" i="1"/>
  <c r="Z41" i="1"/>
  <c r="AA41" i="1"/>
  <c r="AB41" i="1"/>
  <c r="AC41" i="1"/>
  <c r="AD41" i="1"/>
  <c r="AE41" i="1"/>
  <c r="X44" i="1"/>
  <c r="Y44" i="1"/>
  <c r="Z44" i="1"/>
  <c r="AA44" i="1"/>
  <c r="AB44" i="1"/>
  <c r="AC44" i="1"/>
  <c r="AD44" i="1"/>
  <c r="AE44" i="1"/>
  <c r="X48" i="1"/>
  <c r="Y48" i="1"/>
  <c r="Z48" i="1"/>
  <c r="AA48" i="1"/>
  <c r="AB48" i="1"/>
  <c r="AC48" i="1"/>
  <c r="AD48" i="1"/>
  <c r="AE48" i="1"/>
  <c r="X109" i="1"/>
  <c r="Y109" i="1"/>
  <c r="Z109" i="1"/>
  <c r="AA109" i="1"/>
  <c r="AB109" i="1"/>
  <c r="AC109" i="1"/>
  <c r="AD109" i="1"/>
  <c r="AE109" i="1"/>
  <c r="X113" i="1"/>
  <c r="Y113" i="1"/>
  <c r="Z113" i="1"/>
  <c r="AA113" i="1"/>
  <c r="AB113" i="1"/>
  <c r="AC113" i="1"/>
  <c r="AD113" i="1"/>
  <c r="AE113" i="1"/>
  <c r="X116" i="1"/>
  <c r="Y116" i="1"/>
  <c r="Z116" i="1"/>
  <c r="AA116" i="1"/>
  <c r="AB116" i="1"/>
  <c r="AC116" i="1"/>
  <c r="AD116" i="1"/>
  <c r="AE116" i="1"/>
  <c r="X120" i="1"/>
  <c r="Y120" i="1"/>
  <c r="Z120" i="1"/>
  <c r="AA120" i="1"/>
  <c r="AB120" i="1"/>
  <c r="AC120" i="1"/>
  <c r="AD120" i="1"/>
  <c r="AE120" i="1"/>
  <c r="X125" i="1"/>
  <c r="Y125" i="1"/>
  <c r="Z125" i="1"/>
  <c r="AA125" i="1"/>
  <c r="AB125" i="1"/>
  <c r="AC125" i="1"/>
  <c r="AD125" i="1"/>
  <c r="AE125" i="1"/>
  <c r="X132" i="1"/>
  <c r="Y132" i="1"/>
  <c r="Z132" i="1"/>
  <c r="AA132" i="1"/>
  <c r="AB132" i="1"/>
  <c r="AC132" i="1"/>
  <c r="AD132" i="1"/>
  <c r="AE132" i="1"/>
  <c r="X136" i="1"/>
  <c r="Y136" i="1"/>
  <c r="Z136" i="1"/>
  <c r="AA136" i="1"/>
  <c r="AB136" i="1"/>
  <c r="AC136" i="1"/>
  <c r="AD136" i="1"/>
  <c r="AE136" i="1"/>
  <c r="X140" i="1"/>
  <c r="Y140" i="1"/>
  <c r="Z140" i="1"/>
  <c r="AA140" i="1"/>
  <c r="AB140" i="1"/>
  <c r="AC140" i="1"/>
  <c r="AD140" i="1"/>
  <c r="AE140" i="1"/>
  <c r="X144" i="1"/>
  <c r="Y144" i="1"/>
  <c r="Z144" i="1"/>
  <c r="AA144" i="1"/>
  <c r="AB144" i="1"/>
  <c r="AC144" i="1"/>
  <c r="AD144" i="1"/>
  <c r="AE144" i="1"/>
  <c r="X147" i="1"/>
  <c r="Y147" i="1"/>
  <c r="Z147" i="1"/>
  <c r="AA147" i="1"/>
  <c r="AB147" i="1"/>
  <c r="AC147" i="1"/>
  <c r="AD147" i="1"/>
  <c r="AE147" i="1"/>
  <c r="X151" i="1"/>
  <c r="Y151" i="1"/>
  <c r="Z151" i="1"/>
  <c r="AA151" i="1"/>
  <c r="AB151" i="1"/>
  <c r="AC151" i="1"/>
  <c r="AD151" i="1"/>
  <c r="AE151" i="1"/>
  <c r="X58" i="1"/>
  <c r="Y58" i="1"/>
  <c r="Z58" i="1"/>
  <c r="AA58" i="1"/>
  <c r="AB58" i="1"/>
  <c r="AC58" i="1"/>
  <c r="AD58" i="1"/>
  <c r="AE58" i="1"/>
  <c r="X62" i="1"/>
  <c r="Y62" i="1"/>
  <c r="Z62" i="1"/>
  <c r="AA62" i="1"/>
  <c r="AB62" i="1"/>
  <c r="AC62" i="1"/>
  <c r="AD62" i="1"/>
  <c r="AE62" i="1"/>
  <c r="X65" i="1"/>
  <c r="Y65" i="1"/>
  <c r="Z65" i="1"/>
  <c r="AA65" i="1"/>
  <c r="AB65" i="1"/>
  <c r="AC65" i="1"/>
  <c r="AD65" i="1"/>
  <c r="AE65" i="1"/>
  <c r="X69" i="1"/>
  <c r="Y69" i="1"/>
  <c r="Z69" i="1"/>
  <c r="AA69" i="1"/>
  <c r="AB69" i="1"/>
  <c r="AC69" i="1"/>
  <c r="AD69" i="1"/>
  <c r="AE69" i="1"/>
  <c r="X74" i="1"/>
  <c r="Y74" i="1"/>
  <c r="Z74" i="1"/>
  <c r="AA74" i="1"/>
  <c r="AB74" i="1"/>
  <c r="AC74" i="1"/>
  <c r="AD74" i="1"/>
  <c r="AE74" i="1"/>
  <c r="X89" i="1"/>
  <c r="Y89" i="1"/>
  <c r="Z89" i="1"/>
  <c r="AA89" i="1"/>
  <c r="AB89" i="1"/>
  <c r="AC89" i="1"/>
  <c r="AD89" i="1"/>
  <c r="AE89" i="1"/>
  <c r="X93" i="1"/>
  <c r="Y93" i="1"/>
  <c r="Z93" i="1"/>
  <c r="AA93" i="1"/>
  <c r="AB93" i="1"/>
  <c r="AC93" i="1"/>
  <c r="AD93" i="1"/>
  <c r="AE93" i="1"/>
  <c r="X96" i="1"/>
  <c r="Y96" i="1"/>
  <c r="Z96" i="1"/>
  <c r="AA96" i="1"/>
  <c r="AB96" i="1"/>
  <c r="AC96" i="1"/>
  <c r="AD96" i="1"/>
  <c r="AE96" i="1"/>
  <c r="X100" i="1"/>
  <c r="Y100" i="1"/>
  <c r="Z100" i="1"/>
  <c r="AA100" i="1"/>
  <c r="AB100" i="1"/>
  <c r="AC100" i="1"/>
  <c r="AD100" i="1"/>
  <c r="AE100" i="1"/>
  <c r="Y6" i="5"/>
  <c r="Z6" i="5"/>
  <c r="AA6" i="5"/>
  <c r="AB6" i="5"/>
  <c r="AC6" i="5"/>
  <c r="AD6" i="5"/>
  <c r="AE6" i="5"/>
  <c r="X9" i="5"/>
  <c r="Y9" i="5"/>
  <c r="Z9" i="5"/>
  <c r="AA9" i="5"/>
  <c r="AB9" i="5"/>
  <c r="AC9" i="5"/>
  <c r="AD9" i="5"/>
  <c r="AE9" i="5"/>
  <c r="X12" i="5"/>
  <c r="Y12" i="5"/>
  <c r="Z12" i="5"/>
  <c r="AA12" i="5"/>
  <c r="AB12" i="5"/>
  <c r="AC12" i="5"/>
  <c r="AD12" i="5"/>
  <c r="AE12" i="5"/>
  <c r="X16" i="5"/>
  <c r="Y16" i="5"/>
  <c r="Z16" i="5"/>
  <c r="AA16" i="5"/>
  <c r="AB16" i="5"/>
  <c r="AC16" i="5"/>
  <c r="AD16" i="5"/>
  <c r="AE16" i="5"/>
  <c r="X19" i="5"/>
  <c r="Y19" i="5"/>
  <c r="Z19" i="5"/>
  <c r="AA19" i="5"/>
  <c r="AB19" i="5"/>
  <c r="AC19" i="5"/>
  <c r="AD19" i="5"/>
  <c r="AE19" i="5"/>
  <c r="X23" i="5"/>
  <c r="Y23" i="5"/>
  <c r="Z23" i="5"/>
  <c r="AA23" i="5"/>
  <c r="AB23" i="5"/>
  <c r="AC23" i="5"/>
  <c r="AD23" i="5"/>
  <c r="AE23" i="5"/>
  <c r="X28" i="5"/>
  <c r="Y28" i="5"/>
  <c r="Z28" i="5"/>
  <c r="AA28" i="5"/>
  <c r="AB28" i="5"/>
  <c r="AC28" i="5"/>
  <c r="AD28" i="5"/>
  <c r="AE28" i="5"/>
  <c r="X32" i="5"/>
  <c r="Y32" i="5"/>
  <c r="Z32" i="5"/>
  <c r="AA32" i="5"/>
  <c r="AB32" i="5"/>
  <c r="AC32" i="5"/>
  <c r="AD32" i="5"/>
  <c r="AE32" i="5"/>
  <c r="X35" i="5"/>
  <c r="Y35" i="5"/>
  <c r="Z35" i="5"/>
  <c r="AA35" i="5"/>
  <c r="AB35" i="5"/>
  <c r="AC35" i="5"/>
  <c r="AD35" i="5"/>
  <c r="AE35" i="5"/>
  <c r="X39" i="5"/>
  <c r="Y39" i="5"/>
  <c r="Z39" i="5"/>
  <c r="AA39" i="5"/>
  <c r="AB39" i="5"/>
  <c r="AC39" i="5"/>
  <c r="AD39" i="5"/>
  <c r="AE39" i="5"/>
  <c r="X46" i="5"/>
  <c r="Y46" i="5"/>
  <c r="Z46" i="5"/>
  <c r="AA46" i="5"/>
  <c r="AB46" i="5"/>
  <c r="AC46" i="5"/>
  <c r="AD46" i="5"/>
  <c r="AE46" i="5"/>
  <c r="X49" i="5"/>
  <c r="Y49" i="5"/>
  <c r="Z49" i="5"/>
  <c r="AA49" i="5"/>
  <c r="AB49" i="5"/>
  <c r="AC49" i="5"/>
  <c r="AD49" i="5"/>
  <c r="AE49" i="5"/>
  <c r="X53" i="5"/>
  <c r="Y53" i="5"/>
  <c r="Z53" i="5"/>
  <c r="AA53" i="5"/>
  <c r="AB53" i="5"/>
  <c r="AC53" i="5"/>
  <c r="AD53" i="5"/>
  <c r="AE53" i="5"/>
  <c r="AB85" i="1" l="1"/>
  <c r="AB33" i="1"/>
  <c r="X33" i="1"/>
  <c r="X85" i="1"/>
  <c r="AB81" i="1"/>
  <c r="AB29" i="1"/>
  <c r="X29" i="1"/>
  <c r="X81" i="1"/>
  <c r="AE33" i="1"/>
  <c r="AE85" i="1"/>
  <c r="AA85" i="1"/>
  <c r="AA33" i="1"/>
  <c r="AE29" i="1"/>
  <c r="AE81" i="1"/>
  <c r="AA81" i="1"/>
  <c r="AA29" i="1"/>
  <c r="AD85" i="1"/>
  <c r="AD33" i="1"/>
  <c r="Z85" i="1"/>
  <c r="Z33" i="1"/>
  <c r="AD81" i="1"/>
  <c r="AD29" i="1"/>
  <c r="Z81" i="1"/>
  <c r="Z29" i="1"/>
  <c r="AC85" i="1"/>
  <c r="AC33" i="1"/>
  <c r="Y33" i="1"/>
  <c r="Y85" i="1"/>
  <c r="AC81" i="1"/>
  <c r="AC29" i="1"/>
  <c r="Y29" i="1"/>
  <c r="Y81" i="1"/>
  <c r="G151" i="1"/>
  <c r="G147" i="1"/>
  <c r="G144" i="1"/>
  <c r="G140" i="1"/>
  <c r="G136" i="1"/>
  <c r="G132" i="1"/>
  <c r="G125" i="1"/>
  <c r="G120" i="1"/>
  <c r="G116" i="1"/>
  <c r="G113" i="1"/>
  <c r="G109" i="1"/>
  <c r="J151" i="1" l="1"/>
  <c r="J147" i="1"/>
  <c r="J144" i="1"/>
  <c r="J140" i="1"/>
  <c r="J136" i="1"/>
  <c r="J132" i="1"/>
  <c r="J129" i="1"/>
  <c r="J125" i="1"/>
  <c r="J120" i="1"/>
  <c r="J116" i="1"/>
  <c r="J113" i="1"/>
  <c r="C151" i="1"/>
  <c r="C147" i="1"/>
  <c r="C144" i="1"/>
  <c r="C136" i="1"/>
  <c r="C132" i="1"/>
  <c r="C129" i="1"/>
  <c r="C125" i="1"/>
  <c r="C120" i="1"/>
  <c r="C116" i="1"/>
  <c r="C113" i="1"/>
  <c r="C109" i="1"/>
  <c r="J48" i="1"/>
  <c r="J44" i="1"/>
  <c r="J41" i="1"/>
  <c r="J37" i="1"/>
  <c r="J33" i="1"/>
  <c r="J29" i="1"/>
  <c r="J26" i="1"/>
  <c r="J22" i="1"/>
  <c r="J17" i="1"/>
  <c r="J13" i="1"/>
  <c r="H62" i="1"/>
  <c r="G100" i="1"/>
  <c r="G96" i="1"/>
  <c r="G93" i="1"/>
  <c r="G89" i="1"/>
  <c r="G85" i="1"/>
  <c r="G81" i="1"/>
  <c r="G74" i="1"/>
  <c r="G69" i="1"/>
  <c r="G65" i="1"/>
  <c r="G62" i="1"/>
  <c r="G58" i="1"/>
  <c r="G48" i="1"/>
  <c r="G44" i="1"/>
  <c r="G41" i="1"/>
  <c r="G37" i="1"/>
  <c r="G33" i="1"/>
  <c r="G29" i="1"/>
  <c r="G22" i="1"/>
  <c r="G17" i="1"/>
  <c r="G13" i="1"/>
  <c r="G10" i="1"/>
  <c r="G6" i="1"/>
  <c r="C85" i="1"/>
  <c r="C81" i="1"/>
  <c r="C100" i="1"/>
  <c r="C96" i="1"/>
  <c r="E330" i="11" l="1"/>
  <c r="C330" i="11"/>
  <c r="E329" i="11"/>
  <c r="C329" i="11"/>
  <c r="E328" i="11"/>
  <c r="C328" i="11"/>
  <c r="E327" i="11"/>
  <c r="C327" i="11"/>
  <c r="E325" i="11"/>
  <c r="C325" i="11"/>
  <c r="E326" i="11"/>
  <c r="C326" i="11"/>
  <c r="E318" i="11"/>
  <c r="C318" i="11"/>
  <c r="E317" i="11"/>
  <c r="C317" i="11"/>
  <c r="C307" i="11"/>
  <c r="E244" i="11"/>
  <c r="C244" i="11"/>
  <c r="E243" i="11"/>
  <c r="C243" i="11"/>
  <c r="E242" i="11"/>
  <c r="C242" i="11"/>
  <c r="E241" i="11"/>
  <c r="C241" i="11"/>
  <c r="E240" i="11"/>
  <c r="C240" i="11"/>
  <c r="E239" i="11"/>
  <c r="C239" i="11"/>
  <c r="E238" i="11"/>
  <c r="C238" i="11"/>
  <c r="E237" i="11"/>
  <c r="C237" i="11"/>
  <c r="E236" i="11"/>
  <c r="C236" i="11"/>
  <c r="E235" i="11"/>
  <c r="C235" i="11"/>
  <c r="E234" i="11"/>
  <c r="C234" i="11"/>
  <c r="E233" i="11"/>
  <c r="C233" i="11"/>
  <c r="E232" i="11"/>
  <c r="C232" i="11"/>
  <c r="E231" i="11"/>
  <c r="C231" i="11"/>
  <c r="E230" i="11"/>
  <c r="C230" i="11"/>
  <c r="E229" i="11"/>
  <c r="C229" i="11"/>
  <c r="E228" i="11"/>
  <c r="C228" i="11"/>
  <c r="E227" i="11"/>
  <c r="C227" i="11"/>
  <c r="E226" i="11"/>
  <c r="C226" i="11"/>
  <c r="E225" i="11"/>
  <c r="C225" i="11"/>
  <c r="E224" i="11"/>
  <c r="C224" i="11"/>
  <c r="E223" i="11"/>
  <c r="C223" i="11"/>
  <c r="E222" i="11"/>
  <c r="C222" i="11"/>
  <c r="E221" i="11"/>
  <c r="C221" i="11"/>
  <c r="E218" i="11"/>
  <c r="C218" i="11"/>
  <c r="E217" i="11"/>
  <c r="C217" i="11"/>
  <c r="E216" i="11"/>
  <c r="C216" i="11"/>
  <c r="E178" i="11"/>
  <c r="C178" i="11"/>
  <c r="E175" i="11"/>
  <c r="C175" i="11"/>
  <c r="E173" i="11"/>
  <c r="C173" i="11"/>
  <c r="E172" i="11"/>
  <c r="C172" i="11"/>
  <c r="E170" i="11"/>
  <c r="C170" i="11"/>
  <c r="E169" i="11"/>
  <c r="C169" i="11"/>
  <c r="E168" i="11"/>
  <c r="C168" i="11"/>
  <c r="E167" i="11"/>
  <c r="C167" i="11"/>
  <c r="E166" i="11"/>
  <c r="C166" i="11"/>
  <c r="E165" i="11"/>
  <c r="C165" i="11"/>
  <c r="E164" i="11"/>
  <c r="C164" i="11"/>
  <c r="E163" i="11"/>
  <c r="C163" i="11"/>
  <c r="E133" i="11"/>
  <c r="C133" i="11"/>
  <c r="E132" i="11"/>
  <c r="C132" i="11"/>
  <c r="E137" i="11"/>
  <c r="C137" i="11"/>
  <c r="E136" i="11"/>
  <c r="C136" i="11"/>
  <c r="E135" i="11"/>
  <c r="C135" i="11"/>
  <c r="E134" i="11"/>
  <c r="C134" i="11"/>
  <c r="E131" i="11"/>
  <c r="C131" i="11"/>
  <c r="E130" i="11"/>
  <c r="C130" i="11"/>
  <c r="E129" i="11"/>
  <c r="C129" i="11"/>
  <c r="E128" i="11"/>
  <c r="C128" i="11"/>
  <c r="E127" i="11"/>
  <c r="C127" i="11"/>
  <c r="E126" i="11"/>
  <c r="C126" i="11"/>
  <c r="E125" i="11"/>
  <c r="C125" i="11"/>
  <c r="E124" i="11"/>
  <c r="C124" i="11"/>
  <c r="E123" i="11"/>
  <c r="C123" i="11"/>
  <c r="E122" i="11"/>
  <c r="C122" i="11"/>
  <c r="E121" i="11"/>
  <c r="C121" i="11"/>
  <c r="E120" i="11"/>
  <c r="C120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31" i="11"/>
  <c r="E30" i="11"/>
  <c r="E28" i="11"/>
  <c r="C28" i="11"/>
  <c r="E27" i="11"/>
  <c r="C27" i="11"/>
  <c r="E25" i="11"/>
  <c r="C25" i="11"/>
  <c r="E22" i="11"/>
  <c r="C22" i="11"/>
  <c r="E17" i="11"/>
  <c r="C17" i="11"/>
  <c r="E16" i="11"/>
  <c r="C16" i="11"/>
  <c r="E15" i="11"/>
  <c r="C15" i="11"/>
  <c r="E14" i="11"/>
  <c r="C14" i="11"/>
  <c r="E11" i="11"/>
  <c r="C11" i="11"/>
  <c r="C10" i="11"/>
  <c r="R21" i="9" l="1"/>
  <c r="Q21" i="9"/>
  <c r="P21" i="9"/>
  <c r="O21" i="9"/>
  <c r="N21" i="9"/>
  <c r="R20" i="9"/>
  <c r="P23" i="9"/>
  <c r="O23" i="9"/>
  <c r="N23" i="9"/>
  <c r="R23" i="9"/>
  <c r="Q20" i="9"/>
  <c r="P20" i="9"/>
  <c r="O20" i="9"/>
  <c r="N20" i="9"/>
  <c r="R24" i="9"/>
  <c r="Q23" i="9"/>
  <c r="Q24" i="9"/>
  <c r="P24" i="9"/>
  <c r="O24" i="9"/>
  <c r="N24" i="9"/>
  <c r="M17" i="4"/>
  <c r="M42" i="4"/>
  <c r="M45" i="4"/>
  <c r="M18" i="4"/>
  <c r="N7" i="4"/>
  <c r="M40" i="4"/>
  <c r="N49" i="4"/>
  <c r="M29" i="4"/>
  <c r="P36" i="4"/>
  <c r="M36" i="4"/>
  <c r="M14" i="4"/>
  <c r="O53" i="4"/>
  <c r="P17" i="4"/>
  <c r="O32" i="4"/>
  <c r="P28" i="4"/>
  <c r="O7" i="4"/>
  <c r="P50" i="4"/>
  <c r="N8" i="4"/>
  <c r="Q42" i="4"/>
  <c r="N46" i="4"/>
  <c r="Q11" i="4"/>
  <c r="N36" i="4"/>
  <c r="P32" i="4"/>
  <c r="P43" i="4"/>
  <c r="P11" i="4"/>
  <c r="M50" i="4"/>
  <c r="O54" i="4"/>
  <c r="Q40" i="4"/>
  <c r="N45" i="4"/>
  <c r="N11" i="4"/>
  <c r="O39" i="4"/>
  <c r="P39" i="4"/>
  <c r="M43" i="4"/>
  <c r="P45" i="4"/>
  <c r="Q28" i="4"/>
  <c r="N18" i="4"/>
  <c r="Q32" i="4"/>
  <c r="N28" i="4"/>
  <c r="M49" i="4"/>
  <c r="P53" i="4"/>
  <c r="N50" i="4"/>
  <c r="P49" i="4"/>
  <c r="N53" i="4"/>
  <c r="M46" i="4"/>
  <c r="N31" i="4"/>
  <c r="O31" i="4"/>
  <c r="Q39" i="4"/>
  <c r="O46" i="4"/>
  <c r="N20" i="4"/>
  <c r="P24" i="4"/>
  <c r="O35" i="4"/>
  <c r="O45" i="4"/>
  <c r="O42" i="4"/>
  <c r="P54" i="4"/>
  <c r="Q7" i="4"/>
  <c r="M31" i="4"/>
  <c r="M35" i="4"/>
  <c r="M21" i="4"/>
  <c r="O25" i="4"/>
  <c r="N43" i="4"/>
  <c r="O8" i="4"/>
  <c r="P8" i="4"/>
  <c r="N42" i="4"/>
  <c r="Q17" i="4"/>
  <c r="M39" i="4"/>
  <c r="Q36" i="4"/>
  <c r="Q45" i="4"/>
  <c r="P42" i="4"/>
  <c r="Q18" i="4"/>
  <c r="P14" i="4"/>
  <c r="M7" i="4"/>
  <c r="O10" i="4"/>
  <c r="Q29" i="4"/>
  <c r="P46" i="4"/>
  <c r="P31" i="4"/>
  <c r="Q50" i="4"/>
  <c r="N54" i="4"/>
  <c r="O18" i="4"/>
  <c r="Q24" i="4"/>
  <c r="N39" i="4"/>
  <c r="P18" i="4"/>
  <c r="P29" i="4"/>
  <c r="P35" i="4"/>
  <c r="M32" i="4"/>
  <c r="O40" i="4"/>
  <c r="Q14" i="4"/>
  <c r="N35" i="4"/>
  <c r="P25" i="4"/>
  <c r="Q53" i="4"/>
  <c r="N40" i="4"/>
  <c r="O20" i="4"/>
  <c r="P20" i="4"/>
  <c r="N29" i="4"/>
  <c r="O29" i="4"/>
  <c r="N10" i="4"/>
  <c r="P21" i="4"/>
  <c r="M28" i="4"/>
  <c r="O17" i="4"/>
  <c r="O11" i="4"/>
  <c r="N21" i="4"/>
  <c r="Q8" i="4"/>
  <c r="Q21" i="4"/>
  <c r="M54" i="4"/>
  <c r="N14" i="4"/>
  <c r="O14" i="4"/>
  <c r="M25" i="4"/>
  <c r="N25" i="4"/>
  <c r="N17" i="4"/>
  <c r="P7" i="4"/>
  <c r="M11" i="4"/>
  <c r="O15" i="4"/>
  <c r="Q43" i="4"/>
  <c r="O36" i="4"/>
  <c r="P40" i="4"/>
  <c r="Q46" i="4"/>
  <c r="Q31" i="4"/>
  <c r="N24" i="4"/>
  <c r="M8" i="4"/>
  <c r="Q20" i="4"/>
  <c r="M10" i="4"/>
  <c r="N15" i="4"/>
  <c r="O49" i="4"/>
  <c r="Q49" i="4"/>
  <c r="M53" i="4"/>
  <c r="Q35" i="4"/>
  <c r="N32" i="4"/>
  <c r="O43" i="4"/>
  <c r="O28" i="4"/>
  <c r="P10" i="4"/>
  <c r="M15" i="4"/>
  <c r="O21" i="4"/>
  <c r="Q10" i="4"/>
  <c r="P15" i="4"/>
  <c r="Q15" i="4"/>
  <c r="M20" i="4"/>
  <c r="O24" i="4"/>
  <c r="O50" i="4"/>
  <c r="Q54" i="4"/>
  <c r="M24" i="4"/>
  <c r="Q25" i="4"/>
  <c r="Q9" i="7"/>
  <c r="O9" i="7"/>
  <c r="M9" i="7"/>
  <c r="P7" i="7"/>
  <c r="P9" i="7"/>
  <c r="O7" i="7"/>
  <c r="N9" i="7"/>
  <c r="Q7" i="7"/>
  <c r="N7" i="7"/>
  <c r="M7" i="7"/>
  <c r="M8" i="6"/>
  <c r="M11" i="6"/>
  <c r="P10" i="6"/>
  <c r="P7" i="6"/>
  <c r="N7" i="6"/>
  <c r="N10" i="6"/>
  <c r="Q8" i="6"/>
  <c r="M10" i="6"/>
  <c r="O8" i="6"/>
  <c r="P11" i="6"/>
  <c r="Q11" i="6"/>
  <c r="Q7" i="6"/>
  <c r="O11" i="6"/>
  <c r="N8" i="6"/>
  <c r="Q10" i="6"/>
  <c r="N11" i="6"/>
  <c r="O7" i="6"/>
  <c r="O10" i="6"/>
  <c r="P8" i="6"/>
  <c r="M7" i="6"/>
  <c r="Q105" i="4"/>
  <c r="M105" i="4"/>
  <c r="N104" i="4"/>
  <c r="O101" i="4"/>
  <c r="P100" i="4"/>
  <c r="Q97" i="4"/>
  <c r="M97" i="4"/>
  <c r="N96" i="4"/>
  <c r="O94" i="4"/>
  <c r="P93" i="4"/>
  <c r="Q91" i="4"/>
  <c r="M91" i="4"/>
  <c r="N90" i="4"/>
  <c r="O87" i="4"/>
  <c r="P86" i="4"/>
  <c r="Q83" i="4"/>
  <c r="M83" i="4"/>
  <c r="N82" i="4"/>
  <c r="O80" i="4"/>
  <c r="P79" i="4"/>
  <c r="Q76" i="4"/>
  <c r="M76" i="4"/>
  <c r="N75" i="4"/>
  <c r="O72" i="4"/>
  <c r="P71" i="4"/>
  <c r="Q69" i="4"/>
  <c r="M69" i="4"/>
  <c r="N68" i="4"/>
  <c r="O65" i="4"/>
  <c r="P64" i="4"/>
  <c r="Q62" i="4"/>
  <c r="M62" i="4"/>
  <c r="N61" i="4"/>
  <c r="P105" i="4"/>
  <c r="Q104" i="4"/>
  <c r="M104" i="4"/>
  <c r="N101" i="4"/>
  <c r="O100" i="4"/>
  <c r="P97" i="4"/>
  <c r="Q96" i="4"/>
  <c r="M96" i="4"/>
  <c r="N94" i="4"/>
  <c r="O93" i="4"/>
  <c r="P91" i="4"/>
  <c r="Q90" i="4"/>
  <c r="M90" i="4"/>
  <c r="N87" i="4"/>
  <c r="O86" i="4"/>
  <c r="P83" i="4"/>
  <c r="Q82" i="4"/>
  <c r="M82" i="4"/>
  <c r="N80" i="4"/>
  <c r="O79" i="4"/>
  <c r="P76" i="4"/>
  <c r="Q75" i="4"/>
  <c r="M75" i="4"/>
  <c r="N72" i="4"/>
  <c r="O71" i="4"/>
  <c r="P69" i="4"/>
  <c r="Q68" i="4"/>
  <c r="M68" i="4"/>
  <c r="N65" i="4"/>
  <c r="O64" i="4"/>
  <c r="P62" i="4"/>
  <c r="Q61" i="4"/>
  <c r="M61" i="4"/>
  <c r="O105" i="4"/>
  <c r="P104" i="4"/>
  <c r="Q101" i="4"/>
  <c r="M101" i="4"/>
  <c r="N100" i="4"/>
  <c r="O97" i="4"/>
  <c r="P96" i="4"/>
  <c r="Q94" i="4"/>
  <c r="M94" i="4"/>
  <c r="N93" i="4"/>
  <c r="O91" i="4"/>
  <c r="P90" i="4"/>
  <c r="Q87" i="4"/>
  <c r="M87" i="4"/>
  <c r="N86" i="4"/>
  <c r="O83" i="4"/>
  <c r="P82" i="4"/>
  <c r="Q80" i="4"/>
  <c r="M80" i="4"/>
  <c r="N105" i="4"/>
  <c r="M100" i="4"/>
  <c r="Q93" i="4"/>
  <c r="P87" i="4"/>
  <c r="O82" i="4"/>
  <c r="M79" i="4"/>
  <c r="O75" i="4"/>
  <c r="Q71" i="4"/>
  <c r="N69" i="4"/>
  <c r="P65" i="4"/>
  <c r="M64" i="4"/>
  <c r="O61" i="4"/>
  <c r="O104" i="4"/>
  <c r="N97" i="4"/>
  <c r="M93" i="4"/>
  <c r="Q86" i="4"/>
  <c r="P80" i="4"/>
  <c r="O76" i="4"/>
  <c r="Q72" i="4"/>
  <c r="N71" i="4"/>
  <c r="P68" i="4"/>
  <c r="M65" i="4"/>
  <c r="O62" i="4"/>
  <c r="P101" i="4"/>
  <c r="O96" i="4"/>
  <c r="N91" i="4"/>
  <c r="M86" i="4"/>
  <c r="Q79" i="4"/>
  <c r="N76" i="4"/>
  <c r="P72" i="4"/>
  <c r="M71" i="4"/>
  <c r="O68" i="4"/>
  <c r="Q64" i="4"/>
  <c r="N62" i="4"/>
  <c r="Q100" i="4"/>
  <c r="P94" i="4"/>
  <c r="O90" i="4"/>
  <c r="N83" i="4"/>
  <c r="N79" i="4"/>
  <c r="P75" i="4"/>
  <c r="M72" i="4"/>
  <c r="O69" i="4"/>
  <c r="Q65" i="4"/>
  <c r="N64" i="4"/>
  <c r="P61" i="4"/>
  <c r="Q40" i="6"/>
  <c r="M40" i="6"/>
  <c r="N39" i="6"/>
  <c r="O37" i="6"/>
  <c r="P36" i="6"/>
  <c r="Q28" i="6"/>
  <c r="M28" i="6"/>
  <c r="N27" i="6"/>
  <c r="O24" i="6"/>
  <c r="P23" i="6"/>
  <c r="Q20" i="6"/>
  <c r="M20" i="6"/>
  <c r="N19" i="6"/>
  <c r="O17" i="6"/>
  <c r="P16" i="6"/>
  <c r="Q14" i="6"/>
  <c r="M14" i="6"/>
  <c r="N13" i="6"/>
  <c r="P40" i="6"/>
  <c r="Q39" i="6"/>
  <c r="M39" i="6"/>
  <c r="N37" i="6"/>
  <c r="O36" i="6"/>
  <c r="P28" i="6"/>
  <c r="Q27" i="6"/>
  <c r="M27" i="6"/>
  <c r="N24" i="6"/>
  <c r="O23" i="6"/>
  <c r="P20" i="6"/>
  <c r="Q19" i="6"/>
  <c r="M19" i="6"/>
  <c r="N17" i="6"/>
  <c r="O16" i="6"/>
  <c r="P14" i="6"/>
  <c r="Q13" i="6"/>
  <c r="M13" i="6"/>
  <c r="O40" i="6"/>
  <c r="P39" i="6"/>
  <c r="Q37" i="6"/>
  <c r="M37" i="6"/>
  <c r="N36" i="6"/>
  <c r="O28" i="6"/>
  <c r="P27" i="6"/>
  <c r="Q24" i="6"/>
  <c r="M24" i="6"/>
  <c r="N23" i="6"/>
  <c r="O20" i="6"/>
  <c r="P19" i="6"/>
  <c r="Q17" i="6"/>
  <c r="M17" i="6"/>
  <c r="N16" i="6"/>
  <c r="O14" i="6"/>
  <c r="P13" i="6"/>
  <c r="N40" i="6"/>
  <c r="O39" i="6"/>
  <c r="P37" i="6"/>
  <c r="Q36" i="6"/>
  <c r="M36" i="6"/>
  <c r="N28" i="6"/>
  <c r="O27" i="6"/>
  <c r="P24" i="6"/>
  <c r="Q23" i="6"/>
  <c r="M23" i="6"/>
  <c r="N20" i="6"/>
  <c r="O19" i="6"/>
  <c r="P17" i="6"/>
  <c r="Q16" i="6"/>
  <c r="M16" i="6"/>
  <c r="N14" i="6"/>
  <c r="O13" i="6"/>
  <c r="R18" i="9"/>
  <c r="N18" i="9"/>
  <c r="O17" i="9"/>
  <c r="P9" i="9"/>
  <c r="Q8" i="9"/>
  <c r="Q18" i="9"/>
  <c r="R17" i="9"/>
  <c r="N17" i="9"/>
  <c r="O9" i="9"/>
  <c r="P8" i="9"/>
  <c r="P18" i="9"/>
  <c r="Q17" i="9"/>
  <c r="R9" i="9"/>
  <c r="N9" i="9"/>
  <c r="O8" i="9"/>
  <c r="O18" i="9"/>
  <c r="P17" i="9"/>
  <c r="Q9" i="9"/>
  <c r="R8" i="9"/>
  <c r="N8" i="9"/>
  <c r="P18" i="8"/>
  <c r="P17" i="8"/>
  <c r="P9" i="8"/>
  <c r="Q8" i="8"/>
  <c r="O18" i="8"/>
  <c r="O17" i="8"/>
  <c r="O9" i="8"/>
  <c r="P8" i="8"/>
  <c r="R18" i="8"/>
  <c r="R17" i="8"/>
  <c r="R9" i="8"/>
  <c r="N9" i="8"/>
  <c r="O8" i="8"/>
  <c r="Q18" i="8"/>
  <c r="Q17" i="8"/>
  <c r="Q9" i="8"/>
  <c r="R8" i="8"/>
  <c r="N8" i="8"/>
  <c r="N17" i="8"/>
  <c r="N18" i="8"/>
  <c r="P112" i="1"/>
  <c r="N112" i="1"/>
  <c r="O112" i="1"/>
  <c r="Q112" i="1"/>
  <c r="M112" i="1"/>
  <c r="N9" i="1"/>
  <c r="P9" i="1"/>
  <c r="O9" i="1"/>
  <c r="Q9" i="1"/>
  <c r="N37" i="7"/>
  <c r="O37" i="7"/>
  <c r="Q37" i="7"/>
  <c r="P37" i="7"/>
  <c r="M37" i="7"/>
  <c r="M194" i="5"/>
  <c r="N23" i="7"/>
  <c r="M23" i="7"/>
  <c r="P23" i="7"/>
  <c r="Q23" i="7"/>
  <c r="O23" i="7"/>
  <c r="N33" i="7"/>
  <c r="Q33" i="7"/>
  <c r="P33" i="7"/>
  <c r="M33" i="7"/>
  <c r="O33" i="7"/>
  <c r="O241" i="5"/>
  <c r="M245" i="5"/>
  <c r="N296" i="5"/>
  <c r="Q256" i="5"/>
  <c r="M292" i="5"/>
  <c r="N245" i="5"/>
  <c r="O307" i="5"/>
  <c r="M241" i="5"/>
  <c r="Q241" i="5"/>
  <c r="N292" i="5"/>
  <c r="O245" i="5"/>
  <c r="P296" i="5"/>
  <c r="O256" i="5"/>
  <c r="P307" i="5"/>
  <c r="N108" i="5"/>
  <c r="N94" i="5"/>
  <c r="N78" i="5"/>
  <c r="N64" i="5"/>
  <c r="N143" i="1"/>
  <c r="N92" i="1"/>
  <c r="N98" i="5"/>
  <c r="N83" i="5"/>
  <c r="N67" i="5"/>
  <c r="N146" i="1"/>
  <c r="N95" i="1"/>
  <c r="O143" i="1"/>
  <c r="M95" i="1"/>
  <c r="P40" i="1"/>
  <c r="O98" i="5"/>
  <c r="O67" i="5"/>
  <c r="Q98" i="5"/>
  <c r="Q83" i="5"/>
  <c r="Q67" i="5"/>
  <c r="M143" i="1"/>
  <c r="Q99" i="1"/>
  <c r="Q43" i="1"/>
  <c r="O94" i="5"/>
  <c r="O64" i="5"/>
  <c r="O43" i="1"/>
  <c r="O150" i="1"/>
  <c r="M108" i="5"/>
  <c r="M78" i="5"/>
  <c r="O51" i="1"/>
  <c r="M98" i="5"/>
  <c r="Q95" i="1"/>
  <c r="P104" i="5"/>
  <c r="P90" i="5"/>
  <c r="P74" i="5"/>
  <c r="P154" i="1"/>
  <c r="P103" i="1"/>
  <c r="P88" i="1"/>
  <c r="P108" i="5"/>
  <c r="P94" i="5"/>
  <c r="P78" i="5"/>
  <c r="P64" i="5"/>
  <c r="P143" i="1"/>
  <c r="P92" i="1"/>
  <c r="O92" i="1"/>
  <c r="N51" i="1"/>
  <c r="O90" i="5"/>
  <c r="Q108" i="5"/>
  <c r="Q94" i="5"/>
  <c r="Q78" i="5"/>
  <c r="Q64" i="5"/>
  <c r="M92" i="1"/>
  <c r="Q51" i="1"/>
  <c r="M43" i="1"/>
  <c r="O87" i="5"/>
  <c r="M150" i="1"/>
  <c r="Q40" i="1"/>
  <c r="Q146" i="1"/>
  <c r="M104" i="5"/>
  <c r="P43" i="1"/>
  <c r="M101" i="5"/>
  <c r="M71" i="5"/>
  <c r="O99" i="1"/>
  <c r="Q92" i="1"/>
  <c r="M40" i="1"/>
  <c r="M83" i="5"/>
  <c r="N101" i="5"/>
  <c r="N87" i="5"/>
  <c r="N71" i="5"/>
  <c r="N150" i="1"/>
  <c r="N99" i="1"/>
  <c r="N104" i="5"/>
  <c r="N90" i="5"/>
  <c r="N74" i="5"/>
  <c r="N154" i="1"/>
  <c r="N103" i="1"/>
  <c r="N88" i="1"/>
  <c r="Q154" i="1"/>
  <c r="Q88" i="1"/>
  <c r="P47" i="1"/>
  <c r="O83" i="5"/>
  <c r="Q104" i="5"/>
  <c r="Q90" i="5"/>
  <c r="Q74" i="5"/>
  <c r="O154" i="1"/>
  <c r="O88" i="1"/>
  <c r="M51" i="1"/>
  <c r="O40" i="1"/>
  <c r="O104" i="5"/>
  <c r="O78" i="5"/>
  <c r="Q143" i="1"/>
  <c r="O95" i="1"/>
  <c r="P51" i="1"/>
  <c r="Q47" i="1"/>
  <c r="M90" i="5"/>
  <c r="M94" i="5"/>
  <c r="M64" i="5"/>
  <c r="M88" i="1"/>
  <c r="M74" i="5"/>
  <c r="P98" i="5"/>
  <c r="P83" i="5"/>
  <c r="P67" i="5"/>
  <c r="P146" i="1"/>
  <c r="P95" i="1"/>
  <c r="P101" i="5"/>
  <c r="P87" i="5"/>
  <c r="P71" i="5"/>
  <c r="P150" i="1"/>
  <c r="P99" i="1"/>
  <c r="M146" i="1"/>
  <c r="Q103" i="1"/>
  <c r="N43" i="1"/>
  <c r="O108" i="5"/>
  <c r="O74" i="5"/>
  <c r="Q101" i="5"/>
  <c r="Q87" i="5"/>
  <c r="Q71" i="5"/>
  <c r="Q150" i="1"/>
  <c r="O103" i="1"/>
  <c r="O47" i="1"/>
  <c r="O101" i="5"/>
  <c r="O71" i="5"/>
  <c r="M47" i="1"/>
  <c r="N40" i="1"/>
  <c r="M99" i="1"/>
  <c r="M67" i="5"/>
  <c r="M103" i="1"/>
  <c r="M87" i="5"/>
  <c r="M154" i="1"/>
  <c r="O146" i="1"/>
  <c r="N47" i="1"/>
  <c r="Q321" i="5"/>
  <c r="M321" i="5"/>
  <c r="O317" i="5"/>
  <c r="Q313" i="5"/>
  <c r="M313" i="5"/>
  <c r="P303" i="5"/>
  <c r="N299" i="5"/>
  <c r="Q288" i="5"/>
  <c r="M288" i="5"/>
  <c r="O285" i="5"/>
  <c r="Q281" i="5"/>
  <c r="M281" i="5"/>
  <c r="O278" i="5"/>
  <c r="P270" i="5"/>
  <c r="Q266" i="5"/>
  <c r="M266" i="5"/>
  <c r="N252" i="5"/>
  <c r="O234" i="5"/>
  <c r="P262" i="5"/>
  <c r="Q248" i="5"/>
  <c r="M248" i="5"/>
  <c r="N237" i="5"/>
  <c r="O230" i="5"/>
  <c r="P227" i="5"/>
  <c r="N215" i="5"/>
  <c r="P211" i="5"/>
  <c r="N208" i="5"/>
  <c r="P201" i="5"/>
  <c r="N197" i="5"/>
  <c r="Q186" i="5"/>
  <c r="M186" i="5"/>
  <c r="O183" i="5"/>
  <c r="Q180" i="5"/>
  <c r="M180" i="5"/>
  <c r="O176" i="5"/>
  <c r="Q173" i="5"/>
  <c r="M173" i="5"/>
  <c r="N161" i="5"/>
  <c r="O147" i="5"/>
  <c r="P126" i="5"/>
  <c r="Q157" i="5"/>
  <c r="M157" i="5"/>
  <c r="N154" i="5"/>
  <c r="O143" i="5"/>
  <c r="P321" i="5"/>
  <c r="P317" i="5"/>
  <c r="O313" i="5"/>
  <c r="N303" i="5"/>
  <c r="M299" i="5"/>
  <c r="Q285" i="5"/>
  <c r="P281" i="5"/>
  <c r="P278" i="5"/>
  <c r="O270" i="5"/>
  <c r="O266" i="5"/>
  <c r="O252" i="5"/>
  <c r="N234" i="5"/>
  <c r="N262" i="5"/>
  <c r="N248" i="5"/>
  <c r="M237" i="5"/>
  <c r="M230" i="5"/>
  <c r="M227" i="5"/>
  <c r="M215" i="5"/>
  <c r="M211" i="5"/>
  <c r="Q208" i="5"/>
  <c r="Q201" i="5"/>
  <c r="P197" i="5"/>
  <c r="O186" i="5"/>
  <c r="N183" i="5"/>
  <c r="N180" i="5"/>
  <c r="M176" i="5"/>
  <c r="Q161" i="5"/>
  <c r="Q147" i="5"/>
  <c r="Q126" i="5"/>
  <c r="P157" i="5"/>
  <c r="P154" i="5"/>
  <c r="P143" i="5"/>
  <c r="P132" i="5"/>
  <c r="Q129" i="5"/>
  <c r="M129" i="5"/>
  <c r="N122" i="5"/>
  <c r="O107" i="5"/>
  <c r="P103" i="5"/>
  <c r="Q100" i="5"/>
  <c r="M100" i="5"/>
  <c r="N97" i="5"/>
  <c r="O93" i="5"/>
  <c r="P89" i="5"/>
  <c r="Q86" i="5"/>
  <c r="M86" i="5"/>
  <c r="N82" i="5"/>
  <c r="O77" i="5"/>
  <c r="P73" i="5"/>
  <c r="Q70" i="5"/>
  <c r="M70" i="5"/>
  <c r="N66" i="5"/>
  <c r="O63" i="5"/>
  <c r="P30" i="5"/>
  <c r="N317" i="5"/>
  <c r="O299" i="5"/>
  <c r="O288" i="5"/>
  <c r="N281" i="5"/>
  <c r="Q278" i="5"/>
  <c r="N270" i="5"/>
  <c r="Q252" i="5"/>
  <c r="P234" i="5"/>
  <c r="M262" i="5"/>
  <c r="P237" i="5"/>
  <c r="N230" i="5"/>
  <c r="Q215" i="5"/>
  <c r="N211" i="5"/>
  <c r="P208" i="5"/>
  <c r="M201" i="5"/>
  <c r="O197" i="5"/>
  <c r="P186" i="5"/>
  <c r="O180" i="5"/>
  <c r="Q176" i="5"/>
  <c r="N173" i="5"/>
  <c r="P147" i="5"/>
  <c r="N126" i="5"/>
  <c r="Q154" i="5"/>
  <c r="N143" i="5"/>
  <c r="N132" i="5"/>
  <c r="N129" i="5"/>
  <c r="M122" i="5"/>
  <c r="M107" i="5"/>
  <c r="M103" i="5"/>
  <c r="Q97" i="5"/>
  <c r="Q93" i="5"/>
  <c r="Q89" i="5"/>
  <c r="P86" i="5"/>
  <c r="P82" i="5"/>
  <c r="P77" i="5"/>
  <c r="O73" i="5"/>
  <c r="O70" i="5"/>
  <c r="O66" i="5"/>
  <c r="N63" i="5"/>
  <c r="N30" i="5"/>
  <c r="O26" i="5"/>
  <c r="P51" i="5"/>
  <c r="Q41" i="5"/>
  <c r="M41" i="5"/>
  <c r="N37" i="5"/>
  <c r="O21" i="5"/>
  <c r="P14" i="5"/>
  <c r="Q47" i="5"/>
  <c r="M47" i="5"/>
  <c r="N44" i="5"/>
  <c r="O33" i="5"/>
  <c r="P17" i="5"/>
  <c r="Q10" i="5"/>
  <c r="M10" i="5"/>
  <c r="N7" i="5"/>
  <c r="Q303" i="5"/>
  <c r="Q299" i="5"/>
  <c r="N288" i="5"/>
  <c r="N285" i="5"/>
  <c r="O281" i="5"/>
  <c r="N278" i="5"/>
  <c r="P266" i="5"/>
  <c r="Q234" i="5"/>
  <c r="P248" i="5"/>
  <c r="Q230" i="5"/>
  <c r="N227" i="5"/>
  <c r="P215" i="5"/>
  <c r="Q211" i="5"/>
  <c r="N186" i="5"/>
  <c r="P183" i="5"/>
  <c r="P180" i="5"/>
  <c r="P176" i="5"/>
  <c r="P173" i="5"/>
  <c r="M161" i="5"/>
  <c r="M126" i="5"/>
  <c r="M154" i="5"/>
  <c r="O132" i="5"/>
  <c r="Q122" i="5"/>
  <c r="P107" i="5"/>
  <c r="N103" i="5"/>
  <c r="P97" i="5"/>
  <c r="N93" i="5"/>
  <c r="M89" i="5"/>
  <c r="O82" i="5"/>
  <c r="M77" i="5"/>
  <c r="P70" i="5"/>
  <c r="M66" i="5"/>
  <c r="Q30" i="5"/>
  <c r="P26" i="5"/>
  <c r="O51" i="5"/>
  <c r="O41" i="5"/>
  <c r="O37" i="5"/>
  <c r="N21" i="5"/>
  <c r="N14" i="5"/>
  <c r="N47" i="5"/>
  <c r="M44" i="5"/>
  <c r="M33" i="5"/>
  <c r="M17" i="5"/>
  <c r="Q7" i="5"/>
  <c r="O303" i="5"/>
  <c r="P299" i="5"/>
  <c r="M285" i="5"/>
  <c r="M278" i="5"/>
  <c r="N266" i="5"/>
  <c r="M234" i="5"/>
  <c r="O248" i="5"/>
  <c r="P230" i="5"/>
  <c r="O215" i="5"/>
  <c r="O211" i="5"/>
  <c r="O208" i="5"/>
  <c r="O201" i="5"/>
  <c r="Q197" i="5"/>
  <c r="M183" i="5"/>
  <c r="N176" i="5"/>
  <c r="O173" i="5"/>
  <c r="N147" i="5"/>
  <c r="O157" i="5"/>
  <c r="Q143" i="5"/>
  <c r="M132" i="5"/>
  <c r="P122" i="5"/>
  <c r="N107" i="5"/>
  <c r="P100" i="5"/>
  <c r="O97" i="5"/>
  <c r="M93" i="5"/>
  <c r="O86" i="5"/>
  <c r="M82" i="5"/>
  <c r="Q73" i="5"/>
  <c r="N70" i="5"/>
  <c r="Q63" i="5"/>
  <c r="O30" i="5"/>
  <c r="N26" i="5"/>
  <c r="N51" i="5"/>
  <c r="N41" i="5"/>
  <c r="M37" i="5"/>
  <c r="M21" i="5"/>
  <c r="M14" i="5"/>
  <c r="Q44" i="5"/>
  <c r="Q33" i="5"/>
  <c r="Q17" i="5"/>
  <c r="P10" i="5"/>
  <c r="P7" i="5"/>
  <c r="M317" i="5"/>
  <c r="P285" i="5"/>
  <c r="M252" i="5"/>
  <c r="O237" i="5"/>
  <c r="O126" i="5"/>
  <c r="Q132" i="5"/>
  <c r="Q107" i="5"/>
  <c r="N100" i="5"/>
  <c r="N89" i="5"/>
  <c r="N77" i="5"/>
  <c r="P66" i="5"/>
  <c r="Q26" i="5"/>
  <c r="P41" i="5"/>
  <c r="P21" i="5"/>
  <c r="O47" i="5"/>
  <c r="N33" i="5"/>
  <c r="N10" i="5"/>
  <c r="O321" i="5"/>
  <c r="P313" i="5"/>
  <c r="M303" i="5"/>
  <c r="Q270" i="5"/>
  <c r="Q262" i="5"/>
  <c r="Q227" i="5"/>
  <c r="M208" i="5"/>
  <c r="M197" i="5"/>
  <c r="P161" i="5"/>
  <c r="N157" i="5"/>
  <c r="P129" i="5"/>
  <c r="Q103" i="5"/>
  <c r="M97" i="5"/>
  <c r="N86" i="5"/>
  <c r="N73" i="5"/>
  <c r="P63" i="5"/>
  <c r="M26" i="5"/>
  <c r="Q37" i="5"/>
  <c r="Q14" i="5"/>
  <c r="P44" i="5"/>
  <c r="O17" i="5"/>
  <c r="O7" i="5"/>
  <c r="N321" i="5"/>
  <c r="O262" i="5"/>
  <c r="Q183" i="5"/>
  <c r="O161" i="5"/>
  <c r="O129" i="5"/>
  <c r="P93" i="5"/>
  <c r="M73" i="5"/>
  <c r="Q51" i="5"/>
  <c r="O14" i="5"/>
  <c r="N17" i="5"/>
  <c r="P288" i="5"/>
  <c r="O227" i="5"/>
  <c r="O103" i="5"/>
  <c r="M63" i="5"/>
  <c r="M7" i="5"/>
  <c r="M143" i="5"/>
  <c r="Q77" i="5"/>
  <c r="Q21" i="5"/>
  <c r="Q317" i="5"/>
  <c r="Q237" i="5"/>
  <c r="N201" i="5"/>
  <c r="M147" i="5"/>
  <c r="O122" i="5"/>
  <c r="O89" i="5"/>
  <c r="Q66" i="5"/>
  <c r="M51" i="5"/>
  <c r="P47" i="5"/>
  <c r="O10" i="5"/>
  <c r="N313" i="5"/>
  <c r="M270" i="5"/>
  <c r="O154" i="5"/>
  <c r="Q82" i="5"/>
  <c r="P37" i="5"/>
  <c r="O44" i="5"/>
  <c r="P252" i="5"/>
  <c r="O100" i="5"/>
  <c r="M30" i="5"/>
  <c r="P33" i="5"/>
  <c r="M310" i="5"/>
  <c r="M140" i="5"/>
  <c r="Q151" i="5"/>
  <c r="M190" i="5"/>
  <c r="N151" i="5"/>
  <c r="N310" i="5"/>
  <c r="O140" i="5"/>
  <c r="P310" i="5"/>
  <c r="N136" i="5"/>
  <c r="Q194" i="5"/>
  <c r="M165" i="5"/>
  <c r="O165" i="5"/>
  <c r="O259" i="5"/>
  <c r="Q140" i="5"/>
  <c r="N205" i="5"/>
  <c r="Q190" i="5"/>
  <c r="O205" i="5"/>
  <c r="M136" i="5"/>
  <c r="P194" i="5"/>
  <c r="Q259" i="5"/>
  <c r="O190" i="5"/>
  <c r="P151" i="5"/>
  <c r="Q219" i="5"/>
  <c r="P219" i="5"/>
  <c r="N219" i="5"/>
  <c r="O136" i="5"/>
  <c r="N194" i="5"/>
  <c r="P259" i="5"/>
  <c r="N140" i="5"/>
  <c r="Q310" i="5"/>
  <c r="Q136" i="5"/>
  <c r="O151" i="5"/>
  <c r="N259" i="5"/>
  <c r="P140" i="5"/>
  <c r="M205" i="5"/>
  <c r="M219" i="5"/>
  <c r="P165" i="5"/>
  <c r="N165" i="5"/>
  <c r="P190" i="5"/>
  <c r="M151" i="5"/>
  <c r="P136" i="5"/>
  <c r="O194" i="5"/>
  <c r="M259" i="5"/>
  <c r="N190" i="5"/>
  <c r="P205" i="5"/>
  <c r="O310" i="5"/>
  <c r="Q205" i="5"/>
  <c r="Q165" i="5"/>
  <c r="O219" i="5"/>
  <c r="P292" i="5"/>
  <c r="Q245" i="5"/>
  <c r="M256" i="5"/>
  <c r="N307" i="5"/>
  <c r="P241" i="5"/>
  <c r="Q292" i="5"/>
  <c r="O296" i="5"/>
  <c r="N256" i="5"/>
  <c r="Q153" i="1"/>
  <c r="M145" i="1"/>
  <c r="O134" i="1"/>
  <c r="Q123" i="1"/>
  <c r="M114" i="1"/>
  <c r="O98" i="1"/>
  <c r="Q87" i="1"/>
  <c r="M79" i="1"/>
  <c r="O67" i="1"/>
  <c r="Q149" i="1"/>
  <c r="M142" i="1"/>
  <c r="O130" i="1"/>
  <c r="Q118" i="1"/>
  <c r="M111" i="1"/>
  <c r="O94" i="1"/>
  <c r="Q83" i="1"/>
  <c r="M76" i="1"/>
  <c r="O63" i="1"/>
  <c r="N138" i="1"/>
  <c r="N102" i="1"/>
  <c r="N72" i="1"/>
  <c r="Q27" i="1"/>
  <c r="M46" i="1"/>
  <c r="O35" i="1"/>
  <c r="P24" i="1"/>
  <c r="N149" i="1"/>
  <c r="N118" i="1"/>
  <c r="N83" i="1"/>
  <c r="M60" i="1"/>
  <c r="P46" i="1"/>
  <c r="P31" i="1"/>
  <c r="P11" i="1"/>
  <c r="N127" i="1"/>
  <c r="O60" i="1"/>
  <c r="P35" i="1"/>
  <c r="P111" i="1"/>
  <c r="M35" i="1"/>
  <c r="P87" i="1"/>
  <c r="Q24" i="1"/>
  <c r="M20" i="1"/>
  <c r="P142" i="1"/>
  <c r="M50" i="1"/>
  <c r="N111" i="1"/>
  <c r="P127" i="1"/>
  <c r="M42" i="1"/>
  <c r="M153" i="1"/>
  <c r="O142" i="1"/>
  <c r="Q130" i="1"/>
  <c r="M123" i="1"/>
  <c r="O111" i="1"/>
  <c r="Q94" i="1"/>
  <c r="M87" i="1"/>
  <c r="O76" i="1"/>
  <c r="Q63" i="1"/>
  <c r="M149" i="1"/>
  <c r="O138" i="1"/>
  <c r="Q127" i="1"/>
  <c r="M118" i="1"/>
  <c r="O102" i="1"/>
  <c r="Q91" i="1"/>
  <c r="M83" i="1"/>
  <c r="O72" i="1"/>
  <c r="Q60" i="1"/>
  <c r="P134" i="1"/>
  <c r="P98" i="1"/>
  <c r="P67" i="1"/>
  <c r="M27" i="1"/>
  <c r="O42" i="1"/>
  <c r="Q31" i="1"/>
  <c r="Q11" i="1"/>
  <c r="P145" i="1"/>
  <c r="P114" i="1"/>
  <c r="P79" i="1"/>
  <c r="N20" i="1"/>
  <c r="N42" i="1"/>
  <c r="Q15" i="1"/>
  <c r="Q8" i="1"/>
  <c r="P102" i="1"/>
  <c r="N27" i="1"/>
  <c r="M24" i="1"/>
  <c r="N94" i="1"/>
  <c r="P15" i="1"/>
  <c r="N76" i="1"/>
  <c r="N145" i="1"/>
  <c r="Q50" i="1"/>
  <c r="O149" i="1"/>
  <c r="Q138" i="1"/>
  <c r="M130" i="1"/>
  <c r="O118" i="1"/>
  <c r="Q102" i="1"/>
  <c r="M94" i="1"/>
  <c r="O83" i="1"/>
  <c r="Q72" i="1"/>
  <c r="M63" i="1"/>
  <c r="O145" i="1"/>
  <c r="Q134" i="1"/>
  <c r="M127" i="1"/>
  <c r="O114" i="1"/>
  <c r="Q98" i="1"/>
  <c r="M91" i="1"/>
  <c r="O79" i="1"/>
  <c r="Q67" i="1"/>
  <c r="N153" i="1"/>
  <c r="N123" i="1"/>
  <c r="N87" i="1"/>
  <c r="N60" i="1"/>
  <c r="O50" i="1"/>
  <c r="Q39" i="1"/>
  <c r="M31" i="1"/>
  <c r="M11" i="1"/>
  <c r="N134" i="1"/>
  <c r="N98" i="1"/>
  <c r="N67" i="1"/>
  <c r="P27" i="1"/>
  <c r="P39" i="1"/>
  <c r="M15" i="1"/>
  <c r="M8" i="1"/>
  <c r="N91" i="1"/>
  <c r="P50" i="1"/>
  <c r="N11" i="1"/>
  <c r="Q20" i="1"/>
  <c r="P153" i="1"/>
  <c r="P42" i="1"/>
  <c r="P91" i="1"/>
  <c r="O39" i="1"/>
  <c r="P76" i="1"/>
  <c r="O31" i="1"/>
  <c r="N46" i="1"/>
  <c r="P60" i="1"/>
  <c r="N24" i="1"/>
  <c r="Q145" i="1"/>
  <c r="M138" i="1"/>
  <c r="O127" i="1"/>
  <c r="Q114" i="1"/>
  <c r="M102" i="1"/>
  <c r="O91" i="1"/>
  <c r="Q79" i="1"/>
  <c r="M72" i="1"/>
  <c r="O153" i="1"/>
  <c r="Q142" i="1"/>
  <c r="M134" i="1"/>
  <c r="O123" i="1"/>
  <c r="Q111" i="1"/>
  <c r="M98" i="1"/>
  <c r="O87" i="1"/>
  <c r="Q76" i="1"/>
  <c r="M67" i="1"/>
  <c r="P149" i="1"/>
  <c r="P118" i="1"/>
  <c r="P83" i="1"/>
  <c r="O20" i="1"/>
  <c r="Q46" i="1"/>
  <c r="M39" i="1"/>
  <c r="N15" i="1"/>
  <c r="N8" i="1"/>
  <c r="P130" i="1"/>
  <c r="P94" i="1"/>
  <c r="P63" i="1"/>
  <c r="N50" i="1"/>
  <c r="N35" i="1"/>
  <c r="O24" i="1"/>
  <c r="P138" i="1"/>
  <c r="P72" i="1"/>
  <c r="N39" i="1"/>
  <c r="N31" i="1"/>
  <c r="N63" i="1"/>
  <c r="O15" i="1"/>
  <c r="P8" i="1"/>
  <c r="O8" i="1"/>
  <c r="N79" i="1"/>
  <c r="Q42" i="1"/>
  <c r="N114" i="1"/>
  <c r="O46" i="1"/>
  <c r="O11" i="1"/>
  <c r="P123" i="1"/>
  <c r="O27" i="1"/>
  <c r="N142" i="1"/>
  <c r="N130" i="1"/>
  <c r="P20" i="1"/>
  <c r="Q35" i="1"/>
  <c r="N241" i="5"/>
  <c r="O292" i="5"/>
  <c r="P245" i="5"/>
  <c r="M296" i="5"/>
  <c r="Q296" i="5"/>
  <c r="P256" i="5"/>
  <c r="M307" i="5"/>
  <c r="Q307" i="5"/>
  <c r="O112" i="5"/>
  <c r="N112" i="5"/>
  <c r="Q112" i="5"/>
  <c r="M112" i="5"/>
  <c r="P112" i="5"/>
  <c r="O119" i="5"/>
  <c r="Q111" i="5"/>
  <c r="M111" i="5"/>
  <c r="N55" i="5"/>
  <c r="N119" i="5"/>
  <c r="P111" i="5"/>
  <c r="Q55" i="5"/>
  <c r="M55" i="5"/>
  <c r="Q119" i="5"/>
  <c r="M119" i="5"/>
  <c r="O111" i="5"/>
  <c r="P55" i="5"/>
  <c r="P119" i="5"/>
  <c r="N111" i="5"/>
  <c r="O55" i="5"/>
  <c r="Q120" i="5"/>
  <c r="M120" i="5"/>
  <c r="N120" i="5"/>
  <c r="P120" i="5"/>
  <c r="O120" i="5"/>
  <c r="N48" i="5"/>
  <c r="M56" i="5"/>
  <c r="Q22" i="5"/>
  <c r="O27" i="5"/>
  <c r="N56" i="5"/>
  <c r="Q18" i="5"/>
  <c r="M45" i="5"/>
  <c r="Q38" i="5"/>
  <c r="M15" i="5"/>
  <c r="Q31" i="5"/>
  <c r="N38" i="5"/>
  <c r="P56" i="5"/>
  <c r="M8" i="5"/>
  <c r="P27" i="5"/>
  <c r="N22" i="5"/>
  <c r="O38" i="5"/>
  <c r="N11" i="5"/>
  <c r="Q27" i="5"/>
  <c r="P34" i="5"/>
  <c r="O42" i="5"/>
  <c r="N45" i="5"/>
  <c r="M42" i="5"/>
  <c r="N15" i="5"/>
  <c r="N27" i="5"/>
  <c r="Q52" i="5"/>
  <c r="P18" i="5"/>
  <c r="O34" i="5"/>
  <c r="P8" i="5"/>
  <c r="M31" i="5"/>
  <c r="O22" i="5"/>
  <c r="O56" i="5"/>
  <c r="Q34" i="5"/>
  <c r="Q8" i="5"/>
  <c r="M11" i="5"/>
  <c r="O11" i="5"/>
  <c r="O15" i="5"/>
  <c r="P42" i="5"/>
  <c r="P48" i="5"/>
  <c r="M34" i="5"/>
  <c r="N52" i="5"/>
  <c r="P52" i="5"/>
  <c r="Q15" i="5"/>
  <c r="N34" i="5"/>
  <c r="Q11" i="5"/>
  <c r="O18" i="5"/>
  <c r="P45" i="5"/>
  <c r="N31" i="5"/>
  <c r="M18" i="5"/>
  <c r="O45" i="5"/>
  <c r="Q42" i="5"/>
  <c r="O31" i="5"/>
  <c r="P38" i="5"/>
  <c r="Q48" i="5"/>
  <c r="N8" i="5"/>
  <c r="M52" i="5"/>
  <c r="P31" i="5"/>
  <c r="N42" i="5"/>
  <c r="P15" i="5"/>
  <c r="O52" i="5"/>
  <c r="M48" i="5"/>
  <c r="O8" i="5"/>
  <c r="Q56" i="5"/>
  <c r="N18" i="5"/>
  <c r="P22" i="5"/>
  <c r="O48" i="5"/>
  <c r="M22" i="5"/>
  <c r="P11" i="5"/>
  <c r="Q45" i="5"/>
  <c r="M38" i="5"/>
  <c r="M27" i="5"/>
  <c r="Q21" i="1"/>
  <c r="M21" i="1"/>
  <c r="M12" i="1"/>
  <c r="P21" i="1"/>
  <c r="M9" i="1"/>
  <c r="O21" i="1"/>
  <c r="M16" i="1"/>
  <c r="N21" i="1"/>
  <c r="O35" i="7"/>
  <c r="P31" i="7"/>
  <c r="N35" i="7"/>
  <c r="O31" i="7"/>
  <c r="Q35" i="7"/>
  <c r="M35" i="7"/>
  <c r="N31" i="7"/>
  <c r="P35" i="7"/>
  <c r="Q31" i="7"/>
  <c r="M31" i="7"/>
  <c r="N33" i="6" l="1"/>
  <c r="O33" i="6" s="1"/>
  <c r="P33" i="6" s="1"/>
  <c r="Q33" i="6" s="1"/>
  <c r="R43" i="5"/>
  <c r="H43" i="5"/>
  <c r="J66" i="4"/>
  <c r="J70" i="4" s="1"/>
  <c r="J73" i="4" s="1"/>
  <c r="J77" i="4" s="1"/>
  <c r="J81" i="4" s="1"/>
  <c r="J84" i="4" s="1"/>
  <c r="J9" i="4"/>
  <c r="J12" i="4" s="1"/>
  <c r="J16" i="4" s="1"/>
  <c r="J19" i="4" s="1"/>
  <c r="J22" i="4" s="1"/>
  <c r="J26" i="4" s="1"/>
  <c r="J33" i="4" s="1"/>
  <c r="N5" i="1"/>
  <c r="O5" i="1" s="1"/>
  <c r="P5" i="1" s="1"/>
  <c r="Q5" i="1" s="1"/>
  <c r="J92" i="4" l="1"/>
  <c r="J95" i="4" s="1"/>
  <c r="J98" i="4" s="1"/>
  <c r="J102" i="4" s="1"/>
  <c r="J88" i="4"/>
  <c r="J30" i="4"/>
  <c r="J37" i="4"/>
  <c r="J44" i="4" l="1"/>
  <c r="J47" i="4" s="1"/>
  <c r="J51" i="4" s="1"/>
  <c r="J41" i="4"/>
  <c r="C74" i="1" l="1"/>
  <c r="C69" i="1"/>
  <c r="C65" i="1"/>
  <c r="C62" i="1"/>
  <c r="C58" i="1"/>
  <c r="C48" i="1"/>
  <c r="C44" i="1"/>
  <c r="C41" i="1"/>
  <c r="C33" i="1"/>
  <c r="C29" i="1"/>
  <c r="C26" i="1"/>
  <c r="C22" i="1"/>
  <c r="C17" i="1"/>
  <c r="C13" i="1"/>
  <c r="C10" i="1"/>
</calcChain>
</file>

<file path=xl/comments1.xml><?xml version="1.0" encoding="utf-8"?>
<comments xmlns="http://schemas.openxmlformats.org/spreadsheetml/2006/main">
  <authors>
    <author>Author</author>
  </authors>
  <commentList>
    <comment ref="J4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10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Battery lifetime is crucial! Battery lifetime is measured in 'cycles'; largely decided by how much the battery is used (discharged/recharged). 
Manufacturers 'gurantee' battery lifetimes of 5-8 years. Source: Natkunarajah et al. (2015)
</t>
        </r>
        <r>
          <rPr>
            <i/>
            <sz val="10"/>
            <color indexed="81"/>
            <rFont val="Tahoma"/>
            <family val="2"/>
          </rPr>
          <t xml:space="preserve">
Possible effects of vehicle-to-home (V2H) or vehicle-to-grid (V2G) on battery lifetime? Less interesting for electric car manufacturers; focus on extending range/lifetime and cutting battery costs... </t>
        </r>
      </text>
    </comment>
    <comment ref="J56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107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113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Battery lifetime is crucial! Battery lifetime is measured in 'cycles'; largely decided by how much the battery is used (discharged/recharged). 
Manufacturers 'gurantee' battery lifetimes of 5-8 years. Source: Natkunarajah et al. (2015)
</t>
        </r>
        <r>
          <rPr>
            <i/>
            <sz val="10"/>
            <color indexed="81"/>
            <rFont val="Tahoma"/>
            <family val="2"/>
          </rPr>
          <t xml:space="preserve">
Possible effects of vehicle-to-home (V2H) or vehicle-to-grid (V2G) on battery lifetime? Less interesting for electric car manufacturers; focus on extending range/lifetime and cutting battery costs...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4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19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42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4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58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4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60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C115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the most common size of urban goods distribution vehicles. BUT it is a sub-category of heavy goods vehicles, and hence may not be distinguishble in statistics</t>
        </r>
      </text>
    </comment>
    <comment ref="J116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C169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the most common size of urban goods distribution vehicles. BUT it is a sub-category of heavy goods vehicles, and hence may not be distinguishble in statistics</t>
        </r>
      </text>
    </comment>
    <comment ref="J170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224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275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32" authorId="0" shapeId="0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>Allowed Vintage
- NO 
- YES</t>
        </r>
      </text>
    </comment>
  </commentList>
</comments>
</file>

<file path=xl/sharedStrings.xml><?xml version="1.0" encoding="utf-8"?>
<sst xmlns="http://schemas.openxmlformats.org/spreadsheetml/2006/main" count="5891" uniqueCount="690">
  <si>
    <t>ROAD - PASSENGER: Other</t>
  </si>
  <si>
    <t>~FI_T</t>
  </si>
  <si>
    <t>TechName</t>
  </si>
  <si>
    <t>*TechDesc</t>
  </si>
  <si>
    <t>Comm-IN</t>
  </si>
  <si>
    <t>Comm-IN-A</t>
  </si>
  <si>
    <t>Comm-OUT</t>
  </si>
  <si>
    <t>Share~LO</t>
  </si>
  <si>
    <t>Share~UP</t>
  </si>
  <si>
    <t>CEFF~2040</t>
  </si>
  <si>
    <t>CEFF~2050</t>
  </si>
  <si>
    <t>Cap2Act</t>
  </si>
  <si>
    <t>ACTFLO~DEMO</t>
  </si>
  <si>
    <t>AF~2030</t>
  </si>
  <si>
    <t>VAROM</t>
  </si>
  <si>
    <t>INVCOST~2020</t>
  </si>
  <si>
    <t>INVCOST~2025</t>
  </si>
  <si>
    <t>INVCOST~2030</t>
  </si>
  <si>
    <t>INVCOST~2035</t>
  </si>
  <si>
    <t>INVCOST~2040</t>
  </si>
  <si>
    <t>INVCOST~2045</t>
  </si>
  <si>
    <t>INVCOST~2050</t>
  </si>
  <si>
    <t xml:space="preserve">\I: </t>
  </si>
  <si>
    <t>*</t>
  </si>
  <si>
    <t>stock/ demand</t>
  </si>
  <si>
    <t>Passenger/ Vehicle</t>
  </si>
  <si>
    <t>Years</t>
  </si>
  <si>
    <t>TRAELC</t>
  </si>
  <si>
    <t>TEP</t>
  </si>
  <si>
    <t>TYEP101</t>
  </si>
  <si>
    <t>TRAHUM</t>
  </si>
  <si>
    <t>TYEP</t>
  </si>
  <si>
    <t>TYNP101</t>
  </si>
  <si>
    <t>TYNP</t>
  </si>
  <si>
    <t>TNO101</t>
  </si>
  <si>
    <t>TWN101</t>
  </si>
  <si>
    <t>TWN</t>
  </si>
  <si>
    <t>ROAD - PASSENGER: Motorcycles</t>
  </si>
  <si>
    <t>TMOTGSL101</t>
  </si>
  <si>
    <t>TRAGSL</t>
  </si>
  <si>
    <t>TRAETHM</t>
  </si>
  <si>
    <t>TMOTELC101</t>
  </si>
  <si>
    <t>FIXOM</t>
  </si>
  <si>
    <t>TCARBDL101</t>
  </si>
  <si>
    <t>TRABDL</t>
  </si>
  <si>
    <t>TCL</t>
  </si>
  <si>
    <t>TCS</t>
  </si>
  <si>
    <t>TCARDST101</t>
  </si>
  <si>
    <t>TRADST</t>
  </si>
  <si>
    <t>TCARELC101</t>
  </si>
  <si>
    <t>TCARETH101</t>
  </si>
  <si>
    <t>TRAETH</t>
  </si>
  <si>
    <t>TCARGAS101</t>
  </si>
  <si>
    <t>TRANGS</t>
  </si>
  <si>
    <t>TRABGS</t>
  </si>
  <si>
    <t>TCARGSL101</t>
  </si>
  <si>
    <t>TCARHFC101</t>
  </si>
  <si>
    <t>TRAH2G</t>
  </si>
  <si>
    <t>TCARHYD101</t>
  </si>
  <si>
    <t>TCARHYG101</t>
  </si>
  <si>
    <t>TCARLPG101</t>
  </si>
  <si>
    <t>Car.LPG.01.</t>
  </si>
  <si>
    <t>TRALPG</t>
  </si>
  <si>
    <t>TCARPYD101</t>
  </si>
  <si>
    <t>TCARPYG101</t>
  </si>
  <si>
    <t>ROAD - PASSENGER: Bus (Urban)</t>
  </si>
  <si>
    <t>TBUSBDL101</t>
  </si>
  <si>
    <t>Bus.Urban.BDL.01.</t>
  </si>
  <si>
    <t>TBU</t>
  </si>
  <si>
    <t>TBUSDME101</t>
  </si>
  <si>
    <t>Bus.Urban.DME.01.</t>
  </si>
  <si>
    <t>TRADME</t>
  </si>
  <si>
    <t>TBUSDST101</t>
  </si>
  <si>
    <t>Bus.Urban.DST.01.</t>
  </si>
  <si>
    <t>TBUSELC101</t>
  </si>
  <si>
    <t>Bus.Urban.ELC.01.</t>
  </si>
  <si>
    <t>TBUSETH101</t>
  </si>
  <si>
    <t>Bus.Urban.ETH.01.</t>
  </si>
  <si>
    <t>TBUSGAS101</t>
  </si>
  <si>
    <t>Bus.Urban.GAS.01.</t>
  </si>
  <si>
    <t>TBUSGSL101</t>
  </si>
  <si>
    <t>Bus.Urban.GSL.01.</t>
  </si>
  <si>
    <t>TBUSHFC101</t>
  </si>
  <si>
    <t>Bus.Urban.H2G.01.</t>
  </si>
  <si>
    <t>TBUSLPG101</t>
  </si>
  <si>
    <t>TBUSMDE101</t>
  </si>
  <si>
    <t>ROAD - PASSENGER: Bus (Intercity)</t>
  </si>
  <si>
    <t>TBISBDL101</t>
  </si>
  <si>
    <t>Bus.Intercity.BDL.01.</t>
  </si>
  <si>
    <t>TBI</t>
  </si>
  <si>
    <t>TBISDME101</t>
  </si>
  <si>
    <t>Bus.Intercity.DME.01.</t>
  </si>
  <si>
    <t>TBISDST101</t>
  </si>
  <si>
    <t>Bus.Intercity.DST.01.</t>
  </si>
  <si>
    <t>TBISETH101</t>
  </si>
  <si>
    <t>Bus.Intercity.ETH.01.</t>
  </si>
  <si>
    <t>TBISGAS101</t>
  </si>
  <si>
    <t>Bus.Intercity.GAS.01.</t>
  </si>
  <si>
    <t>TBISGSL101</t>
  </si>
  <si>
    <t>Bus.Intercity.GSL.01.</t>
  </si>
  <si>
    <t>TBISHFC101</t>
  </si>
  <si>
    <t>Bus.Intercity.H2G.01.</t>
  </si>
  <si>
    <t>TBISLPG101</t>
  </si>
  <si>
    <t>Bus.Intercity.LPG.01.</t>
  </si>
  <si>
    <t>TBISMDE101</t>
  </si>
  <si>
    <t>RAIL - PASSENGER</t>
  </si>
  <si>
    <t>TTLRELC101</t>
  </si>
  <si>
    <t>Train.Light.Railcar.ELC.01.</t>
  </si>
  <si>
    <t>TTL</t>
  </si>
  <si>
    <t>TTMEELC101</t>
  </si>
  <si>
    <t>Train.Metro.ELC.01.</t>
  </si>
  <si>
    <t>TTM</t>
  </si>
  <si>
    <t>TTPHELC101</t>
  </si>
  <si>
    <t>Train.Passenger.HighSpeed.ELC.01.</t>
  </si>
  <si>
    <t>TTH</t>
  </si>
  <si>
    <t>TTPLELC101</t>
  </si>
  <si>
    <t>Train.Passenger.Loco.ELC.01.</t>
  </si>
  <si>
    <t>TTP</t>
  </si>
  <si>
    <t>TTPRELC101</t>
  </si>
  <si>
    <t>Train.Passenger.Railcar.ELC.01.</t>
  </si>
  <si>
    <t>TTPLDST101</t>
  </si>
  <si>
    <t>Train.Passenger.Loco.DST.01.</t>
  </si>
  <si>
    <t>TTPRDST101</t>
  </si>
  <si>
    <t>Train.Passenger.Railcar.DST.01.</t>
  </si>
  <si>
    <t>ROAD - FREIGHT: Other</t>
  </si>
  <si>
    <t>stock/demand</t>
  </si>
  <si>
    <t>Tons/Vehicle</t>
  </si>
  <si>
    <t>TYNF101</t>
  </si>
  <si>
    <t>TYNF</t>
  </si>
  <si>
    <t>TYEF101</t>
  </si>
  <si>
    <t>TYEF</t>
  </si>
  <si>
    <t>TEF</t>
  </si>
  <si>
    <t>TFLEBDL101</t>
  </si>
  <si>
    <t>Truck.Light.BDL.01.</t>
  </si>
  <si>
    <t>TFLEDME101</t>
  </si>
  <si>
    <t>Truck.Light.DME.01.</t>
  </si>
  <si>
    <t>TFLEDST101</t>
  </si>
  <si>
    <t>Truck.Light.DST.01.</t>
  </si>
  <si>
    <t>TFLEELC101</t>
  </si>
  <si>
    <t>Truck.Light.ELC.01.</t>
  </si>
  <si>
    <t>TFLEETH101</t>
  </si>
  <si>
    <t>Truck.Light.ETH.01.</t>
  </si>
  <si>
    <t>TFLEGAS101</t>
  </si>
  <si>
    <t>Truck.Light.GAS.01.</t>
  </si>
  <si>
    <t>TFLEGSL101</t>
  </si>
  <si>
    <t>Truck.Light.GSL.01.</t>
  </si>
  <si>
    <t>TFLEHFC101</t>
  </si>
  <si>
    <t>Truck.Light.H2G.01.</t>
  </si>
  <si>
    <t>TFLELPG101</t>
  </si>
  <si>
    <t>TFLEHYD101</t>
  </si>
  <si>
    <t>Truck.Light.Hybrid.DST.01.</t>
  </si>
  <si>
    <t>TFLEHYG101</t>
  </si>
  <si>
    <t>TFLEPYD101</t>
  </si>
  <si>
    <t>Truck.Light.Plugin-Hybrid.DST.01.</t>
  </si>
  <si>
    <t>TFLEPYG101</t>
  </si>
  <si>
    <t>TFREBDL101</t>
  </si>
  <si>
    <t>Truck.Heavy.BDL.01.</t>
  </si>
  <si>
    <t>TFREDME101</t>
  </si>
  <si>
    <t>Truck.Heavy.DME.01.</t>
  </si>
  <si>
    <t>TFREDST101</t>
  </si>
  <si>
    <t>Truck.Heavy.DST.01.</t>
  </si>
  <si>
    <t>TFREELC101</t>
  </si>
  <si>
    <t>TFREETH101</t>
  </si>
  <si>
    <t>Truck.Heavy.ETH.01.</t>
  </si>
  <si>
    <t>TFREGAS101</t>
  </si>
  <si>
    <t>Truck.Heavy.GAS.01.</t>
  </si>
  <si>
    <t>TFREGSL101</t>
  </si>
  <si>
    <t>Truck.Heavy.GSL.01.</t>
  </si>
  <si>
    <t>TFREHFC101</t>
  </si>
  <si>
    <t>Truck.Heavy.H2G.01.</t>
  </si>
  <si>
    <t>TFREMDE101</t>
  </si>
  <si>
    <t>RAIL - FREIGHT</t>
  </si>
  <si>
    <t>Tons/Train</t>
  </si>
  <si>
    <t>TTFLDST101</t>
  </si>
  <si>
    <t>Train.Freight.Loco.DST.01.</t>
  </si>
  <si>
    <t>TTF</t>
  </si>
  <si>
    <t>TTFLELC101</t>
  </si>
  <si>
    <t>Train.Freight.Loco.ELC.01.</t>
  </si>
  <si>
    <t>Output</t>
  </si>
  <si>
    <t>TAV101</t>
  </si>
  <si>
    <t>Aviation.Domestic.01.</t>
  </si>
  <si>
    <t>TRABJF</t>
  </si>
  <si>
    <t>TAV</t>
  </si>
  <si>
    <t>TAI101</t>
  </si>
  <si>
    <t>Aviation.International.01.</t>
  </si>
  <si>
    <t>Life</t>
  </si>
  <si>
    <t>START</t>
  </si>
  <si>
    <t>TNB101</t>
  </si>
  <si>
    <t>Navigation.Generic.Bunker.01.</t>
  </si>
  <si>
    <t>TRAHFO</t>
  </si>
  <si>
    <t>TNB</t>
  </si>
  <si>
    <t>~FI_Process</t>
  </si>
  <si>
    <t>Sets</t>
  </si>
  <si>
    <t>TechDesc</t>
  </si>
  <si>
    <t>Tact</t>
  </si>
  <si>
    <t>Tcap</t>
  </si>
  <si>
    <t>PrimaryCG</t>
  </si>
  <si>
    <t>Tslvl</t>
  </si>
  <si>
    <t>Vintage</t>
  </si>
  <si>
    <t>DMD</t>
  </si>
  <si>
    <t>DEMO</t>
  </si>
  <si>
    <t>NO</t>
  </si>
  <si>
    <t>Truck.Light.Hybrid.GSL.01.</t>
  </si>
  <si>
    <t>Truck.Light.LPG.City.01.</t>
  </si>
  <si>
    <t>LightElectricVehicle(LEV).Freight.01.</t>
  </si>
  <si>
    <t>LightElectricVehicle(LEV).Passenger.01.</t>
  </si>
  <si>
    <t>Moto.ELC.01.</t>
  </si>
  <si>
    <t>Moto.GSL.01</t>
  </si>
  <si>
    <t>Walking.Nonenergy.01.</t>
  </si>
  <si>
    <t>BicYcle.Electric.Freight.01.</t>
  </si>
  <si>
    <t>BicYcle.Electric.Passenger.01.</t>
  </si>
  <si>
    <t>BicYcle.Freight.01.</t>
  </si>
  <si>
    <t>BicYcle.Passenger.01.</t>
  </si>
  <si>
    <t>TCARBDL901</t>
  </si>
  <si>
    <t>TCARDST901</t>
  </si>
  <si>
    <t>Car.DST.City.01.</t>
  </si>
  <si>
    <t>TCARELC901</t>
  </si>
  <si>
    <t>Car.ELC.City.01.</t>
  </si>
  <si>
    <t>TCARETH901</t>
  </si>
  <si>
    <t>Car.ETH.City.01.</t>
  </si>
  <si>
    <t>TCARGAS901</t>
  </si>
  <si>
    <t>Car.GAS.City.01.</t>
  </si>
  <si>
    <t>TCARGSL901</t>
  </si>
  <si>
    <t>Car.GSL.City.01.</t>
  </si>
  <si>
    <t>TCARHFC901</t>
  </si>
  <si>
    <t>Car.H2G.City.01.</t>
  </si>
  <si>
    <t>TCARHYD901</t>
  </si>
  <si>
    <t>Car.Hybrid.DST.City.01.</t>
  </si>
  <si>
    <t>TCARHYG901</t>
  </si>
  <si>
    <t>Car.Hybrid.GSL.City.01.</t>
  </si>
  <si>
    <t>TCARLPG901</t>
  </si>
  <si>
    <t>Car.LPG.City.01.</t>
  </si>
  <si>
    <t>TCARPYD901</t>
  </si>
  <si>
    <t>Car.Plugin-Hybrid.DST.City.01.</t>
  </si>
  <si>
    <t>TCARPYG901</t>
  </si>
  <si>
    <t>Car.Plugin-Hybrid.GSL.City.01.</t>
  </si>
  <si>
    <t>TFLEBDL901</t>
  </si>
  <si>
    <t>Truck.Light.BDL.City.01.</t>
  </si>
  <si>
    <t>TFLEDME901</t>
  </si>
  <si>
    <t>Truck.Light.DME.City.01.</t>
  </si>
  <si>
    <t>TFLEDST901</t>
  </si>
  <si>
    <t>Truck.Light.DST.City.01.</t>
  </si>
  <si>
    <t>TFLEELC901</t>
  </si>
  <si>
    <t>Truck.Light.ELC.City.01.</t>
  </si>
  <si>
    <t>TFLEETH901</t>
  </si>
  <si>
    <t>Truck.Light.ETH.City.01.</t>
  </si>
  <si>
    <t>TFLEGAS901</t>
  </si>
  <si>
    <t>Truck.Light.GAS.City.01.</t>
  </si>
  <si>
    <t>TFLEGSL901</t>
  </si>
  <si>
    <t>Truck.Light.GSL.City.01.</t>
  </si>
  <si>
    <t>TFLEHFC901</t>
  </si>
  <si>
    <t>Truck.Light.H2G.City.01.</t>
  </si>
  <si>
    <t>TFLELPG901</t>
  </si>
  <si>
    <t>TFREBDL901</t>
  </si>
  <si>
    <t>Truck.Heavy.BDL.City.01.</t>
  </si>
  <si>
    <t>TFREDME901</t>
  </si>
  <si>
    <t>Truck.Heavy.DME.City.01.</t>
  </si>
  <si>
    <t>TFREDST901</t>
  </si>
  <si>
    <t>Truck.Heavy.DST.City.01.</t>
  </si>
  <si>
    <t>TFREELC901</t>
  </si>
  <si>
    <t>TFREETH901</t>
  </si>
  <si>
    <t>Truck.Heavy.ETH.City.01.</t>
  </si>
  <si>
    <t>TFREGAS901</t>
  </si>
  <si>
    <t>Truck.Heavy.GAS.City.01.</t>
  </si>
  <si>
    <t>TFREGSL901</t>
  </si>
  <si>
    <t>Truck.Heavy.GSL.City.01.</t>
  </si>
  <si>
    <t>TFREHFC901</t>
  </si>
  <si>
    <t>Truck.Heavy.H2G.City.01.</t>
  </si>
  <si>
    <t>LightElectricVehicle(LEV).Freight.City.01.</t>
  </si>
  <si>
    <t>LightElectricVehicle(LEV).Passenger.City.01.</t>
  </si>
  <si>
    <t>TNA101</t>
  </si>
  <si>
    <t>Navigation.Generic.Passenger.01.</t>
  </si>
  <si>
    <t>TNCDST101</t>
  </si>
  <si>
    <t>Navigation.Local.Ferry.DST.01.</t>
  </si>
  <si>
    <t>TNCELC101</t>
  </si>
  <si>
    <t>Navigation.Local.Ferry.ELC.01.</t>
  </si>
  <si>
    <t>TNCGAS101</t>
  </si>
  <si>
    <t>Navigation.Local.Ferry.GAS.01.</t>
  </si>
  <si>
    <t>TNO901</t>
  </si>
  <si>
    <t>TWN901</t>
  </si>
  <si>
    <t>Walking.Nonenergy.City.01.</t>
  </si>
  <si>
    <t>TYEF901</t>
  </si>
  <si>
    <t>BicYcle.Electric.Freight.City.01.</t>
  </si>
  <si>
    <t>TYEP901</t>
  </si>
  <si>
    <t>BicYcle.Electric.Passenger.City.01.</t>
  </si>
  <si>
    <t>TYNF901</t>
  </si>
  <si>
    <t>BicYcle.Freight.City.01.</t>
  </si>
  <si>
    <t>TYNP901</t>
  </si>
  <si>
    <t>BicYcle.Passenger.City.01.</t>
  </si>
  <si>
    <t>TCS-C</t>
  </si>
  <si>
    <t>TCL-C</t>
  </si>
  <si>
    <t>TNC</t>
  </si>
  <si>
    <t>CEFF - Long Distance</t>
  </si>
  <si>
    <t>MJ/100 km</t>
  </si>
  <si>
    <t>Own assumption; same relative efficiency improvement compared to DST as for heavy trucks</t>
  </si>
  <si>
    <t>JRC-EU-TIMES</t>
  </si>
  <si>
    <t>Own assumption</t>
  </si>
  <si>
    <t>TFLEHYD901</t>
  </si>
  <si>
    <t>TFLEHYG901</t>
  </si>
  <si>
    <t>TFLEPYD901</t>
  </si>
  <si>
    <t>TFLEPYG901</t>
  </si>
  <si>
    <t>CEFF - Short Distance</t>
  </si>
  <si>
    <t>Own assumption; same efficiency gain as BDL car</t>
  </si>
  <si>
    <t>Own assumption; same efficiency gain as DST car</t>
  </si>
  <si>
    <t>TTLRELC100</t>
  </si>
  <si>
    <t>TTMEELC100</t>
  </si>
  <si>
    <t>TTPRELC100</t>
  </si>
  <si>
    <t>TTPLELC100</t>
  </si>
  <si>
    <t>TTPHELC100</t>
  </si>
  <si>
    <t>TTPLDST100</t>
  </si>
  <si>
    <t>TTPRDST100</t>
  </si>
  <si>
    <t>TTFLDST100</t>
  </si>
  <si>
    <t>TTFLELC100</t>
  </si>
  <si>
    <t>GJ</t>
  </si>
  <si>
    <t>Comments</t>
  </si>
  <si>
    <t xml:space="preserve">All processes should have </t>
  </si>
  <si>
    <t>-Life (otherwisse they will go in and out)</t>
  </si>
  <si>
    <t>-Start year (Start year should not be BaseYear!!!)</t>
  </si>
  <si>
    <t>Other</t>
  </si>
  <si>
    <t>Processes should either have INPUT/OUTPUT, or Efficiency</t>
  </si>
  <si>
    <t>- Should have either input/PUTPUT OR Eff</t>
  </si>
  <si>
    <t>CEFF~2020</t>
  </si>
  <si>
    <t>CEFF~2030</t>
  </si>
  <si>
    <t>Car.DST.01.</t>
  </si>
  <si>
    <t>Car.ELC.01.</t>
  </si>
  <si>
    <t>Car.ETH.01.</t>
  </si>
  <si>
    <t>Car.GAS.01.</t>
  </si>
  <si>
    <t>Car.GSL.01.</t>
  </si>
  <si>
    <t>Car.H2G.01.</t>
  </si>
  <si>
    <t>Car.Hybrid.DST.01.</t>
  </si>
  <si>
    <t>Car.Hybrid.GSL.01.</t>
  </si>
  <si>
    <t>Car.Plugin-Hybrid.DST.01.</t>
  </si>
  <si>
    <t>Car.Plugin-Hybrid.GSL.01.</t>
  </si>
  <si>
    <t>TFLL</t>
  </si>
  <si>
    <t>TFRL</t>
  </si>
  <si>
    <t>TFLS</t>
  </si>
  <si>
    <t>TFRS</t>
  </si>
  <si>
    <t>Bus.Urban.Hybrid.DST.01.</t>
  </si>
  <si>
    <t>TBUSHYD101</t>
  </si>
  <si>
    <t>Bus.Urban.Plugin-Hybrid.DST.01.</t>
  </si>
  <si>
    <t>TBUSPYD101</t>
  </si>
  <si>
    <t>Bus.Intercity.Hybrid.DST.01.</t>
  </si>
  <si>
    <t>TBISHYD101</t>
  </si>
  <si>
    <t>Truck.Heavy.Hybrid.DST.01.</t>
  </si>
  <si>
    <t>TFREHYD101</t>
  </si>
  <si>
    <t>TFMEBDL101</t>
  </si>
  <si>
    <t>TFMEDME101</t>
  </si>
  <si>
    <t>TFMEDST101</t>
  </si>
  <si>
    <t>TFMEELC101</t>
  </si>
  <si>
    <t>TFMEETH101</t>
  </si>
  <si>
    <t>TFMEGAS101</t>
  </si>
  <si>
    <t>TFMEGSL101</t>
  </si>
  <si>
    <t>TFMEHYD101</t>
  </si>
  <si>
    <t>TFMEHFC101</t>
  </si>
  <si>
    <t>TFMEMDE101</t>
  </si>
  <si>
    <t>Truck.Medium.BDL.01.</t>
  </si>
  <si>
    <t>Truck.Medium.DME.01.</t>
  </si>
  <si>
    <t>Truck.Medium.DST.01.</t>
  </si>
  <si>
    <t>Truck.Medium.ELC.01.</t>
  </si>
  <si>
    <t>Truck.Medium.ETH.01.</t>
  </si>
  <si>
    <t>Truck.Medium.GAS.01.</t>
  </si>
  <si>
    <t>Truck.Medium.GSL.01.</t>
  </si>
  <si>
    <t>Truck.Medium.Hybrid.DST.01.</t>
  </si>
  <si>
    <t>Truck.Medium.H2G.01.</t>
  </si>
  <si>
    <t>TFML</t>
  </si>
  <si>
    <t>TFMS</t>
  </si>
  <si>
    <t>TBU-C</t>
  </si>
  <si>
    <t>TBI-C</t>
  </si>
  <si>
    <t>TTL-C</t>
  </si>
  <si>
    <t>TTM-C</t>
  </si>
  <si>
    <t>TTH-C</t>
  </si>
  <si>
    <t>TTP-C</t>
  </si>
  <si>
    <t>TTF-C</t>
  </si>
  <si>
    <t>TAV-C</t>
  </si>
  <si>
    <t>TMO</t>
  </si>
  <si>
    <t>TBUSHYG101</t>
  </si>
  <si>
    <t>Bus.Urban.Hybrid.GSL.01.</t>
  </si>
  <si>
    <t>Bus.Urban.LPG.01</t>
  </si>
  <si>
    <t>TBUSPYG101</t>
  </si>
  <si>
    <t>Bus.Urban.Plugin-Hybrid.GSL.01.</t>
  </si>
  <si>
    <t>TJ</t>
  </si>
  <si>
    <t>INVCOST</t>
  </si>
  <si>
    <t>AF~2040</t>
  </si>
  <si>
    <t>TNB-C</t>
  </si>
  <si>
    <t>TNC-C</t>
  </si>
  <si>
    <t>TYNF-C</t>
  </si>
  <si>
    <t>TYEF-C</t>
  </si>
  <si>
    <t>TEF-C</t>
  </si>
  <si>
    <t>TWN-C</t>
  </si>
  <si>
    <t>TYEP-C</t>
  </si>
  <si>
    <t>TYNP-C</t>
  </si>
  <si>
    <t>ROAD - PASSENGER: Cars - City's own organisation</t>
  </si>
  <si>
    <t>ROAD - PASSENGER: Cars - Pool</t>
  </si>
  <si>
    <t>Car.DST.Pool.01.</t>
  </si>
  <si>
    <t>Car.ELC.Pool.01.</t>
  </si>
  <si>
    <t>Car.ETH.Pool.01.</t>
  </si>
  <si>
    <t>Car.GAS.Pool.01.</t>
  </si>
  <si>
    <t>Car.GSL.Pool.01.</t>
  </si>
  <si>
    <t>Car.H2G.Pool.01.</t>
  </si>
  <si>
    <t>Car.Hybrid.DST.Pool.01.</t>
  </si>
  <si>
    <t>Car.Hybrid.GSL.Pool.01.</t>
  </si>
  <si>
    <t>Car.LPG.Pool.01.</t>
  </si>
  <si>
    <t>Car.Plugin-Hybrid.DST.Pool.01.</t>
  </si>
  <si>
    <t>Car.Plugin-Hybrid.GSL.Pool.01.</t>
  </si>
  <si>
    <t>TBISHYG101</t>
  </si>
  <si>
    <t>TBISPYD101</t>
  </si>
  <si>
    <t>TBISPYG101</t>
  </si>
  <si>
    <t>TFMEPYD101</t>
  </si>
  <si>
    <t>TFMEHYG101</t>
  </si>
  <si>
    <t>TFMEPYG101</t>
  </si>
  <si>
    <t>TFMELPG101</t>
  </si>
  <si>
    <t>TFREHYG101</t>
  </si>
  <si>
    <t>TFRELPG101</t>
  </si>
  <si>
    <t>TFREPYD101</t>
  </si>
  <si>
    <t>TFREPYG101</t>
  </si>
  <si>
    <t>Own assumption; equal to DST</t>
  </si>
  <si>
    <t>Own assumption; equal to GSL</t>
  </si>
  <si>
    <t>JRC-EU-TIMES; 30 kWh battery capacity</t>
  </si>
  <si>
    <t>Own assumption; equal to HFC</t>
  </si>
  <si>
    <t>Own assumption; equal to GAS</t>
  </si>
  <si>
    <t>See TFRE* below</t>
  </si>
  <si>
    <t>TFREHYD901</t>
  </si>
  <si>
    <t>TFREHYG901</t>
  </si>
  <si>
    <t>TFRELPG901</t>
  </si>
  <si>
    <t>TFREMDE901</t>
  </si>
  <si>
    <t>TFREPYD901</t>
  </si>
  <si>
    <t>TFREPYG901</t>
  </si>
  <si>
    <t>TFMEBDL901</t>
  </si>
  <si>
    <t>TFMEDME901</t>
  </si>
  <si>
    <t>TFMEDST901</t>
  </si>
  <si>
    <t>TFMEELC901</t>
  </si>
  <si>
    <t>TFMEETH901</t>
  </si>
  <si>
    <t>TFMEGAS901</t>
  </si>
  <si>
    <t>TFMEGSL901</t>
  </si>
  <si>
    <t>TFMEHYD901</t>
  </si>
  <si>
    <t>TFMEHYG901</t>
  </si>
  <si>
    <t>TFMEHFC901</t>
  </si>
  <si>
    <t>TFMELPG901</t>
  </si>
  <si>
    <t>TFMEMDE901</t>
  </si>
  <si>
    <t>TFMEPYD901</t>
  </si>
  <si>
    <t>TFMEPYG901</t>
  </si>
  <si>
    <t>20% more expensive than DST</t>
  </si>
  <si>
    <t>TCL-P</t>
  </si>
  <si>
    <t>Sheet</t>
  </si>
  <si>
    <t>TRA_TAV</t>
  </si>
  <si>
    <t>TRA_Buses</t>
  </si>
  <si>
    <t>TRA_Cars_Pool</t>
  </si>
  <si>
    <t>ROAD - PASSENGER: Cars - Private</t>
  </si>
  <si>
    <t>AF~2020</t>
  </si>
  <si>
    <t>TRA_TT</t>
  </si>
  <si>
    <t>Same as for GAS101</t>
  </si>
  <si>
    <t>Same as for GSL101</t>
  </si>
  <si>
    <t>TRA_Trucks</t>
  </si>
  <si>
    <t>TRA_TNA</t>
  </si>
  <si>
    <t>TRA_Others</t>
  </si>
  <si>
    <t>TCS-P</t>
  </si>
  <si>
    <t>Own assumption; equal to DST in long-distance</t>
  </si>
  <si>
    <t>Own assumption; equal to GSL in long-distance</t>
  </si>
  <si>
    <t>l/100 km</t>
  </si>
  <si>
    <t>Unit converter</t>
  </si>
  <si>
    <r>
      <t>MJ/l (GJ/m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</si>
  <si>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Quant.</t>
  </si>
  <si>
    <t>MWh</t>
  </si>
  <si>
    <t>Gasoline</t>
  </si>
  <si>
    <t>Kerosene/jet fuel</t>
  </si>
  <si>
    <t>Diesel</t>
  </si>
  <si>
    <t>LFO (Eo 1)</t>
  </si>
  <si>
    <t>HFO (Eo 2-6)</t>
  </si>
  <si>
    <t>Ethanol</t>
  </si>
  <si>
    <t>FAME</t>
  </si>
  <si>
    <t>HVO</t>
  </si>
  <si>
    <t>Natural gas</t>
  </si>
  <si>
    <t>Biogas</t>
  </si>
  <si>
    <t>LPG</t>
  </si>
  <si>
    <r>
      <t>1 m</t>
    </r>
    <r>
      <rPr>
        <vertAlign val="superscript"/>
        <sz val="11"/>
        <rFont val="Calibri"/>
        <family val="2"/>
        <scheme val="minor"/>
      </rPr>
      <t>3</t>
    </r>
  </si>
  <si>
    <r>
      <t>1000 m</t>
    </r>
    <r>
      <rPr>
        <vertAlign val="superscript"/>
        <sz val="11"/>
        <rFont val="Calibri"/>
        <family val="2"/>
        <scheme val="minor"/>
      </rPr>
      <t>3</t>
    </r>
  </si>
  <si>
    <t>TFLS-C</t>
  </si>
  <si>
    <t>TFLL-C</t>
  </si>
  <si>
    <t>TFML-C</t>
  </si>
  <si>
    <t>TFRL-C</t>
  </si>
  <si>
    <t>TAI, TAI-C</t>
  </si>
  <si>
    <t>TAV, TAV-C</t>
  </si>
  <si>
    <t>TBI, TBI-C</t>
  </si>
  <si>
    <t>TNA, TNA-C</t>
  </si>
  <si>
    <t>TNB, TNB-C</t>
  </si>
  <si>
    <t>25% higher fuel consumption compared to long-distance</t>
  </si>
  <si>
    <t>TFMS-C</t>
  </si>
  <si>
    <t>TFRS-C</t>
  </si>
  <si>
    <t>TBU, TBU-C</t>
  </si>
  <si>
    <t>Same as for DST</t>
  </si>
  <si>
    <t>Same as for ELC</t>
  </si>
  <si>
    <t>TBISELC101</t>
  </si>
  <si>
    <t>CHANGE COLUMNS O-S ONLY IF BETTER DATA IS AVAILABLE</t>
  </si>
  <si>
    <t>Equal to DST</t>
  </si>
  <si>
    <t>Source / Comments</t>
  </si>
  <si>
    <t>Own assumption; same relative efficiency gain as GAS car</t>
  </si>
  <si>
    <t>Own assumption; same relative efficiency gain as GSL car</t>
  </si>
  <si>
    <t>40% more efficient than DST bus (SL)</t>
  </si>
  <si>
    <t>Bus.Intercity.Hybrid.GSL.01.</t>
  </si>
  <si>
    <t>Bus.Intercity.Plugin-Hybrid.DST.01.</t>
  </si>
  <si>
    <t>Bus.Intercity.Plugin-Hybrid.GSL.01.</t>
  </si>
  <si>
    <t>Truck.Light.Hybrid.GSL.City.01.</t>
  </si>
  <si>
    <t>Truck.Light.Hybrid.DST.City.01.</t>
  </si>
  <si>
    <t>Truck.Light.Plugin-Hybrid.DST.City.01.</t>
  </si>
  <si>
    <t>Truck.Light.Plugin-Hybrid.GSL01.</t>
  </si>
  <si>
    <t>Truck.Light.Plugin-Hybrid.GSL.City.01.</t>
  </si>
  <si>
    <t>Truck.Medium.BDL.City.01.</t>
  </si>
  <si>
    <t>Truck.Medium.DME.City.01.</t>
  </si>
  <si>
    <t>Truck.Medium.DST.City.01.</t>
  </si>
  <si>
    <t>Truck.Medium.ELC.City.01.</t>
  </si>
  <si>
    <t>Truck.Medium.ETH.City.01.</t>
  </si>
  <si>
    <t>Truck.Medium.GAS.City.01.</t>
  </si>
  <si>
    <t>Truck.Medium.GSL.City.01.</t>
  </si>
  <si>
    <t>Truck.Medium.H2G.City.01.</t>
  </si>
  <si>
    <t>Truck.Medium.Hybrid.DST.City.01.</t>
  </si>
  <si>
    <t>Truck.Medium.Hybrid.GSL.01.</t>
  </si>
  <si>
    <t>Truck.Medium.Hybrid.GSL.City.01.</t>
  </si>
  <si>
    <t>Equal to heavy truck</t>
  </si>
  <si>
    <t>Truck.Medium.LPG.01.</t>
  </si>
  <si>
    <t>Truck.Medium.LPG.City.01.</t>
  </si>
  <si>
    <t>Truck.Medium.Plugin-Hybrid.DST.01.</t>
  </si>
  <si>
    <t>Truck.Medium.Plugin-Hybrid.DST.City.01.</t>
  </si>
  <si>
    <t>Truck.Medium.Plugin-Hybrid.GSL.01.</t>
  </si>
  <si>
    <t>Truck.Medium.Plugin-Hybrid.GSL.City.01.</t>
  </si>
  <si>
    <t>Truck.Heavy.Hybrid.DST.City.01.</t>
  </si>
  <si>
    <t>Truck.Heavy.Hybrid.GSL.01.</t>
  </si>
  <si>
    <t>Truck.Heavy.Hybrid.GSL.City.01.</t>
  </si>
  <si>
    <t>Truck.Heavy.LPG.01.</t>
  </si>
  <si>
    <t>Truck.Heavy.LPG.City.01.</t>
  </si>
  <si>
    <t>Truck.Heavy.Plugin-Hybrid.DST.01.</t>
  </si>
  <si>
    <t>Truck.Heavy.Plugin-Hybrid.DST.City.01.</t>
  </si>
  <si>
    <t>Truck.Heavy.Plugin-Hybrid.GSL.01.</t>
  </si>
  <si>
    <t>Truck.Heavy.Plugin-Hybrid.GSL.City.01.</t>
  </si>
  <si>
    <t>TEP-C</t>
  </si>
  <si>
    <t>TNC, TNC-C</t>
  </si>
  <si>
    <t>TMOTELC901</t>
  </si>
  <si>
    <t>TMO-C</t>
  </si>
  <si>
    <t>TMOTGSL901</t>
  </si>
  <si>
    <t>Guesstimate</t>
  </si>
  <si>
    <t>Double price of electric cargo bike</t>
  </si>
  <si>
    <t>kWh/km</t>
  </si>
  <si>
    <t>TRA_Cars</t>
  </si>
  <si>
    <t>Passenger/ Train</t>
  </si>
  <si>
    <t>Stock/ Demand</t>
  </si>
  <si>
    <t>ROAD - FREIGHT: Light Trucks &lt;3.5 tons - City's own organisation</t>
  </si>
  <si>
    <t>ROAD - FREIGHT: Light Trucks &lt;3.5 tons - Private</t>
  </si>
  <si>
    <t>ROAD - FREIGHT: Medium trucks 3.5-16 tons - Private</t>
  </si>
  <si>
    <t>ROAD - FREIGHT: Medium trucks 3.5-16 tons - City's own organisation</t>
  </si>
  <si>
    <t>ROAD - FREIGHT: Heavy trucks &gt;16 tons - Private</t>
  </si>
  <si>
    <t>Long distance efficiency</t>
  </si>
  <si>
    <t>Short distance efficiency</t>
  </si>
  <si>
    <t>ROAD - FREIGHT: Heavy trucks &gt;16 tons - City's own organisation</t>
  </si>
  <si>
    <t>DO NOT CHANGE! Calculated from columns P-T!</t>
  </si>
  <si>
    <t>Own assumption; same relative efficiency gain as for HYD compared to DST</t>
  </si>
  <si>
    <t>Own assumption; ca 5% more efficient than GSL</t>
  </si>
  <si>
    <t>Assumption / Source / Comments</t>
  </si>
  <si>
    <t>Assumed same efficiency gain compared to DST as HYD</t>
  </si>
  <si>
    <t>Assumed same efficiency gain compared to GSL as HYG</t>
  </si>
  <si>
    <t>Own assumption; same as HYD</t>
  </si>
  <si>
    <t>Own assumption; 20% more expensive than non-plugin hybrid due to bigger battery + charging opp.</t>
  </si>
  <si>
    <t>Own assumption; equal to DME</t>
  </si>
  <si>
    <t>TCARDST101P</t>
  </si>
  <si>
    <t>TCARELC101P</t>
  </si>
  <si>
    <t>TCARETH101P</t>
  </si>
  <si>
    <t>TCARGAS101P</t>
  </si>
  <si>
    <t>TCARGSL101P</t>
  </si>
  <si>
    <t>TCARHFC101P</t>
  </si>
  <si>
    <t>TCARHYD101P</t>
  </si>
  <si>
    <t>TCARHYG101P</t>
  </si>
  <si>
    <t>TCARLPG101P</t>
  </si>
  <si>
    <t>TCARPYD101P</t>
  </si>
  <si>
    <t>TCARPYG101P</t>
  </si>
  <si>
    <t>TCARBDL101P</t>
  </si>
  <si>
    <t>TLEPELC101</t>
  </si>
  <si>
    <t>TLEFELC101</t>
  </si>
  <si>
    <t>TLEP</t>
  </si>
  <si>
    <t>TLEF</t>
  </si>
  <si>
    <t>TLEFELC901</t>
  </si>
  <si>
    <t>TLEPELC901</t>
  </si>
  <si>
    <t>Own assumption, 10% more expensive than DST</t>
  </si>
  <si>
    <t>Exclude???</t>
  </si>
  <si>
    <t>Sheet name should be could "sector" name; TRA_xxx, IND_xxx, RSD_xxx etc.</t>
  </si>
  <si>
    <t>TRAMTH</t>
  </si>
  <si>
    <t>TCARMTH101</t>
  </si>
  <si>
    <t>TCARMTH901</t>
  </si>
  <si>
    <t>Car.MTH.City.01.</t>
  </si>
  <si>
    <t>TCARMTH101P</t>
  </si>
  <si>
    <t>TBUSMTH101</t>
  </si>
  <si>
    <t>TBISMTH101</t>
  </si>
  <si>
    <t>TFMEMTH901</t>
  </si>
  <si>
    <t>TFREMTH101</t>
  </si>
  <si>
    <t>TFREMTH901</t>
  </si>
  <si>
    <t>TFLEMTH101</t>
  </si>
  <si>
    <t>TFLEMTH901</t>
  </si>
  <si>
    <t>TFMEMTH101</t>
  </si>
  <si>
    <t>TNCMTH101</t>
  </si>
  <si>
    <t>Navigation.Local.Ferry.MTH.01.</t>
  </si>
  <si>
    <t>Bus.Intercity.MTH.01.</t>
  </si>
  <si>
    <t>Bus.Urban.MTH.01.</t>
  </si>
  <si>
    <t>Car.MTH.01.</t>
  </si>
  <si>
    <t>Car.MTH.Pool.01.</t>
  </si>
  <si>
    <t>Truck.Light.MTH.01.</t>
  </si>
  <si>
    <t>Truck.Light.MTH.City.01.</t>
  </si>
  <si>
    <t>Truck.Medium.MTH.01.</t>
  </si>
  <si>
    <t>Truck.Medium.MTH.City.01.</t>
  </si>
  <si>
    <t>Truck.Heavy.MTH.01.</t>
  </si>
  <si>
    <t>Truck.Heavy.MTH.City.01.</t>
  </si>
  <si>
    <t>Same as ETH, GSL, LPG, MTH</t>
  </si>
  <si>
    <t>AVIATION - PASSENGER: Domestic</t>
  </si>
  <si>
    <t>AVIATION - PASSENGER: International</t>
  </si>
  <si>
    <t>Input~2020</t>
  </si>
  <si>
    <t>Input~2030</t>
  </si>
  <si>
    <t>Input~2040</t>
  </si>
  <si>
    <t>Input~2050</t>
  </si>
  <si>
    <t>Euro/TJ</t>
  </si>
  <si>
    <t>DUMMY VALUE</t>
  </si>
  <si>
    <t>TJa</t>
  </si>
  <si>
    <t>kEuro/TJa</t>
  </si>
  <si>
    <t>Dummy value</t>
  </si>
  <si>
    <t>TLEP-C</t>
  </si>
  <si>
    <t>Moto.ELC.City.01.</t>
  </si>
  <si>
    <t>Moto.GSL.City.01</t>
  </si>
  <si>
    <t>TLEF-C</t>
  </si>
  <si>
    <r>
      <t xml:space="preserve">Van Hool Fuel cell bus, Stockholm Transit Authority (SL), </t>
    </r>
    <r>
      <rPr>
        <i/>
        <sz val="11"/>
        <color theme="1"/>
        <rFont val="Calibri"/>
        <family val="2"/>
        <scheme val="minor"/>
      </rPr>
      <t xml:space="preserve">Utredningsbeslut som avser övergången till eldriven busstrafik </t>
    </r>
    <r>
      <rPr>
        <sz val="11"/>
        <color theme="1"/>
        <rFont val="Calibri"/>
        <family val="2"/>
        <scheme val="minor"/>
      </rPr>
      <t>(2016)</t>
    </r>
  </si>
  <si>
    <r>
      <t xml:space="preserve">Stockholm Transit Authority (SL), </t>
    </r>
    <r>
      <rPr>
        <i/>
        <sz val="11"/>
        <color theme="1"/>
        <rFont val="Calibri"/>
        <family val="2"/>
        <scheme val="minor"/>
      </rPr>
      <t xml:space="preserve">Utredningsbeslut som avser övergången till eldriven busstrafik </t>
    </r>
    <r>
      <rPr>
        <sz val="11"/>
        <color theme="1"/>
        <rFont val="Calibri"/>
        <family val="2"/>
        <scheme val="minor"/>
      </rPr>
      <t>(2016)</t>
    </r>
  </si>
  <si>
    <t>Guesstimate: 50% more expensive than TNCDST</t>
  </si>
  <si>
    <t>Guesstimate: 30% more expensive than TNCDST</t>
  </si>
  <si>
    <t>NAVIGATION: Local City Ferry</t>
  </si>
  <si>
    <t>TOV101</t>
  </si>
  <si>
    <t>TOV901</t>
  </si>
  <si>
    <t>Other.Vehicles.01.</t>
  </si>
  <si>
    <t>Other.Vehicles.City.01.</t>
  </si>
  <si>
    <t>TRA_Other</t>
  </si>
  <si>
    <t>TOV</t>
  </si>
  <si>
    <t>TOV-C</t>
  </si>
  <si>
    <t>NAVIGATION: Freight (Generic)</t>
  </si>
  <si>
    <t>Tons/ Vessel</t>
  </si>
  <si>
    <t>TRALFO</t>
  </si>
  <si>
    <t>Own assumption, equal to GAS</t>
  </si>
  <si>
    <t>Stock/ demand</t>
  </si>
  <si>
    <t>TNA</t>
  </si>
  <si>
    <t>TNA-C</t>
  </si>
  <si>
    <t>Same as GSL</t>
  </si>
  <si>
    <t>NEED TO BE CHECKED!</t>
  </si>
  <si>
    <t>Equal to DST (ED95)</t>
  </si>
  <si>
    <t>Own assumption; equal to DST (ED95)</t>
  </si>
  <si>
    <t>Equal to BUS - ERASE TECHNOLOGY???</t>
  </si>
  <si>
    <t>Assumed equal to ELC BUS</t>
  </si>
  <si>
    <t>Assumed same as DST</t>
  </si>
  <si>
    <t>TAI</t>
  </si>
  <si>
    <t>TAI-C</t>
  </si>
  <si>
    <t>OTHER VEHICLES: Working Machinery - PRIVATE</t>
  </si>
  <si>
    <t>OILKER</t>
  </si>
  <si>
    <t>Vkm/MJ</t>
  </si>
  <si>
    <t>Dummy, need to be bigger than zero…</t>
  </si>
  <si>
    <t>CHANGE COLUMNS P-T ONLY IF BETTER DATA IS AVAILABLE</t>
  </si>
  <si>
    <t>units</t>
  </si>
  <si>
    <t>kEuro/unit</t>
  </si>
  <si>
    <t>Max Annual '000 km</t>
  </si>
  <si>
    <t>000_Vkm</t>
  </si>
  <si>
    <t>Euro/1000 km</t>
  </si>
  <si>
    <t>Euro/'000 km</t>
  </si>
  <si>
    <t>kEuro/unit per Year</t>
  </si>
  <si>
    <t>kkEuro/unit</t>
  </si>
  <si>
    <t>kEuro/unit - % of investment</t>
  </si>
  <si>
    <t>DST</t>
  </si>
  <si>
    <t>ELC</t>
  </si>
  <si>
    <t>ELC_alt</t>
  </si>
  <si>
    <t>HFC</t>
  </si>
  <si>
    <t>HFC_alt</t>
  </si>
  <si>
    <t>ELC_bonus</t>
  </si>
  <si>
    <t>HFC_bonus</t>
  </si>
  <si>
    <t>JRC-EU-TIMES price in 2016, same cost curve as for light duty HFC vehicles</t>
  </si>
  <si>
    <t>Assumed 30% more efficient than DST bus, same efficiency gain as DST</t>
  </si>
  <si>
    <t>Asssumed 30% more efficient than GSL bus, same efficiency gain as GSL</t>
  </si>
  <si>
    <t>Equal to DST - ERASE TECHNOLOGY???</t>
  </si>
  <si>
    <t>10% more fuel efficient than DST; same relative efficiency gain as DST</t>
  </si>
  <si>
    <t>10% more fuel efficient than GSL; same relative efficiency gain as GSL</t>
  </si>
  <si>
    <t>TNB201</t>
  </si>
  <si>
    <t>Navigation.Generic.Bunker.Gas.01</t>
  </si>
  <si>
    <t>TNB301</t>
  </si>
  <si>
    <t>Navigation.Generic.Bunker.Methanol.01</t>
  </si>
  <si>
    <t>50% of ELC car</t>
  </si>
  <si>
    <t>50% of GSL car</t>
  </si>
  <si>
    <t>10% of ELC car</t>
  </si>
  <si>
    <t>Double cost of TNB101</t>
  </si>
  <si>
    <t>Year</t>
  </si>
  <si>
    <t>AF</t>
  </si>
  <si>
    <t>CEFF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</si>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</sst>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\Te\x\t"/>
    <numFmt numFmtId="165" formatCode="0.0"/>
    <numFmt numFmtId="166" formatCode="#,##0.0"/>
    <numFmt numFmtId="167" formatCode="0.000"/>
    <numFmt numFmtId="168" formatCode="0.0%"/>
    <numFmt numFmtId="169" formatCode="0.000%"/>
    <numFmt numFmtId="170" formatCode="#,##0.000"/>
    <numFmt numFmtId="171" formatCode="#,##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embo"/>
      <family val="2"/>
    </font>
    <font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10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Verdana"/>
      <family val="2"/>
    </font>
    <font>
      <vertAlign val="superscript"/>
      <sz val="11"/>
      <name val="Calibri"/>
      <family val="2"/>
      <scheme val="minor"/>
    </font>
    <font>
      <b/>
      <sz val="11"/>
      <name val="Verdana"/>
      <family val="2"/>
    </font>
    <font>
      <i/>
      <sz val="11"/>
      <name val="Calibri"/>
      <family val="2"/>
      <scheme val="minor"/>
    </font>
    <font>
      <b/>
      <sz val="11"/>
      <color rgb="FFFF0000"/>
      <name val="Verdana"/>
      <family val="2"/>
    </font>
    <font>
      <sz val="11"/>
      <color rgb="FFFF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298">
    <xf numFmtId="0" fontId="0" fillId="0" borderId="0" xfId="0"/>
    <xf numFmtId="0" fontId="0" fillId="0" borderId="0" xfId="0" quotePrefix="1"/>
    <xf numFmtId="0" fontId="8" fillId="0" borderId="1" xfId="0" applyFont="1" applyBorder="1"/>
    <xf numFmtId="0" fontId="0" fillId="0" borderId="1" xfId="0" applyBorder="1"/>
    <xf numFmtId="0" fontId="11" fillId="0" borderId="0" xfId="0" applyFont="1"/>
    <xf numFmtId="0" fontId="8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15" fillId="3" borderId="0" xfId="0" applyFont="1" applyFill="1" applyAlignment="1">
      <alignment vertical="center"/>
    </xf>
    <xf numFmtId="3" fontId="15" fillId="3" borderId="0" xfId="0" applyNumberFormat="1" applyFont="1" applyFill="1" applyAlignment="1">
      <alignment horizontal="right" vertical="center" wrapText="1"/>
    </xf>
    <xf numFmtId="165" fontId="15" fillId="3" borderId="0" xfId="0" applyNumberFormat="1" applyFont="1" applyFill="1" applyAlignment="1">
      <alignment horizontal="right" vertical="center" wrapText="1"/>
    </xf>
    <xf numFmtId="4" fontId="0" fillId="3" borderId="0" xfId="0" applyNumberFormat="1" applyFill="1" applyAlignment="1">
      <alignment horizontal="right" vertical="center" wrapText="1"/>
    </xf>
    <xf numFmtId="3" fontId="0" fillId="3" borderId="0" xfId="0" applyNumberFormat="1" applyFill="1" applyAlignment="1">
      <alignment horizontal="right" vertical="center" wrapText="1"/>
    </xf>
    <xf numFmtId="166" fontId="0" fillId="3" borderId="0" xfId="0" applyNumberFormat="1" applyFill="1" applyAlignment="1">
      <alignment horizontal="right" vertical="center" wrapText="1"/>
    </xf>
    <xf numFmtId="0" fontId="15" fillId="3" borderId="4" xfId="0" applyFont="1" applyFill="1" applyBorder="1" applyAlignment="1">
      <alignment vertical="center"/>
    </xf>
    <xf numFmtId="3" fontId="15" fillId="3" borderId="4" xfId="0" applyNumberFormat="1" applyFont="1" applyFill="1" applyBorder="1" applyAlignment="1">
      <alignment horizontal="right" vertical="center" wrapText="1"/>
    </xf>
    <xf numFmtId="165" fontId="15" fillId="3" borderId="4" xfId="0" applyNumberFormat="1" applyFont="1" applyFill="1" applyBorder="1" applyAlignment="1">
      <alignment horizontal="right" vertical="center" wrapText="1"/>
    </xf>
    <xf numFmtId="4" fontId="0" fillId="3" borderId="4" xfId="0" applyNumberFormat="1" applyFill="1" applyBorder="1" applyAlignment="1">
      <alignment horizontal="right" vertical="center" wrapText="1"/>
    </xf>
    <xf numFmtId="3" fontId="0" fillId="3" borderId="4" xfId="0" applyNumberFormat="1" applyFill="1" applyBorder="1" applyAlignment="1">
      <alignment horizontal="right" vertical="center" wrapText="1"/>
    </xf>
    <xf numFmtId="166" fontId="0" fillId="3" borderId="4" xfId="0" applyNumberFormat="1" applyFill="1" applyBorder="1" applyAlignment="1">
      <alignment horizontal="right" vertical="center" wrapText="1"/>
    </xf>
    <xf numFmtId="1" fontId="15" fillId="3" borderId="0" xfId="1" applyNumberFormat="1" applyFont="1" applyFill="1" applyAlignment="1">
      <alignment horizontal="right"/>
    </xf>
    <xf numFmtId="3" fontId="15" fillId="3" borderId="5" xfId="0" applyNumberFormat="1" applyFont="1" applyFill="1" applyBorder="1" applyAlignment="1">
      <alignment horizontal="right" vertical="center" wrapText="1"/>
    </xf>
    <xf numFmtId="165" fontId="15" fillId="3" borderId="5" xfId="0" applyNumberFormat="1" applyFont="1" applyFill="1" applyBorder="1" applyAlignment="1">
      <alignment horizontal="right" vertical="center" wrapText="1"/>
    </xf>
    <xf numFmtId="0" fontId="15" fillId="3" borderId="5" xfId="0" applyFont="1" applyFill="1" applyBorder="1" applyAlignment="1">
      <alignment vertical="center"/>
    </xf>
    <xf numFmtId="4" fontId="0" fillId="3" borderId="5" xfId="0" applyNumberFormat="1" applyFill="1" applyBorder="1" applyAlignment="1">
      <alignment horizontal="right" vertical="center" wrapText="1"/>
    </xf>
    <xf numFmtId="3" fontId="0" fillId="3" borderId="5" xfId="0" applyNumberFormat="1" applyFill="1" applyBorder="1" applyAlignment="1">
      <alignment horizontal="right" vertical="center" wrapText="1"/>
    </xf>
    <xf numFmtId="0" fontId="15" fillId="3" borderId="0" xfId="0" applyFont="1" applyFill="1" applyAlignment="1">
      <alignment horizontal="right" vertical="center" wrapText="1"/>
    </xf>
    <xf numFmtId="0" fontId="15" fillId="3" borderId="5" xfId="0" applyFont="1" applyFill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15" fillId="0" borderId="0" xfId="1" applyNumberFormat="1" applyFont="1"/>
    <xf numFmtId="167" fontId="15" fillId="0" borderId="0" xfId="1" applyNumberFormat="1" applyFont="1"/>
    <xf numFmtId="165" fontId="15" fillId="0" borderId="0" xfId="1" applyNumberFormat="1" applyFont="1"/>
    <xf numFmtId="0" fontId="15" fillId="0" borderId="0" xfId="0" applyFont="1"/>
    <xf numFmtId="3" fontId="15" fillId="3" borderId="0" xfId="1" applyNumberFormat="1" applyFont="1" applyFill="1"/>
    <xf numFmtId="165" fontId="15" fillId="3" borderId="0" xfId="1" applyNumberFormat="1" applyFont="1" applyFill="1"/>
    <xf numFmtId="2" fontId="15" fillId="3" borderId="0" xfId="1" applyNumberFormat="1" applyFont="1" applyFill="1"/>
    <xf numFmtId="3" fontId="15" fillId="3" borderId="0" xfId="1" applyNumberFormat="1" applyFont="1" applyFill="1" applyAlignment="1">
      <alignment horizontal="right"/>
    </xf>
    <xf numFmtId="2" fontId="15" fillId="3" borderId="4" xfId="1" applyNumberFormat="1" applyFont="1" applyFill="1" applyBorder="1"/>
    <xf numFmtId="3" fontId="15" fillId="3" borderId="4" xfId="1" applyNumberFormat="1" applyFont="1" applyFill="1" applyBorder="1"/>
    <xf numFmtId="165" fontId="15" fillId="3" borderId="4" xfId="1" applyNumberFormat="1" applyFont="1" applyFill="1" applyBorder="1"/>
    <xf numFmtId="2" fontId="15" fillId="0" borderId="0" xfId="1" applyNumberFormat="1" applyFont="1"/>
    <xf numFmtId="3" fontId="15" fillId="0" borderId="0" xfId="1" applyNumberFormat="1" applyFont="1" applyAlignment="1">
      <alignment horizontal="right"/>
    </xf>
    <xf numFmtId="3" fontId="9" fillId="3" borderId="0" xfId="1" applyNumberFormat="1" applyFont="1" applyFill="1"/>
    <xf numFmtId="0" fontId="15" fillId="3" borderId="0" xfId="0" applyFont="1" applyFill="1"/>
    <xf numFmtId="0" fontId="15" fillId="3" borderId="4" xfId="0" applyFont="1" applyFill="1" applyBorder="1"/>
    <xf numFmtId="3" fontId="15" fillId="3" borderId="4" xfId="1" applyNumberFormat="1" applyFont="1" applyFill="1" applyBorder="1" applyAlignment="1">
      <alignment horizontal="right"/>
    </xf>
    <xf numFmtId="3" fontId="9" fillId="3" borderId="4" xfId="1" applyNumberFormat="1" applyFont="1" applyFill="1" applyBorder="1"/>
    <xf numFmtId="3" fontId="15" fillId="3" borderId="5" xfId="1" applyNumberFormat="1" applyFont="1" applyFill="1" applyBorder="1"/>
    <xf numFmtId="165" fontId="15" fillId="3" borderId="5" xfId="1" applyNumberFormat="1" applyFont="1" applyFill="1" applyBorder="1"/>
    <xf numFmtId="2" fontId="15" fillId="3" borderId="5" xfId="1" applyNumberFormat="1" applyFont="1" applyFill="1" applyBorder="1"/>
    <xf numFmtId="3" fontId="9" fillId="3" borderId="0" xfId="1" applyNumberFormat="1" applyFont="1" applyFill="1" applyAlignment="1">
      <alignment horizontal="right"/>
    </xf>
    <xf numFmtId="1" fontId="15" fillId="0" borderId="0" xfId="1" applyNumberFormat="1" applyFont="1"/>
    <xf numFmtId="0" fontId="15" fillId="3" borderId="0" xfId="1" applyNumberFormat="1" applyFont="1" applyFill="1"/>
    <xf numFmtId="1" fontId="15" fillId="3" borderId="0" xfId="1" applyNumberFormat="1" applyFont="1" applyFill="1"/>
    <xf numFmtId="165" fontId="9" fillId="3" borderId="0" xfId="1" applyNumberFormat="1" applyFont="1" applyFill="1"/>
    <xf numFmtId="1" fontId="15" fillId="3" borderId="5" xfId="1" applyNumberFormat="1" applyFont="1" applyFill="1" applyBorder="1"/>
    <xf numFmtId="0" fontId="15" fillId="3" borderId="4" xfId="1" applyNumberFormat="1" applyFont="1" applyFill="1" applyBorder="1"/>
    <xf numFmtId="1" fontId="15" fillId="3" borderId="4" xfId="1" applyNumberFormat="1" applyFont="1" applyFill="1" applyBorder="1"/>
    <xf numFmtId="167" fontId="15" fillId="3" borderId="0" xfId="1" applyNumberFormat="1" applyFont="1" applyFill="1"/>
    <xf numFmtId="1" fontId="15" fillId="0" borderId="0" xfId="1" applyNumberFormat="1" applyFont="1" applyAlignment="1">
      <alignment horizontal="right"/>
    </xf>
    <xf numFmtId="1" fontId="15" fillId="3" borderId="5" xfId="0" applyNumberFormat="1" applyFont="1" applyFill="1" applyBorder="1"/>
    <xf numFmtId="0" fontId="0" fillId="3" borderId="0" xfId="0" applyFill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3" fontId="15" fillId="3" borderId="7" xfId="1" applyNumberFormat="1" applyFont="1" applyFill="1" applyBorder="1"/>
    <xf numFmtId="165" fontId="15" fillId="3" borderId="7" xfId="1" applyNumberFormat="1" applyFont="1" applyFill="1" applyBorder="1"/>
    <xf numFmtId="2" fontId="15" fillId="3" borderId="7" xfId="1" applyNumberFormat="1" applyFont="1" applyFill="1" applyBorder="1"/>
    <xf numFmtId="0" fontId="15" fillId="0" borderId="5" xfId="0" applyFont="1" applyBorder="1"/>
    <xf numFmtId="0" fontId="15" fillId="0" borderId="4" xfId="0" applyFont="1" applyBorder="1"/>
    <xf numFmtId="166" fontId="15" fillId="3" borderId="5" xfId="1" applyNumberFormat="1" applyFont="1" applyFill="1" applyBorder="1"/>
    <xf numFmtId="2" fontId="15" fillId="3" borderId="5" xfId="0" applyNumberFormat="1" applyFont="1" applyFill="1" applyBorder="1" applyAlignment="1">
      <alignment horizontal="right"/>
    </xf>
    <xf numFmtId="2" fontId="15" fillId="3" borderId="0" xfId="0" applyNumberFormat="1" applyFont="1" applyFill="1" applyAlignment="1">
      <alignment horizontal="right"/>
    </xf>
    <xf numFmtId="2" fontId="15" fillId="3" borderId="4" xfId="0" applyNumberFormat="1" applyFont="1" applyFill="1" applyBorder="1" applyAlignment="1">
      <alignment horizontal="right"/>
    </xf>
    <xf numFmtId="167" fontId="15" fillId="3" borderId="4" xfId="1" applyNumberFormat="1" applyFont="1" applyFill="1" applyBorder="1"/>
    <xf numFmtId="0" fontId="16" fillId="0" borderId="0" xfId="0" applyFont="1"/>
    <xf numFmtId="164" fontId="0" fillId="0" borderId="0" xfId="0" applyNumberFormat="1"/>
    <xf numFmtId="164" fontId="14" fillId="0" borderId="0" xfId="0" applyNumberFormat="1" applyFont="1"/>
    <xf numFmtId="164" fontId="11" fillId="0" borderId="0" xfId="0" applyNumberFormat="1" applyFont="1"/>
    <xf numFmtId="164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5" borderId="0" xfId="0" quotePrefix="1" applyFont="1" applyFill="1" applyAlignment="1">
      <alignment horizontal="left"/>
    </xf>
    <xf numFmtId="0" fontId="12" fillId="0" borderId="0" xfId="0" quotePrefix="1" applyFont="1" applyAlignment="1">
      <alignment horizontal="left"/>
    </xf>
    <xf numFmtId="0" fontId="11" fillId="0" borderId="0" xfId="0" quotePrefix="1" applyFont="1" applyAlignment="1">
      <alignment horizontal="left"/>
    </xf>
    <xf numFmtId="0" fontId="15" fillId="0" borderId="0" xfId="2" applyFont="1"/>
    <xf numFmtId="3" fontId="8" fillId="0" borderId="0" xfId="0" applyNumberFormat="1" applyFont="1"/>
    <xf numFmtId="3" fontId="0" fillId="0" borderId="0" xfId="0" applyNumberFormat="1"/>
    <xf numFmtId="0" fontId="9" fillId="0" borderId="0" xfId="0" applyFont="1"/>
    <xf numFmtId="0" fontId="10" fillId="5" borderId="0" xfId="3" applyFont="1" applyFill="1"/>
    <xf numFmtId="0" fontId="15" fillId="0" borderId="0" xfId="2" applyFont="1" applyAlignment="1">
      <alignment horizontal="left"/>
    </xf>
    <xf numFmtId="0" fontId="0" fillId="0" borderId="0" xfId="0" applyAlignment="1">
      <alignment vertical="top"/>
    </xf>
    <xf numFmtId="0" fontId="15" fillId="6" borderId="0" xfId="0" applyFont="1" applyFill="1"/>
    <xf numFmtId="164" fontId="15" fillId="6" borderId="0" xfId="0" applyNumberFormat="1" applyFont="1" applyFill="1"/>
    <xf numFmtId="164" fontId="15" fillId="6" borderId="0" xfId="0" applyNumberFormat="1" applyFont="1" applyFill="1" applyAlignment="1">
      <alignment horizontal="center"/>
    </xf>
    <xf numFmtId="164" fontId="15" fillId="6" borderId="0" xfId="0" applyNumberFormat="1" applyFont="1" applyFill="1" applyAlignment="1">
      <alignment vertical="top"/>
    </xf>
    <xf numFmtId="164" fontId="15" fillId="6" borderId="0" xfId="0" applyNumberFormat="1" applyFont="1" applyFill="1" applyAlignment="1">
      <alignment horizontal="center" vertical="top"/>
    </xf>
    <xf numFmtId="165" fontId="15" fillId="0" borderId="0" xfId="1" applyNumberFormat="1" applyFont="1" applyAlignment="1">
      <alignment horizontal="right"/>
    </xf>
    <xf numFmtId="0" fontId="18" fillId="5" borderId="0" xfId="3" applyFont="1" applyFill="1"/>
    <xf numFmtId="0" fontId="18" fillId="5" borderId="0" xfId="3" applyFont="1" applyFill="1" applyAlignment="1">
      <alignment horizontal="center"/>
    </xf>
    <xf numFmtId="3" fontId="15" fillId="6" borderId="0" xfId="0" applyNumberFormat="1" applyFont="1" applyFill="1"/>
    <xf numFmtId="3" fontId="20" fillId="7" borderId="0" xfId="0" applyNumberFormat="1" applyFont="1" applyFill="1"/>
    <xf numFmtId="0" fontId="20" fillId="7" borderId="0" xfId="0" applyFont="1" applyFill="1"/>
    <xf numFmtId="0" fontId="15" fillId="6" borderId="0" xfId="0" applyFont="1" applyFill="1" applyAlignment="1">
      <alignment vertical="center"/>
    </xf>
    <xf numFmtId="0" fontId="15" fillId="6" borderId="4" xfId="0" applyFont="1" applyFill="1" applyBorder="1"/>
    <xf numFmtId="3" fontId="15" fillId="6" borderId="0" xfId="0" applyNumberFormat="1" applyFont="1" applyFill="1" applyAlignment="1">
      <alignment vertical="center"/>
    </xf>
    <xf numFmtId="3" fontId="20" fillId="7" borderId="4" xfId="0" applyNumberFormat="1" applyFont="1" applyFill="1" applyBorder="1"/>
    <xf numFmtId="166" fontId="0" fillId="6" borderId="0" xfId="0" applyNumberFormat="1" applyFill="1"/>
    <xf numFmtId="3" fontId="9" fillId="7" borderId="0" xfId="0" applyNumberFormat="1" applyFont="1" applyFill="1"/>
    <xf numFmtId="3" fontId="0" fillId="6" borderId="0" xfId="0" applyNumberFormat="1" applyFill="1"/>
    <xf numFmtId="166" fontId="0" fillId="6" borderId="4" xfId="0" applyNumberFormat="1" applyFill="1" applyBorder="1"/>
    <xf numFmtId="0" fontId="0" fillId="8" borderId="0" xfId="0" applyFill="1"/>
    <xf numFmtId="0" fontId="0" fillId="7" borderId="0" xfId="0" applyFill="1"/>
    <xf numFmtId="165" fontId="0" fillId="8" borderId="0" xfId="0" applyNumberFormat="1" applyFill="1"/>
    <xf numFmtId="165" fontId="0" fillId="7" borderId="0" xfId="0" applyNumberFormat="1" applyFill="1"/>
    <xf numFmtId="3" fontId="0" fillId="7" borderId="0" xfId="0" applyNumberFormat="1" applyFill="1"/>
    <xf numFmtId="0" fontId="22" fillId="3" borderId="9" xfId="0" applyFont="1" applyFill="1" applyBorder="1" applyAlignment="1">
      <alignment horizontal="center"/>
    </xf>
    <xf numFmtId="0" fontId="22" fillId="3" borderId="0" xfId="0" applyFont="1" applyFill="1"/>
    <xf numFmtId="2" fontId="22" fillId="3" borderId="0" xfId="0" applyNumberFormat="1" applyFont="1" applyFill="1"/>
    <xf numFmtId="0" fontId="22" fillId="0" borderId="0" xfId="0" applyFont="1"/>
    <xf numFmtId="0" fontId="22" fillId="9" borderId="10" xfId="0" applyFont="1" applyFill="1" applyBorder="1"/>
    <xf numFmtId="2" fontId="22" fillId="9" borderId="8" xfId="0" applyNumberFormat="1" applyFont="1" applyFill="1" applyBorder="1"/>
    <xf numFmtId="0" fontId="22" fillId="9" borderId="9" xfId="0" applyFont="1" applyFill="1" applyBorder="1"/>
    <xf numFmtId="0" fontId="22" fillId="9" borderId="0" xfId="0" applyFont="1" applyFill="1"/>
    <xf numFmtId="3" fontId="22" fillId="3" borderId="0" xfId="0" applyNumberFormat="1" applyFont="1" applyFill="1"/>
    <xf numFmtId="0" fontId="24" fillId="0" borderId="0" xfId="0" applyFont="1"/>
    <xf numFmtId="0" fontId="24" fillId="0" borderId="6" xfId="0" applyFont="1" applyBorder="1" applyAlignment="1">
      <alignment horizontal="center"/>
    </xf>
    <xf numFmtId="0" fontId="24" fillId="0" borderId="0" xfId="0" applyFont="1" applyAlignment="1">
      <alignment horizontal="right"/>
    </xf>
    <xf numFmtId="168" fontId="0" fillId="0" borderId="0" xfId="1" applyNumberFormat="1" applyFont="1"/>
    <xf numFmtId="0" fontId="15" fillId="7" borderId="0" xfId="0" applyFont="1" applyFill="1"/>
    <xf numFmtId="0" fontId="9" fillId="7" borderId="0" xfId="0" applyFont="1" applyFill="1"/>
    <xf numFmtId="3" fontId="9" fillId="6" borderId="0" xfId="0" applyNumberFormat="1" applyFont="1" applyFill="1"/>
    <xf numFmtId="166" fontId="15" fillId="3" borderId="4" xfId="1" applyNumberFormat="1" applyFont="1" applyFill="1" applyBorder="1"/>
    <xf numFmtId="1" fontId="15" fillId="6" borderId="0" xfId="1" applyNumberFormat="1" applyFont="1" applyFill="1"/>
    <xf numFmtId="165" fontId="15" fillId="6" borderId="0" xfId="1" applyNumberFormat="1" applyFont="1" applyFill="1"/>
    <xf numFmtId="4" fontId="15" fillId="6" borderId="0" xfId="1" applyNumberFormat="1" applyFont="1" applyFill="1"/>
    <xf numFmtId="3" fontId="15" fillId="6" borderId="0" xfId="1" applyNumberFormat="1" applyFont="1" applyFill="1"/>
    <xf numFmtId="167" fontId="15" fillId="6" borderId="0" xfId="1" applyNumberFormat="1" applyFont="1" applyFill="1"/>
    <xf numFmtId="2" fontId="15" fillId="6" borderId="0" xfId="1" applyNumberFormat="1" applyFont="1" applyFill="1"/>
    <xf numFmtId="0" fontId="15" fillId="3" borderId="4" xfId="0" applyFont="1" applyFill="1" applyBorder="1" applyAlignment="1">
      <alignment horizontal="right" vertical="center" wrapText="1"/>
    </xf>
    <xf numFmtId="0" fontId="0" fillId="7" borderId="4" xfId="0" applyFill="1" applyBorder="1"/>
    <xf numFmtId="169" fontId="0" fillId="0" borderId="0" xfId="1" applyNumberFormat="1" applyFont="1"/>
    <xf numFmtId="4" fontId="15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4" fontId="25" fillId="0" borderId="0" xfId="1" applyNumberFormat="1" applyFont="1" applyAlignment="1">
      <alignment horizontal="right"/>
    </xf>
    <xf numFmtId="3" fontId="15" fillId="6" borderId="4" xfId="0" applyNumberFormat="1" applyFont="1" applyFill="1" applyBorder="1"/>
    <xf numFmtId="166" fontId="15" fillId="6" borderId="0" xfId="0" applyNumberFormat="1" applyFont="1" applyFill="1" applyAlignment="1">
      <alignment horizontal="right" vertical="center" wrapText="1"/>
    </xf>
    <xf numFmtId="3" fontId="9" fillId="6" borderId="4" xfId="0" applyNumberFormat="1" applyFont="1" applyFill="1" applyBorder="1"/>
    <xf numFmtId="3" fontId="15" fillId="4" borderId="4" xfId="0" applyNumberFormat="1" applyFont="1" applyFill="1" applyBorder="1"/>
    <xf numFmtId="167" fontId="15" fillId="3" borderId="5" xfId="1" applyNumberFormat="1" applyFont="1" applyFill="1" applyBorder="1"/>
    <xf numFmtId="167" fontId="15" fillId="3" borderId="7" xfId="1" applyNumberFormat="1" applyFont="1" applyFill="1" applyBorder="1"/>
    <xf numFmtId="4" fontId="9" fillId="6" borderId="0" xfId="0" applyNumberFormat="1" applyFont="1" applyFill="1"/>
    <xf numFmtId="0" fontId="15" fillId="6" borderId="0" xfId="2" applyFont="1" applyFill="1"/>
    <xf numFmtId="3" fontId="0" fillId="6" borderId="4" xfId="0" applyNumberFormat="1" applyFill="1" applyBorder="1"/>
    <xf numFmtId="164" fontId="15" fillId="6" borderId="0" xfId="0" applyNumberFormat="1" applyFont="1" applyFill="1" applyAlignment="1">
      <alignment vertical="center"/>
    </xf>
    <xf numFmtId="0" fontId="15" fillId="2" borderId="0" xfId="0" applyFont="1" applyFill="1"/>
    <xf numFmtId="1" fontId="15" fillId="3" borderId="0" xfId="0" applyNumberFormat="1" applyFont="1" applyFill="1" applyAlignment="1">
      <alignment horizontal="right" vertical="center" wrapText="1"/>
    </xf>
    <xf numFmtId="166" fontId="15" fillId="3" borderId="0" xfId="1" applyNumberFormat="1" applyFont="1" applyFill="1"/>
    <xf numFmtId="166" fontId="15" fillId="3" borderId="0" xfId="1" applyNumberFormat="1" applyFont="1" applyFill="1" applyAlignment="1">
      <alignment horizontal="right"/>
    </xf>
    <xf numFmtId="1" fontId="15" fillId="3" borderId="4" xfId="0" applyNumberFormat="1" applyFont="1" applyFill="1" applyBorder="1" applyAlignment="1">
      <alignment horizontal="right" vertical="center" wrapText="1"/>
    </xf>
    <xf numFmtId="1" fontId="15" fillId="3" borderId="5" xfId="0" applyNumberFormat="1" applyFont="1" applyFill="1" applyBorder="1" applyAlignment="1">
      <alignment horizontal="right" vertical="center" wrapText="1"/>
    </xf>
    <xf numFmtId="166" fontId="0" fillId="3" borderId="4" xfId="0" applyNumberFormat="1" applyFill="1" applyBorder="1" applyAlignment="1">
      <alignment horizontal="center" vertical="center" wrapText="1"/>
    </xf>
    <xf numFmtId="166" fontId="15" fillId="3" borderId="0" xfId="0" applyNumberFormat="1" applyFont="1" applyFill="1" applyAlignment="1">
      <alignment horizontal="center" vertical="center" wrapText="1"/>
    </xf>
    <xf numFmtId="1" fontId="15" fillId="6" borderId="4" xfId="1" applyNumberFormat="1" applyFont="1" applyFill="1" applyBorder="1"/>
    <xf numFmtId="165" fontId="15" fillId="6" borderId="4" xfId="1" applyNumberFormat="1" applyFont="1" applyFill="1" applyBorder="1"/>
    <xf numFmtId="2" fontId="15" fillId="6" borderId="4" xfId="1" applyNumberFormat="1" applyFont="1" applyFill="1" applyBorder="1"/>
    <xf numFmtId="0" fontId="15" fillId="6" borderId="6" xfId="0" applyFont="1" applyFill="1" applyBorder="1"/>
    <xf numFmtId="1" fontId="15" fillId="6" borderId="6" xfId="1" applyNumberFormat="1" applyFont="1" applyFill="1" applyBorder="1"/>
    <xf numFmtId="165" fontId="15" fillId="6" borderId="6" xfId="1" applyNumberFormat="1" applyFont="1" applyFill="1" applyBorder="1"/>
    <xf numFmtId="2" fontId="15" fillId="6" borderId="6" xfId="1" applyNumberFormat="1" applyFont="1" applyFill="1" applyBorder="1"/>
    <xf numFmtId="3" fontId="15" fillId="3" borderId="6" xfId="1" applyNumberFormat="1" applyFont="1" applyFill="1" applyBorder="1" applyAlignment="1">
      <alignment horizontal="right"/>
    </xf>
    <xf numFmtId="2" fontId="15" fillId="3" borderId="6" xfId="1" applyNumberFormat="1" applyFont="1" applyFill="1" applyBorder="1"/>
    <xf numFmtId="3" fontId="9" fillId="3" borderId="6" xfId="1" applyNumberFormat="1" applyFont="1" applyFill="1" applyBorder="1"/>
    <xf numFmtId="165" fontId="15" fillId="3" borderId="6" xfId="1" applyNumberFormat="1" applyFont="1" applyFill="1" applyBorder="1"/>
    <xf numFmtId="0" fontId="15" fillId="3" borderId="6" xfId="0" applyFont="1" applyFill="1" applyBorder="1"/>
    <xf numFmtId="3" fontId="15" fillId="3" borderId="6" xfId="1" applyNumberFormat="1" applyFont="1" applyFill="1" applyBorder="1"/>
    <xf numFmtId="1" fontId="15" fillId="3" borderId="6" xfId="1" applyNumberFormat="1" applyFont="1" applyFill="1" applyBorder="1"/>
    <xf numFmtId="0" fontId="15" fillId="3" borderId="6" xfId="0" applyFont="1" applyFill="1" applyBorder="1" applyAlignment="1">
      <alignment vertical="center"/>
    </xf>
    <xf numFmtId="3" fontId="15" fillId="3" borderId="6" xfId="0" applyNumberFormat="1" applyFont="1" applyFill="1" applyBorder="1" applyAlignment="1">
      <alignment horizontal="right" vertical="center" wrapText="1"/>
    </xf>
    <xf numFmtId="165" fontId="15" fillId="3" borderId="6" xfId="0" applyNumberFormat="1" applyFont="1" applyFill="1" applyBorder="1" applyAlignment="1">
      <alignment horizontal="center" vertical="center" wrapText="1"/>
    </xf>
    <xf numFmtId="1" fontId="15" fillId="3" borderId="6" xfId="0" applyNumberFormat="1" applyFont="1" applyFill="1" applyBorder="1" applyAlignment="1">
      <alignment horizontal="right" vertical="center" wrapText="1"/>
    </xf>
    <xf numFmtId="0" fontId="0" fillId="3" borderId="6" xfId="0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 wrapText="1"/>
    </xf>
    <xf numFmtId="3" fontId="0" fillId="3" borderId="6" xfId="0" applyNumberFormat="1" applyFill="1" applyBorder="1" applyAlignment="1">
      <alignment horizontal="right" vertical="center" wrapText="1"/>
    </xf>
    <xf numFmtId="165" fontId="15" fillId="3" borderId="6" xfId="0" applyNumberFormat="1" applyFont="1" applyFill="1" applyBorder="1" applyAlignment="1">
      <alignment horizontal="right" vertical="center" wrapText="1"/>
    </xf>
    <xf numFmtId="0" fontId="0" fillId="3" borderId="6" xfId="0" applyFill="1" applyBorder="1" applyAlignment="1">
      <alignment horizontal="center" vertical="center" wrapText="1"/>
    </xf>
    <xf numFmtId="3" fontId="15" fillId="3" borderId="6" xfId="0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right" vertical="center"/>
    </xf>
    <xf numFmtId="2" fontId="15" fillId="3" borderId="0" xfId="0" applyNumberFormat="1" applyFont="1" applyFill="1" applyAlignment="1">
      <alignment horizontal="right" vertical="center" wrapText="1"/>
    </xf>
    <xf numFmtId="0" fontId="15" fillId="3" borderId="6" xfId="1" applyNumberFormat="1" applyFont="1" applyFill="1" applyBorder="1"/>
    <xf numFmtId="167" fontId="15" fillId="3" borderId="6" xfId="1" applyNumberFormat="1" applyFont="1" applyFill="1" applyBorder="1"/>
    <xf numFmtId="3" fontId="15" fillId="0" borderId="0" xfId="0" applyNumberFormat="1" applyFont="1"/>
    <xf numFmtId="3" fontId="9" fillId="7" borderId="4" xfId="0" applyNumberFormat="1" applyFont="1" applyFill="1" applyBorder="1"/>
    <xf numFmtId="0" fontId="15" fillId="10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15" fillId="10" borderId="7" xfId="0" applyFont="1" applyFill="1" applyBorder="1"/>
    <xf numFmtId="164" fontId="0" fillId="10" borderId="0" xfId="0" applyNumberFormat="1" applyFill="1" applyAlignment="1">
      <alignment vertical="center"/>
    </xf>
    <xf numFmtId="0" fontId="15" fillId="10" borderId="0" xfId="0" applyFont="1" applyFill="1"/>
    <xf numFmtId="0" fontId="15" fillId="10" borderId="4" xfId="0" applyFont="1" applyFill="1" applyBorder="1"/>
    <xf numFmtId="164" fontId="15" fillId="10" borderId="0" xfId="0" applyNumberFormat="1" applyFont="1" applyFill="1"/>
    <xf numFmtId="0" fontId="15" fillId="10" borderId="5" xfId="0" applyFont="1" applyFill="1" applyBorder="1"/>
    <xf numFmtId="0" fontId="15" fillId="10" borderId="6" xfId="0" applyFont="1" applyFill="1" applyBorder="1"/>
    <xf numFmtId="0" fontId="15" fillId="10" borderId="0" xfId="2" applyFont="1" applyFill="1"/>
    <xf numFmtId="164" fontId="15" fillId="10" borderId="4" xfId="0" applyNumberFormat="1" applyFont="1" applyFill="1" applyBorder="1"/>
    <xf numFmtId="0" fontId="20" fillId="10" borderId="0" xfId="2" applyFont="1" applyFill="1"/>
    <xf numFmtId="0" fontId="15" fillId="10" borderId="4" xfId="2" applyFont="1" applyFill="1" applyBorder="1"/>
    <xf numFmtId="0" fontId="0" fillId="10" borderId="0" xfId="0" applyFill="1"/>
    <xf numFmtId="0" fontId="15" fillId="10" borderId="0" xfId="2" applyFont="1" applyFill="1" applyAlignment="1">
      <alignment horizontal="left"/>
    </xf>
    <xf numFmtId="0" fontId="15" fillId="10" borderId="4" xfId="2" applyFont="1" applyFill="1" applyBorder="1" applyAlignment="1">
      <alignment horizontal="left"/>
    </xf>
    <xf numFmtId="0" fontId="20" fillId="10" borderId="4" xfId="2" applyFont="1" applyFill="1" applyBorder="1"/>
    <xf numFmtId="0" fontId="20" fillId="10" borderId="0" xfId="0" applyFont="1" applyFill="1"/>
    <xf numFmtId="0" fontId="20" fillId="10" borderId="4" xfId="0" applyFont="1" applyFill="1" applyBorder="1"/>
    <xf numFmtId="0" fontId="20" fillId="10" borderId="0" xfId="2" applyFont="1" applyFill="1" applyAlignment="1">
      <alignment horizontal="left"/>
    </xf>
    <xf numFmtId="0" fontId="20" fillId="10" borderId="4" xfId="2" applyFont="1" applyFill="1" applyBorder="1" applyAlignment="1">
      <alignment horizontal="left"/>
    </xf>
    <xf numFmtId="0" fontId="9" fillId="10" borderId="0" xfId="2" applyFont="1" applyFill="1"/>
    <xf numFmtId="164" fontId="15" fillId="10" borderId="0" xfId="0" applyNumberFormat="1" applyFont="1" applyFill="1" applyAlignment="1">
      <alignment vertical="top" wrapText="1"/>
    </xf>
    <xf numFmtId="164" fontId="15" fillId="10" borderId="0" xfId="0" applyNumberFormat="1" applyFont="1" applyFill="1" applyAlignment="1">
      <alignment vertical="top"/>
    </xf>
    <xf numFmtId="0" fontId="0" fillId="10" borderId="2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5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15" fillId="10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15" fillId="10" borderId="6" xfId="0" applyFont="1" applyFill="1" applyBorder="1" applyAlignment="1">
      <alignment vertical="center"/>
    </xf>
    <xf numFmtId="164" fontId="15" fillId="10" borderId="6" xfId="0" applyNumberFormat="1" applyFont="1" applyFill="1" applyBorder="1"/>
    <xf numFmtId="0" fontId="15" fillId="10" borderId="3" xfId="0" applyFont="1" applyFill="1" applyBorder="1" applyAlignment="1">
      <alignment horizontal="center" vertical="center"/>
    </xf>
    <xf numFmtId="164" fontId="15" fillId="10" borderId="0" xfId="0" applyNumberFormat="1" applyFont="1" applyFill="1" applyAlignment="1">
      <alignment vertical="center"/>
    </xf>
    <xf numFmtId="0" fontId="9" fillId="7" borderId="4" xfId="0" applyFont="1" applyFill="1" applyBorder="1"/>
    <xf numFmtId="3" fontId="9" fillId="0" borderId="0" xfId="0" applyNumberFormat="1" applyFont="1"/>
    <xf numFmtId="0" fontId="26" fillId="0" borderId="0" xfId="0" applyFont="1" applyAlignment="1">
      <alignment horizontal="right"/>
    </xf>
    <xf numFmtId="0" fontId="27" fillId="3" borderId="9" xfId="0" applyFont="1" applyFill="1" applyBorder="1" applyAlignment="1">
      <alignment horizontal="center"/>
    </xf>
    <xf numFmtId="0" fontId="27" fillId="3" borderId="0" xfId="0" applyFont="1" applyFill="1"/>
    <xf numFmtId="3" fontId="27" fillId="3" borderId="0" xfId="0" applyNumberFormat="1" applyFont="1" applyFill="1"/>
    <xf numFmtId="166" fontId="9" fillId="7" borderId="0" xfId="0" applyNumberFormat="1" applyFont="1" applyFill="1"/>
    <xf numFmtId="164" fontId="15" fillId="0" borderId="0" xfId="0" applyNumberFormat="1" applyFont="1"/>
    <xf numFmtId="3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/>
    </xf>
    <xf numFmtId="4" fontId="0" fillId="6" borderId="0" xfId="0" applyNumberFormat="1" applyFill="1"/>
    <xf numFmtId="170" fontId="0" fillId="6" borderId="0" xfId="0" applyNumberFormat="1" applyFill="1"/>
    <xf numFmtId="4" fontId="0" fillId="6" borderId="4" xfId="0" applyNumberFormat="1" applyFill="1" applyBorder="1"/>
    <xf numFmtId="170" fontId="0" fillId="6" borderId="4" xfId="0" applyNumberFormat="1" applyFill="1" applyBorder="1"/>
    <xf numFmtId="166" fontId="0" fillId="3" borderId="0" xfId="0" applyNumberFormat="1" applyFill="1" applyAlignment="1">
      <alignment horizontal="right" vertical="center"/>
    </xf>
    <xf numFmtId="166" fontId="15" fillId="3" borderId="5" xfId="0" applyNumberFormat="1" applyFont="1" applyFill="1" applyBorder="1" applyAlignment="1">
      <alignment horizontal="right" vertical="center"/>
    </xf>
    <xf numFmtId="166" fontId="0" fillId="3" borderId="4" xfId="0" applyNumberFormat="1" applyFill="1" applyBorder="1" applyAlignment="1">
      <alignment horizontal="right" vertical="center"/>
    </xf>
    <xf numFmtId="166" fontId="15" fillId="3" borderId="4" xfId="1" applyNumberFormat="1" applyFont="1" applyFill="1" applyBorder="1" applyAlignment="1">
      <alignment horizontal="right"/>
    </xf>
    <xf numFmtId="166" fontId="15" fillId="3" borderId="5" xfId="1" applyNumberFormat="1" applyFont="1" applyFill="1" applyBorder="1" applyAlignment="1">
      <alignment horizontal="right"/>
    </xf>
    <xf numFmtId="166" fontId="9" fillId="3" borderId="0" xfId="1" applyNumberFormat="1" applyFont="1" applyFill="1" applyAlignment="1">
      <alignment horizontal="right"/>
    </xf>
    <xf numFmtId="166" fontId="15" fillId="3" borderId="6" xfId="1" applyNumberFormat="1" applyFont="1" applyFill="1" applyBorder="1" applyAlignment="1">
      <alignment horizontal="right"/>
    </xf>
    <xf numFmtId="4" fontId="15" fillId="3" borderId="0" xfId="1" applyNumberFormat="1" applyFont="1" applyFill="1" applyAlignment="1">
      <alignment horizontal="right"/>
    </xf>
    <xf numFmtId="4" fontId="15" fillId="3" borderId="4" xfId="1" applyNumberFormat="1" applyFont="1" applyFill="1" applyBorder="1" applyAlignment="1">
      <alignment horizontal="right"/>
    </xf>
    <xf numFmtId="4" fontId="15" fillId="3" borderId="6" xfId="1" applyNumberFormat="1" applyFont="1" applyFill="1" applyBorder="1" applyAlignment="1">
      <alignment horizontal="right"/>
    </xf>
    <xf numFmtId="4" fontId="15" fillId="3" borderId="0" xfId="1" applyNumberFormat="1" applyFont="1" applyFill="1"/>
    <xf numFmtId="4" fontId="15" fillId="3" borderId="5" xfId="1" applyNumberFormat="1" applyFont="1" applyFill="1" applyBorder="1"/>
    <xf numFmtId="3" fontId="15" fillId="6" borderId="0" xfId="2" applyNumberFormat="1" applyFont="1" applyFill="1"/>
    <xf numFmtId="164" fontId="15" fillId="6" borderId="0" xfId="0" quotePrefix="1" applyNumberFormat="1" applyFont="1" applyFill="1"/>
    <xf numFmtId="166" fontId="15" fillId="6" borderId="0" xfId="2" applyNumberFormat="1" applyFont="1" applyFill="1"/>
    <xf numFmtId="166" fontId="15" fillId="6" borderId="0" xfId="0" applyNumberFormat="1" applyFont="1" applyFill="1"/>
    <xf numFmtId="166" fontId="15" fillId="6" borderId="4" xfId="0" applyNumberFormat="1" applyFont="1" applyFill="1" applyBorder="1"/>
    <xf numFmtId="170" fontId="15" fillId="6" borderId="0" xfId="0" applyNumberFormat="1" applyFont="1" applyFill="1"/>
    <xf numFmtId="170" fontId="15" fillId="6" borderId="4" xfId="0" applyNumberFormat="1" applyFont="1" applyFill="1" applyBorder="1"/>
    <xf numFmtId="166" fontId="0" fillId="4" borderId="0" xfId="0" applyNumberFormat="1" applyFill="1"/>
    <xf numFmtId="166" fontId="15" fillId="4" borderId="0" xfId="2" applyNumberFormat="1" applyFont="1" applyFill="1"/>
    <xf numFmtId="171" fontId="15" fillId="3" borderId="0" xfId="1" applyNumberFormat="1" applyFont="1" applyFill="1" applyAlignment="1">
      <alignment horizontal="right"/>
    </xf>
    <xf numFmtId="170" fontId="15" fillId="3" borderId="0" xfId="1" applyNumberFormat="1" applyFont="1" applyFill="1" applyAlignment="1">
      <alignment horizontal="right"/>
    </xf>
    <xf numFmtId="4" fontId="15" fillId="3" borderId="6" xfId="1" applyNumberFormat="1" applyFont="1" applyFill="1" applyBorder="1"/>
    <xf numFmtId="0" fontId="9" fillId="10" borderId="0" xfId="0" applyFont="1" applyFill="1"/>
    <xf numFmtId="171" fontId="15" fillId="3" borderId="6" xfId="1" applyNumberFormat="1" applyFont="1" applyFill="1" applyBorder="1" applyAlignment="1">
      <alignment horizontal="right"/>
    </xf>
    <xf numFmtId="170" fontId="15" fillId="3" borderId="6" xfId="1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 vertical="center"/>
    </xf>
    <xf numFmtId="3" fontId="0" fillId="3" borderId="4" xfId="0" applyNumberFormat="1" applyFill="1" applyBorder="1" applyAlignment="1">
      <alignment horizontal="right" vertical="center"/>
    </xf>
    <xf numFmtId="3" fontId="15" fillId="3" borderId="0" xfId="0" applyNumberFormat="1" applyFont="1" applyFill="1" applyAlignment="1">
      <alignment horizontal="right" vertical="center"/>
    </xf>
    <xf numFmtId="3" fontId="15" fillId="3" borderId="5" xfId="0" applyNumberFormat="1" applyFont="1" applyFill="1" applyBorder="1" applyAlignment="1">
      <alignment horizontal="right" vertical="center"/>
    </xf>
    <xf numFmtId="2" fontId="15" fillId="6" borderId="4" xfId="0" applyNumberFormat="1" applyFont="1" applyFill="1" applyBorder="1"/>
    <xf numFmtId="2" fontId="15" fillId="6" borderId="0" xfId="0" applyNumberFormat="1" applyFont="1" applyFill="1"/>
    <xf numFmtId="170" fontId="15" fillId="3" borderId="4" xfId="1" applyNumberFormat="1" applyFont="1" applyFill="1" applyBorder="1"/>
    <xf numFmtId="170" fontId="15" fillId="3" borderId="0" xfId="1" applyNumberFormat="1" applyFont="1" applyFill="1"/>
    <xf numFmtId="4" fontId="15" fillId="3" borderId="4" xfId="1" applyNumberFormat="1" applyFont="1" applyFill="1" applyBorder="1"/>
    <xf numFmtId="171" fontId="9" fillId="6" borderId="0" xfId="0" applyNumberFormat="1" applyFont="1" applyFill="1"/>
    <xf numFmtId="171" fontId="9" fillId="6" borderId="4" xfId="0" applyNumberFormat="1" applyFont="1" applyFill="1" applyBorder="1"/>
    <xf numFmtId="166" fontId="9" fillId="6" borderId="0" xfId="0" applyNumberFormat="1" applyFont="1" applyFill="1"/>
    <xf numFmtId="166" fontId="9" fillId="6" borderId="4" xfId="0" applyNumberFormat="1" applyFont="1" applyFill="1" applyBorder="1"/>
    <xf numFmtId="0" fontId="15" fillId="11" borderId="0" xfId="0" applyFont="1" applyFill="1"/>
    <xf numFmtId="0" fontId="15" fillId="11" borderId="0" xfId="0" applyFont="1" applyFill="1" applyAlignment="1">
      <alignment vertical="center"/>
    </xf>
  </cellXfs>
  <cellStyles count="4">
    <cellStyle name="Normal" xfId="0" builtinId="0"/>
    <cellStyle name="Normal 10" xfId="3"/>
    <cellStyle name="Normal 4" xfId="2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EEEE"/>
      <color rgb="FFC2CDE4"/>
      <color rgb="FFDCE3F0"/>
      <color rgb="FFDCE1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INVCOST!$P$39</c:f>
              <c:strCache>
                <c:ptCount val="1"/>
                <c:pt idx="0">
                  <c:v>DST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INVCOST!$Q$38:$X$38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INVCOST!$Q$39:$X$39</c:f>
              <c:numCache>
                <c:formatCode>#\ ##0.0</c:formatCode>
                <c:ptCount val="8"/>
                <c:pt idx="0">
                  <c:v>21.434999999999999</c:v>
                </c:pt>
                <c:pt idx="1">
                  <c:v>21.155000000000001</c:v>
                </c:pt>
                <c:pt idx="2">
                  <c:v>21.132000000000001</c:v>
                </c:pt>
                <c:pt idx="3">
                  <c:v>21.117999999999999</c:v>
                </c:pt>
                <c:pt idx="4">
                  <c:v>21.108000000000001</c:v>
                </c:pt>
                <c:pt idx="5">
                  <c:v>21.1</c:v>
                </c:pt>
                <c:pt idx="6">
                  <c:v>21.093</c:v>
                </c:pt>
                <c:pt idx="7">
                  <c:v>21.088000000000001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4-48F8-9CCE-90EC7E0CABDA}"/>
            </c:ext>
          </c:extLst>
        </c:ser>
        <c:ser>
          <c:idx val="1"/>
          <c:order val="1"/>
          <c:tx>
            <c:strRef>
              <c:f>INVCOST!$P$40</c:f>
              <c:strCache>
                <c:ptCount val="1"/>
                <c:pt idx="0">
                  <c:v>ELC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INVCOST!$Q$38:$X$38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INVCOST!$Q$40:$X$40</c:f>
              <c:numCache>
                <c:formatCode>#\ ##0.0</c:formatCode>
                <c:ptCount val="8"/>
                <c:pt idx="0">
                  <c:v>41.054000000000002</c:v>
                </c:pt>
                <c:pt idx="1">
                  <c:v>35.389000000000003</c:v>
                </c:pt>
                <c:pt idx="2">
                  <c:v>31.187999999999999</c:v>
                </c:pt>
                <c:pt idx="3">
                  <c:v>29.695</c:v>
                </c:pt>
                <c:pt idx="4">
                  <c:v>28.536999999999999</c:v>
                </c:pt>
                <c:pt idx="5">
                  <c:v>27.753</c:v>
                </c:pt>
                <c:pt idx="6">
                  <c:v>27.114000000000001</c:v>
                </c:pt>
                <c:pt idx="7">
                  <c:v>26.594000000000001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4-48F8-9CCE-90EC7E0CABDA}"/>
            </c:ext>
          </c:extLst>
        </c:ser>
        <c:ser>
          <c:idx val="3"/>
          <c:order val="3"/>
          <c:tx>
            <c:strRef>
              <c:f>INVCOST!$P$42</c:f>
              <c:strCache>
                <c:ptCount val="1"/>
                <c:pt idx="0">
                  <c:v>ELC_bonus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INVCOST!$Q$38:$X$38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INVCOST!$Q$42:$X$42</c:f>
              <c:numCache>
                <c:formatCode>#\ ##0.0</c:formatCode>
                <c:ptCount val="8"/>
                <c:pt idx="0">
                  <c:v>34.639288929277811</c:v>
                </c:pt>
                <c:pt idx="1">
                  <c:v>28.974288929277812</c:v>
                </c:pt>
                <c:pt idx="2">
                  <c:v>24.773288929277811</c:v>
                </c:pt>
                <c:pt idx="3">
                  <c:v>23.280288929277809</c:v>
                </c:pt>
                <c:pt idx="4">
                  <c:v>22.122288929277808</c:v>
                </c:pt>
                <c:pt idx="5">
                  <c:v>21.338288929277809</c:v>
                </c:pt>
                <c:pt idx="6">
                  <c:v>20.699288929277813</c:v>
                </c:pt>
                <c:pt idx="7">
                  <c:v>20.17928892927781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4-48F8-9CCE-90EC7E0CABDA}"/>
            </c:ext>
          </c:extLst>
        </c:ser>
        <c:ser>
          <c:idx val="4"/>
          <c:order val="4"/>
          <c:tx>
            <c:strRef>
              <c:f>INVCOST!$P$43</c:f>
              <c:strCache>
                <c:ptCount val="1"/>
                <c:pt idx="0">
                  <c:v>HFC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INVCOST!$Q$38:$X$38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INVCOST!$Q$43:$X$43</c:f>
              <c:numCache>
                <c:formatCode>#\ ##0.0</c:formatCode>
                <c:ptCount val="8"/>
                <c:pt idx="0">
                  <c:v>35.097999999999999</c:v>
                </c:pt>
                <c:pt idx="1">
                  <c:v>33.204999999999998</c:v>
                </c:pt>
                <c:pt idx="2">
                  <c:v>30.501000000000001</c:v>
                </c:pt>
                <c:pt idx="3">
                  <c:v>29.122</c:v>
                </c:pt>
                <c:pt idx="4">
                  <c:v>28.056000000000001</c:v>
                </c:pt>
                <c:pt idx="5">
                  <c:v>27.158999999999999</c:v>
                </c:pt>
                <c:pt idx="6">
                  <c:v>26.395</c:v>
                </c:pt>
                <c:pt idx="7">
                  <c:v>25.727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4-48F8-9CCE-90EC7E0CABDA}"/>
            </c:ext>
          </c:extLst>
        </c:ser>
        <c:ser>
          <c:idx val="6"/>
          <c:order val="6"/>
          <c:tx>
            <c:strRef>
              <c:f>INVCOST!$P$45</c:f>
              <c:strCache>
                <c:ptCount val="1"/>
                <c:pt idx="0">
                  <c:v>HFC_bonus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INVCOST!$Q$38:$X$38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INVCOST!$Q$45:$X$45</c:f>
              <c:numCache>
                <c:formatCode>#\ ##0.0</c:formatCode>
                <c:ptCount val="8"/>
                <c:pt idx="0">
                  <c:v>28.683288929277808</c:v>
                </c:pt>
                <c:pt idx="1">
                  <c:v>26.790288929277807</c:v>
                </c:pt>
                <c:pt idx="2">
                  <c:v>24.086288929277814</c:v>
                </c:pt>
                <c:pt idx="3">
                  <c:v>22.707288929277809</c:v>
                </c:pt>
                <c:pt idx="4">
                  <c:v>21.641288929277813</c:v>
                </c:pt>
                <c:pt idx="5">
                  <c:v>20.744288929277808</c:v>
                </c:pt>
                <c:pt idx="6">
                  <c:v>19.980288929277812</c:v>
                </c:pt>
                <c:pt idx="7">
                  <c:v>19.312288929277813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4-48F8-9CCE-90EC7E0C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322336"/>
        <c:axId val="6693226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INVCOST!$P$41</c15:sqref>
                        </c15:formulaRef>
                      </c:ext>
                    </c:extLst>
                    <c:strCache>
                      <c:ptCount val="1"/>
                      <c:pt idx="0">
                        <c:v>ELC_alt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INVCOST!$Q$38:$X$38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INVCOST!$Q$41:$X$41</c15:sqref>
                        </c15:formulaRef>
                      </c:ext>
                    </c:extLst>
                    <c:numCache>
                      <c:formatCode>#\ ##0.0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94-48F8-9CCE-90EC7E0CAB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INVCOST!$P$44</c15:sqref>
                        </c15:formulaRef>
                      </c:ext>
                    </c:extLst>
                    <c:strCache>
                      <c:ptCount val="1"/>
                      <c:pt idx="0">
                        <c:v>HFC_alt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INVCOST!$Q$38:$X$38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INVCOST!$Q$44:$X$44</c15:sqref>
                        </c15:formulaRef>
                      </c:ext>
                    </c:extLst>
                    <c:numCache>
                      <c:formatCode>#\ ##0.0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94-48F8-9CCE-90EC7E0CABDA}"/>
                  </c:ext>
                </c:extLst>
              </c15:ser>
            </c15:filteredLineSeries>
          </c:ext>
        </c:extLst>
      </c:lineChart>
      <c:catAx>
        <c:axId val="6693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9322664"/>
        <c:crosses val="autoZero"/>
        <c:auto val="1"/>
        <c:lblAlgn val="ctr"/>
        <c:lblOffset val="100"/>
        <c:noMultiLvlLbl val="0"/>
      </c:catAx>
      <c:valAx>
        <c:axId val="6693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93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273049</xdr:colOff>
      <xdr:row>18</xdr:row>
      <xdr:rowOff>76200</xdr:rowOff>
    </xdr:from>
    <xdr:to>
      <xdr:col>22</xdr:col>
      <xdr:colOff>349249</xdr:colOff>
      <xdr:row>32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FCAC6D-DB09-4744-A38D-4D2265CAA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272"/>
  <sheetViews>
    <sheetView topLeftCell="A15" zoomScale="75" zoomScaleNormal="75" workbookViewId="0">
      <selection activeCell="G57" sqref="G57"/>
    </sheetView>
  </sheetViews>
  <sheetFormatPr defaultColWidth="9.109375" defaultRowHeight="14.4" x14ac:dyDescent="0.3"/>
  <cols>
    <col min="2" max="2" width="20.6640625" customWidth="1"/>
    <col min="3" max="3" width="29.44140625" customWidth="1"/>
    <col min="4" max="4" width="13.6640625" customWidth="1"/>
    <col min="5" max="5" width="14.109375" customWidth="1"/>
    <col min="6" max="6" width="14.33203125" bestFit="1" customWidth="1"/>
    <col min="7" max="7" width="11.44140625" style="39" bestFit="1" customWidth="1"/>
    <col min="8" max="8" width="6.33203125" bestFit="1" customWidth="1"/>
    <col min="9" max="9" width="11" customWidth="1"/>
    <col min="10" max="10" width="14.33203125" bestFit="1" customWidth="1"/>
    <col min="11" max="11" width="9.6640625" bestFit="1" customWidth="1"/>
    <col min="12" max="12" width="9.88671875" bestFit="1" customWidth="1"/>
    <col min="13" max="17" width="11.88671875" customWidth="1"/>
    <col min="18" max="18" width="11.6640625" bestFit="1" customWidth="1"/>
    <col min="19" max="21" width="14" customWidth="1"/>
    <col min="22" max="22" width="12.88671875" customWidth="1"/>
    <col min="23" max="23" width="12.33203125" customWidth="1"/>
    <col min="24" max="31" width="13.88671875" customWidth="1"/>
    <col min="32" max="32" width="11.33203125" customWidth="1"/>
  </cols>
  <sheetData>
    <row r="2" spans="2:31" s="39" customFormat="1" x14ac:dyDescent="0.3">
      <c r="H2" s="36"/>
      <c r="I2" s="37"/>
      <c r="J2" s="38"/>
      <c r="K2" s="47"/>
      <c r="L2" s="47"/>
      <c r="M2" s="147"/>
      <c r="N2" s="147"/>
      <c r="O2" s="147"/>
      <c r="P2" s="147"/>
      <c r="Q2" s="147"/>
      <c r="R2" s="36"/>
      <c r="S2" s="36"/>
      <c r="T2" s="36"/>
      <c r="U2" s="36"/>
      <c r="V2" s="38"/>
      <c r="W2" s="148"/>
      <c r="X2" s="147"/>
      <c r="Y2" s="147"/>
      <c r="Z2" s="147"/>
      <c r="AA2" s="147"/>
      <c r="AB2" s="147"/>
      <c r="AC2" s="147"/>
      <c r="AD2" s="147"/>
      <c r="AE2" s="147"/>
    </row>
    <row r="3" spans="2:31" x14ac:dyDescent="0.3">
      <c r="B3" s="6" t="s">
        <v>447</v>
      </c>
      <c r="C3" s="7"/>
      <c r="D3" s="8"/>
      <c r="E3" s="8"/>
      <c r="F3" s="9" t="s">
        <v>1</v>
      </c>
      <c r="G3" s="4"/>
    </row>
    <row r="4" spans="2:31" ht="27.9" customHeight="1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200" t="s">
        <v>6</v>
      </c>
      <c r="G4" s="200" t="s">
        <v>186</v>
      </c>
      <c r="H4" s="201" t="s">
        <v>185</v>
      </c>
      <c r="I4" s="201" t="s">
        <v>11</v>
      </c>
      <c r="J4" s="200" t="s">
        <v>12</v>
      </c>
      <c r="K4" s="200" t="s">
        <v>7</v>
      </c>
      <c r="L4" s="200" t="s">
        <v>8</v>
      </c>
      <c r="M4" s="201" t="s">
        <v>688</v>
      </c>
      <c r="N4" s="201" t="s">
        <v>321</v>
      </c>
      <c r="O4" s="201" t="s">
        <v>322</v>
      </c>
      <c r="P4" s="201" t="s">
        <v>9</v>
      </c>
      <c r="Q4" s="201" t="s">
        <v>10</v>
      </c>
      <c r="R4" s="201" t="s">
        <v>687</v>
      </c>
      <c r="S4" s="201" t="s">
        <v>448</v>
      </c>
      <c r="T4" s="201" t="s">
        <v>13</v>
      </c>
      <c r="U4" s="201" t="s">
        <v>382</v>
      </c>
      <c r="V4" s="201" t="s">
        <v>42</v>
      </c>
      <c r="W4" s="201" t="s">
        <v>14</v>
      </c>
      <c r="X4" s="201" t="s">
        <v>381</v>
      </c>
      <c r="Y4" s="201" t="s">
        <v>15</v>
      </c>
      <c r="Z4" s="201" t="s">
        <v>16</v>
      </c>
      <c r="AA4" s="201" t="s">
        <v>17</v>
      </c>
      <c r="AB4" s="201" t="s">
        <v>18</v>
      </c>
      <c r="AC4" s="201" t="s">
        <v>19</v>
      </c>
      <c r="AD4" s="201" t="s">
        <v>20</v>
      </c>
      <c r="AE4" s="201" t="s">
        <v>21</v>
      </c>
    </row>
    <row r="5" spans="2:31" ht="33.75" customHeight="1" thickBot="1" x14ac:dyDescent="0.35">
      <c r="B5" s="202" t="s">
        <v>22</v>
      </c>
      <c r="C5" s="202"/>
      <c r="D5" s="202"/>
      <c r="E5" s="202"/>
      <c r="F5" s="203" t="s">
        <v>23</v>
      </c>
      <c r="G5" s="203">
        <v>2019</v>
      </c>
      <c r="H5" s="204" t="s">
        <v>26</v>
      </c>
      <c r="I5" s="204" t="s">
        <v>543</v>
      </c>
      <c r="J5" s="204" t="s">
        <v>25</v>
      </c>
      <c r="K5" s="203"/>
      <c r="L5" s="203"/>
      <c r="M5" s="205" t="s">
        <v>653</v>
      </c>
      <c r="N5" s="205" t="str">
        <f>M5</f>
        <v>Vkm/MJ</v>
      </c>
      <c r="O5" s="205" t="str">
        <f>N5</f>
        <v>Vkm/MJ</v>
      </c>
      <c r="P5" s="205" t="str">
        <f>O5</f>
        <v>Vkm/MJ</v>
      </c>
      <c r="Q5" s="205" t="str">
        <f>P5</f>
        <v>Vkm/MJ</v>
      </c>
      <c r="R5" s="204" t="s">
        <v>658</v>
      </c>
      <c r="S5" s="204" t="s">
        <v>658</v>
      </c>
      <c r="T5" s="204" t="s">
        <v>658</v>
      </c>
      <c r="U5" s="204" t="s">
        <v>658</v>
      </c>
      <c r="V5" s="206" t="s">
        <v>662</v>
      </c>
      <c r="W5" s="206" t="s">
        <v>661</v>
      </c>
      <c r="X5" s="206" t="s">
        <v>657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</row>
    <row r="6" spans="2:31" s="39" customFormat="1" x14ac:dyDescent="0.3">
      <c r="B6" s="209" t="s">
        <v>47</v>
      </c>
      <c r="C6" s="208" t="str">
        <f>LOOKUP(B6, TRA_COMM_PRO!$C$7:$C$189, TRA_COMM_PRO!$D$7:$D$189)</f>
        <v>Car.DST.01.</v>
      </c>
      <c r="D6" s="209" t="s">
        <v>48</v>
      </c>
      <c r="E6" s="209"/>
      <c r="F6" s="209"/>
      <c r="G6" s="10">
        <f>$G$5</f>
        <v>2019</v>
      </c>
      <c r="H6" s="40">
        <v>15</v>
      </c>
      <c r="I6" s="65">
        <f>10^-3</f>
        <v>1E-3</v>
      </c>
      <c r="J6" s="41">
        <v>1.2</v>
      </c>
      <c r="K6" s="42"/>
      <c r="L6" s="42"/>
      <c r="M6" s="43"/>
      <c r="N6" s="43"/>
      <c r="O6" s="43"/>
      <c r="P6" s="43"/>
      <c r="Q6" s="43"/>
      <c r="R6" s="40">
        <v>12</v>
      </c>
      <c r="S6" s="40"/>
      <c r="T6" s="40"/>
      <c r="U6" s="49"/>
      <c r="V6" s="42"/>
      <c r="W6" s="60">
        <f>LOOKUP(B6, FIXOM_VAROM!$C$8:$C$190, FIXOM_VAROM!$D$8:$D$190)</f>
        <v>50</v>
      </c>
      <c r="X6" s="40">
        <f>LOOKUP($B6, INVCOST!$C$8:$C$193, INVCOST!D$8:D$193)</f>
        <v>21.434999999999999</v>
      </c>
      <c r="Y6" s="40">
        <f>LOOKUP($B6, INVCOST!$C$8:$C$193, INVCOST!E$8:E$193)</f>
        <v>21.155000000000001</v>
      </c>
      <c r="Z6" s="40">
        <f>LOOKUP($B6, INVCOST!$C$8:$C$193, INVCOST!F$8:F$193)</f>
        <v>21.132000000000001</v>
      </c>
      <c r="AA6" s="40">
        <f>LOOKUP($B6, INVCOST!$C$8:$C$193, INVCOST!G$8:G$193)</f>
        <v>21.117999999999999</v>
      </c>
      <c r="AB6" s="40">
        <f>LOOKUP($B6, INVCOST!$C$8:$C$193, INVCOST!H$8:H$193)</f>
        <v>21.108000000000001</v>
      </c>
      <c r="AC6" s="40">
        <f>LOOKUP($B6, INVCOST!$C$8:$C$193, INVCOST!I$8:I$193)</f>
        <v>21.1</v>
      </c>
      <c r="AD6" s="40">
        <f>LOOKUP($B6, INVCOST!$C$8:$C$193, INVCOST!J$8:J$193)</f>
        <v>21.093</v>
      </c>
      <c r="AE6" s="40">
        <f>LOOKUP($B6, INVCOST!$C$8:$C$193, INVCOST!K$8:K$193)</f>
        <v>21.088000000000001</v>
      </c>
    </row>
    <row r="7" spans="2:31" s="39" customFormat="1" x14ac:dyDescent="0.3">
      <c r="B7" s="209"/>
      <c r="C7" s="208"/>
      <c r="D7" s="209" t="s">
        <v>44</v>
      </c>
      <c r="E7" s="209"/>
      <c r="F7" s="209"/>
      <c r="G7" s="10"/>
      <c r="H7" s="40"/>
      <c r="I7" s="41"/>
      <c r="J7" s="41"/>
      <c r="K7" s="42"/>
      <c r="L7" s="42"/>
      <c r="M7" s="43"/>
      <c r="N7" s="43"/>
      <c r="O7" s="43"/>
      <c r="P7" s="43"/>
      <c r="Q7" s="43"/>
      <c r="R7" s="40"/>
      <c r="S7" s="40"/>
      <c r="T7" s="40"/>
      <c r="U7" s="49"/>
      <c r="V7" s="42"/>
      <c r="W7" s="60"/>
      <c r="X7" s="40"/>
      <c r="Y7" s="40"/>
      <c r="Z7" s="40"/>
      <c r="AA7" s="40"/>
      <c r="AB7" s="40"/>
      <c r="AC7" s="40"/>
      <c r="AD7" s="40"/>
      <c r="AE7" s="40"/>
    </row>
    <row r="8" spans="2:31" s="39" customFormat="1" x14ac:dyDescent="0.3">
      <c r="B8" s="209"/>
      <c r="C8" s="209"/>
      <c r="D8" s="209"/>
      <c r="E8" s="209"/>
      <c r="F8" s="209" t="s">
        <v>45</v>
      </c>
      <c r="G8" s="50"/>
      <c r="H8" s="40"/>
      <c r="I8" s="41"/>
      <c r="J8" s="41"/>
      <c r="K8" s="42"/>
      <c r="L8" s="42"/>
      <c r="M8" s="164">
        <f>LOOKUP($B6, CEFF!$C$10:$C$156, CEFF!F$10:F$156)</f>
        <v>0.57471000000000005</v>
      </c>
      <c r="N8" s="164">
        <f>LOOKUP($B6, CEFF!$C$10:$C$156, CEFF!G$10:G$156)</f>
        <v>0.61350000000000005</v>
      </c>
      <c r="O8" s="164">
        <f>LOOKUP($B6, CEFF!$C$10:$C$156, CEFF!H$10:H$156)</f>
        <v>0.64515999999999996</v>
      </c>
      <c r="P8" s="164">
        <f>LOOKUP($B6, CEFF!$C$10:$C$156, CEFF!I$10:I$156)</f>
        <v>0.68027000000000004</v>
      </c>
      <c r="Q8" s="164">
        <f>LOOKUP($B6, CEFF!$C$10:$C$156, CEFF!J$10:J$156)</f>
        <v>0.71428999999999998</v>
      </c>
      <c r="R8" s="40"/>
      <c r="S8" s="40"/>
      <c r="T8" s="40"/>
      <c r="U8" s="49"/>
      <c r="V8" s="41"/>
      <c r="W8" s="60"/>
      <c r="X8" s="40"/>
      <c r="Y8" s="40"/>
      <c r="Z8" s="40"/>
      <c r="AA8" s="40"/>
      <c r="AB8" s="40"/>
      <c r="AC8" s="40"/>
      <c r="AD8" s="40"/>
      <c r="AE8" s="40"/>
    </row>
    <row r="9" spans="2:31" s="39" customFormat="1" x14ac:dyDescent="0.3">
      <c r="B9" s="210"/>
      <c r="C9" s="210"/>
      <c r="D9" s="210"/>
      <c r="E9" s="210"/>
      <c r="F9" s="210" t="s">
        <v>46</v>
      </c>
      <c r="G9" s="51"/>
      <c r="H9" s="45"/>
      <c r="I9" s="46"/>
      <c r="J9" s="46"/>
      <c r="K9" s="44"/>
      <c r="L9" s="44"/>
      <c r="M9" s="259">
        <f>LOOKUP($B6, CEFF!$C$163:$C$330, CEFF!F$163:F$330)</f>
        <v>0.50251000000000001</v>
      </c>
      <c r="N9" s="259">
        <f>LOOKUP($B6, CEFF!$C$163:$C$330, CEFF!G$163:G$330)</f>
        <v>0.53763000000000005</v>
      </c>
      <c r="O9" s="259">
        <f>LOOKUP($B6, CEFF!$C$163:$C$330, CEFF!H$163:H$330)</f>
        <v>0.56496999999999997</v>
      </c>
      <c r="P9" s="259">
        <f>LOOKUP($B6, CEFF!$C$163:$C$330, CEFF!I$163:I$330)</f>
        <v>0.59523999999999999</v>
      </c>
      <c r="Q9" s="259">
        <f>LOOKUP($B6, CEFF!$C$163:$C$330, CEFF!J$163:J$330)</f>
        <v>0.625</v>
      </c>
      <c r="R9" s="45"/>
      <c r="S9" s="45"/>
      <c r="T9" s="45"/>
      <c r="U9" s="53"/>
      <c r="V9" s="46"/>
      <c r="W9" s="64"/>
      <c r="X9" s="45"/>
      <c r="Y9" s="45"/>
      <c r="Z9" s="45"/>
      <c r="AA9" s="45"/>
      <c r="AB9" s="45"/>
      <c r="AC9" s="45"/>
      <c r="AD9" s="45"/>
      <c r="AE9" s="45"/>
    </row>
    <row r="10" spans="2:31" s="39" customFormat="1" x14ac:dyDescent="0.3">
      <c r="B10" s="212" t="s">
        <v>49</v>
      </c>
      <c r="C10" s="212" t="str">
        <f ca="1">LOOKUP(B10, TRA_COMM_PRO!$C$7:$C$189, TRA_COMM_PRO!$D$7:D67)</f>
        <v>Car.ELC.01.</v>
      </c>
      <c r="D10" s="212" t="s">
        <v>27</v>
      </c>
      <c r="E10" s="212"/>
      <c r="F10" s="212"/>
      <c r="G10" s="10">
        <f>$G$5</f>
        <v>2019</v>
      </c>
      <c r="H10" s="54">
        <v>15</v>
      </c>
      <c r="I10" s="155">
        <f>$I$6</f>
        <v>1E-3</v>
      </c>
      <c r="J10" s="41">
        <v>1.2</v>
      </c>
      <c r="K10" s="56"/>
      <c r="L10" s="56"/>
      <c r="M10" s="260"/>
      <c r="N10" s="260"/>
      <c r="O10" s="260"/>
      <c r="P10" s="260"/>
      <c r="Q10" s="260"/>
      <c r="R10" s="54">
        <f>$R$6</f>
        <v>12</v>
      </c>
      <c r="S10" s="40"/>
      <c r="T10" s="40"/>
      <c r="U10" s="49"/>
      <c r="V10" s="56"/>
      <c r="W10" s="60">
        <f>LOOKUP(B10, FIXOM_VAROM!$C$8:$C$190, FIXOM_VAROM!$D$8:$D$190)</f>
        <v>40.000000000000007</v>
      </c>
      <c r="X10" s="40">
        <f>LOOKUP($B10, INVCOST!$C$8:$C$193, INVCOST!D$8:D$193)</f>
        <v>41.054000000000002</v>
      </c>
      <c r="Y10" s="40">
        <f>LOOKUP($B10, INVCOST!$C$8:$C$193, INVCOST!E$8:E$193)</f>
        <v>35.389000000000003</v>
      </c>
      <c r="Z10" s="40">
        <f>LOOKUP($B10, INVCOST!$C$8:$C$193, INVCOST!F$8:F$193)</f>
        <v>31.187999999999999</v>
      </c>
      <c r="AA10" s="40">
        <f>LOOKUP($B10, INVCOST!$C$8:$C$193, INVCOST!G$8:G$193)</f>
        <v>29.695</v>
      </c>
      <c r="AB10" s="40">
        <f>LOOKUP($B10, INVCOST!$C$8:$C$193, INVCOST!H$8:H$193)</f>
        <v>28.536999999999999</v>
      </c>
      <c r="AC10" s="40">
        <f>LOOKUP($B10, INVCOST!$C$8:$C$193, INVCOST!I$8:I$193)</f>
        <v>27.753</v>
      </c>
      <c r="AD10" s="40">
        <f>LOOKUP($B10, INVCOST!$C$8:$C$193, INVCOST!J$8:J$193)</f>
        <v>27.114000000000001</v>
      </c>
      <c r="AE10" s="40">
        <f>LOOKUP($B10, INVCOST!$C$8:$C$193, INVCOST!K$8:K$193)</f>
        <v>26.594000000000001</v>
      </c>
    </row>
    <row r="11" spans="2:31" s="39" customFormat="1" x14ac:dyDescent="0.3">
      <c r="B11" s="209"/>
      <c r="C11" s="209"/>
      <c r="D11" s="209"/>
      <c r="E11" s="209"/>
      <c r="F11" s="209" t="s">
        <v>45</v>
      </c>
      <c r="G11" s="50"/>
      <c r="H11" s="50"/>
      <c r="I11" s="41"/>
      <c r="J11" s="41"/>
      <c r="K11" s="42"/>
      <c r="L11" s="42"/>
      <c r="M11" s="164">
        <f>LOOKUP($B10, CEFF!$C$10:$C$156, CEFF!F$10:F$156)</f>
        <v>1.2987</v>
      </c>
      <c r="N11" s="164">
        <f>LOOKUP($B10, CEFF!$C$10:$C$156, CEFF!G$10:G$156)</f>
        <v>1.2987</v>
      </c>
      <c r="O11" s="164">
        <f>LOOKUP($B10, CEFF!$C$10:$C$156, CEFF!H$10:H$156)</f>
        <v>1.3698600000000001</v>
      </c>
      <c r="P11" s="164">
        <f>LOOKUP($B10, CEFF!$C$10:$C$156, CEFF!I$10:I$156)</f>
        <v>1.4285699999999999</v>
      </c>
      <c r="Q11" s="164">
        <f>LOOKUP($B10, CEFF!$C$10:$C$156, CEFF!J$10:J$156)</f>
        <v>1.51515</v>
      </c>
      <c r="R11" s="40"/>
      <c r="S11" s="40"/>
      <c r="T11" s="40"/>
      <c r="U11" s="49"/>
      <c r="V11" s="41"/>
      <c r="W11" s="60"/>
      <c r="X11" s="40"/>
      <c r="Y11" s="40"/>
      <c r="Z11" s="40"/>
      <c r="AA11" s="40"/>
      <c r="AB11" s="40"/>
      <c r="AC11" s="40"/>
      <c r="AD11" s="40"/>
      <c r="AE11" s="40"/>
    </row>
    <row r="12" spans="2:31" s="39" customFormat="1" x14ac:dyDescent="0.3">
      <c r="B12" s="209"/>
      <c r="C12" s="209"/>
      <c r="D12" s="209"/>
      <c r="E12" s="209"/>
      <c r="F12" s="210" t="s">
        <v>46</v>
      </c>
      <c r="G12" s="51"/>
      <c r="H12" s="40"/>
      <c r="I12" s="41"/>
      <c r="J12" s="46"/>
      <c r="K12" s="42"/>
      <c r="L12" s="42"/>
      <c r="M12" s="259">
        <f>LOOKUP($B10, CEFF!$C$163:$C$330, CEFF!F$163:F$330)</f>
        <v>1.6129</v>
      </c>
      <c r="N12" s="259">
        <f>LOOKUP($B10, CEFF!$C$163:$C$330, CEFF!G$163:G$330)</f>
        <v>1.6129</v>
      </c>
      <c r="O12" s="259">
        <f>LOOKUP($B10, CEFF!$C$163:$C$330, CEFF!H$163:H$330)</f>
        <v>1.69492</v>
      </c>
      <c r="P12" s="259">
        <f>LOOKUP($B10, CEFF!$C$163:$C$330, CEFF!I$163:I$330)</f>
        <v>1.7857099999999999</v>
      </c>
      <c r="Q12" s="259">
        <f>LOOKUP($B10, CEFF!$C$163:$C$330, CEFF!J$163:J$330)</f>
        <v>1.88679</v>
      </c>
      <c r="R12" s="45"/>
      <c r="S12" s="45"/>
      <c r="T12" s="45"/>
      <c r="U12" s="53"/>
      <c r="V12" s="41"/>
      <c r="W12" s="64"/>
      <c r="X12" s="45"/>
      <c r="Y12" s="45"/>
      <c r="Z12" s="45"/>
      <c r="AA12" s="45"/>
      <c r="AB12" s="45"/>
      <c r="AC12" s="45"/>
      <c r="AD12" s="45"/>
      <c r="AE12" s="45"/>
    </row>
    <row r="13" spans="2:31" s="39" customFormat="1" x14ac:dyDescent="0.3">
      <c r="B13" s="212" t="s">
        <v>50</v>
      </c>
      <c r="C13" s="212" t="str">
        <f ca="1">LOOKUP(B13, TRA_COMM_PRO!$C$7:$C$189, TRA_COMM_PRO!$D$7:D68)</f>
        <v>Car.ETH.01.</v>
      </c>
      <c r="D13" s="212" t="s">
        <v>51</v>
      </c>
      <c r="E13" s="212"/>
      <c r="F13" s="212"/>
      <c r="G13" s="10">
        <f>$G$5</f>
        <v>2019</v>
      </c>
      <c r="H13" s="54">
        <f>$H$6</f>
        <v>15</v>
      </c>
      <c r="I13" s="155">
        <f>$I$6</f>
        <v>1E-3</v>
      </c>
      <c r="J13" s="41">
        <f>$J$6</f>
        <v>1.2</v>
      </c>
      <c r="K13" s="56"/>
      <c r="L13" s="56"/>
      <c r="M13" s="260"/>
      <c r="N13" s="260"/>
      <c r="O13" s="260"/>
      <c r="P13" s="260"/>
      <c r="Q13" s="260"/>
      <c r="R13" s="54">
        <f>$R$6</f>
        <v>12</v>
      </c>
      <c r="S13" s="40"/>
      <c r="T13" s="40"/>
      <c r="U13" s="49"/>
      <c r="V13" s="56"/>
      <c r="W13" s="60">
        <f>LOOKUP(B13, FIXOM_VAROM!$C$8:$C$190, FIXOM_VAROM!$D$8:$D$190)</f>
        <v>50</v>
      </c>
      <c r="X13" s="40">
        <f>LOOKUP($B13, INVCOST!$C$8:$C$193, INVCOST!D$8:D$193)</f>
        <v>19.734999999999999</v>
      </c>
      <c r="Y13" s="40">
        <f>LOOKUP($B13, INVCOST!$C$8:$C$193, INVCOST!E$8:E$193)</f>
        <v>19.452000000000002</v>
      </c>
      <c r="Z13" s="40">
        <f>LOOKUP($B13, INVCOST!$C$8:$C$193, INVCOST!F$8:F$193)</f>
        <v>19.43</v>
      </c>
      <c r="AA13" s="40">
        <f>LOOKUP($B13, INVCOST!$C$8:$C$193, INVCOST!G$8:G$193)</f>
        <v>19.414999999999999</v>
      </c>
      <c r="AB13" s="40">
        <f>LOOKUP($B13, INVCOST!$C$8:$C$193, INVCOST!H$8:H$193)</f>
        <v>19.402999999999999</v>
      </c>
      <c r="AC13" s="40">
        <f>LOOKUP($B13, INVCOST!$C$8:$C$193, INVCOST!I$8:I$193)</f>
        <v>19.393000000000001</v>
      </c>
      <c r="AD13" s="40">
        <f>LOOKUP($B13, INVCOST!$C$8:$C$193, INVCOST!J$8:J$193)</f>
        <v>19.385000000000002</v>
      </c>
      <c r="AE13" s="40">
        <f>LOOKUP($B13, INVCOST!$C$8:$C$193, INVCOST!K$8:K$193)</f>
        <v>19.378</v>
      </c>
    </row>
    <row r="14" spans="2:31" s="39" customFormat="1" x14ac:dyDescent="0.3">
      <c r="B14" s="209"/>
      <c r="C14" s="209"/>
      <c r="D14" s="209" t="s">
        <v>39</v>
      </c>
      <c r="E14" s="209"/>
      <c r="F14" s="209"/>
      <c r="G14" s="50"/>
      <c r="H14" s="40"/>
      <c r="I14" s="41"/>
      <c r="J14" s="41"/>
      <c r="K14" s="42">
        <v>0.15</v>
      </c>
      <c r="L14" s="42"/>
      <c r="M14" s="164"/>
      <c r="N14" s="164"/>
      <c r="O14" s="164"/>
      <c r="P14" s="164"/>
      <c r="Q14" s="164"/>
      <c r="R14" s="40"/>
      <c r="S14" s="40"/>
      <c r="T14" s="40"/>
      <c r="U14" s="49"/>
      <c r="V14" s="41"/>
      <c r="W14" s="60"/>
      <c r="X14" s="40"/>
      <c r="Y14" s="40"/>
      <c r="Z14" s="40"/>
      <c r="AA14" s="40"/>
      <c r="AB14" s="40"/>
      <c r="AC14" s="40"/>
      <c r="AD14" s="40"/>
      <c r="AE14" s="40"/>
    </row>
    <row r="15" spans="2:31" s="39" customFormat="1" x14ac:dyDescent="0.3">
      <c r="B15" s="209"/>
      <c r="C15" s="209"/>
      <c r="D15" s="209"/>
      <c r="E15" s="209"/>
      <c r="F15" s="209" t="s">
        <v>45</v>
      </c>
      <c r="G15" s="50"/>
      <c r="H15" s="40"/>
      <c r="I15" s="41"/>
      <c r="J15" s="41"/>
      <c r="K15" s="42"/>
      <c r="L15" s="42"/>
      <c r="M15" s="164">
        <f>LOOKUP($B13, CEFF!$C$10:$C$156, CEFF!F$10:F$156)</f>
        <v>0.51812999999999998</v>
      </c>
      <c r="N15" s="164">
        <f>LOOKUP($B13, CEFF!$C$10:$C$156, CEFF!G$10:G$156)</f>
        <v>0.55249000000000004</v>
      </c>
      <c r="O15" s="164">
        <f>LOOKUP($B13, CEFF!$C$10:$C$156, CEFF!H$10:H$156)</f>
        <v>0.58140000000000003</v>
      </c>
      <c r="P15" s="164">
        <f>LOOKUP($B13, CEFF!$C$10:$C$156, CEFF!I$10:I$156)</f>
        <v>0.61350000000000005</v>
      </c>
      <c r="Q15" s="164">
        <f>LOOKUP($B13, CEFF!$C$10:$C$156, CEFF!J$10:J$156)</f>
        <v>0.64515999999999996</v>
      </c>
      <c r="R15" s="40"/>
      <c r="S15" s="40"/>
      <c r="T15" s="40"/>
      <c r="U15" s="49"/>
      <c r="V15" s="42"/>
      <c r="W15" s="60"/>
      <c r="X15" s="40"/>
      <c r="Y15" s="40"/>
      <c r="Z15" s="40"/>
      <c r="AA15" s="40"/>
      <c r="AB15" s="40"/>
      <c r="AC15" s="40"/>
      <c r="AD15" s="40"/>
      <c r="AE15" s="40"/>
    </row>
    <row r="16" spans="2:31" s="39" customFormat="1" x14ac:dyDescent="0.3">
      <c r="B16" s="209"/>
      <c r="C16" s="209"/>
      <c r="D16" s="209"/>
      <c r="E16" s="209"/>
      <c r="F16" s="210" t="s">
        <v>46</v>
      </c>
      <c r="G16" s="51"/>
      <c r="H16" s="40"/>
      <c r="I16" s="41"/>
      <c r="J16" s="46"/>
      <c r="K16" s="42"/>
      <c r="L16" s="42"/>
      <c r="M16" s="259">
        <f>LOOKUP($B13, CEFF!$C$163:$C$330, CEFF!F$163:F$330)</f>
        <v>0.42553000000000002</v>
      </c>
      <c r="N16" s="259">
        <f>LOOKUP($B13, CEFF!$C$163:$C$330, CEFF!G$163:G$330)</f>
        <v>0.45455000000000001</v>
      </c>
      <c r="O16" s="259">
        <f>LOOKUP($B13, CEFF!$C$163:$C$330, CEFF!H$163:H$330)</f>
        <v>0.47847000000000001</v>
      </c>
      <c r="P16" s="259">
        <f>LOOKUP($B13, CEFF!$C$163:$C$330, CEFF!I$163:I$330)</f>
        <v>0.50251000000000001</v>
      </c>
      <c r="Q16" s="259">
        <f>LOOKUP($B13, CEFF!$C$163:$C$330, CEFF!J$163:J$330)</f>
        <v>0.52910000000000001</v>
      </c>
      <c r="R16" s="45"/>
      <c r="S16" s="45"/>
      <c r="T16" s="45"/>
      <c r="U16" s="53"/>
      <c r="V16" s="42"/>
      <c r="W16" s="64"/>
      <c r="X16" s="45"/>
      <c r="Y16" s="45"/>
      <c r="Z16" s="45"/>
      <c r="AA16" s="45"/>
      <c r="AB16" s="45"/>
      <c r="AC16" s="45"/>
      <c r="AD16" s="45"/>
      <c r="AE16" s="45"/>
    </row>
    <row r="17" spans="2:31" s="39" customFormat="1" x14ac:dyDescent="0.3">
      <c r="B17" s="212" t="s">
        <v>52</v>
      </c>
      <c r="C17" s="212" t="str">
        <f ca="1">LOOKUP(B17, TRA_COMM_PRO!$C$7:$C$189, TRA_COMM_PRO!$D$7:D72)</f>
        <v>Car.GAS.01.</v>
      </c>
      <c r="D17" s="212" t="s">
        <v>39</v>
      </c>
      <c r="E17" s="212"/>
      <c r="F17" s="212"/>
      <c r="G17" s="10">
        <f>$G$5</f>
        <v>2019</v>
      </c>
      <c r="H17" s="54">
        <f>$H$6</f>
        <v>15</v>
      </c>
      <c r="I17" s="155">
        <f>$I$6</f>
        <v>1E-3</v>
      </c>
      <c r="J17" s="41">
        <f>$J$6</f>
        <v>1.2</v>
      </c>
      <c r="K17" s="56"/>
      <c r="L17" s="56">
        <v>0.05</v>
      </c>
      <c r="M17" s="260"/>
      <c r="N17" s="260"/>
      <c r="O17" s="260"/>
      <c r="P17" s="260"/>
      <c r="Q17" s="260"/>
      <c r="R17" s="54">
        <f>$R$6</f>
        <v>12</v>
      </c>
      <c r="S17" s="40"/>
      <c r="T17" s="40"/>
      <c r="U17" s="49"/>
      <c r="V17" s="55"/>
      <c r="W17" s="60">
        <f>LOOKUP(B17, FIXOM_VAROM!$C$8:$C$190, FIXOM_VAROM!$D$8:$D$190)</f>
        <v>50</v>
      </c>
      <c r="X17" s="40">
        <f>LOOKUP($B17, INVCOST!$C$8:$C$193, INVCOST!D$8:D$193)</f>
        <v>19.734999999999999</v>
      </c>
      <c r="Y17" s="40">
        <f>LOOKUP($B17, INVCOST!$C$8:$C$193, INVCOST!E$8:E$193)</f>
        <v>19.452000000000002</v>
      </c>
      <c r="Z17" s="40">
        <f>LOOKUP($B17, INVCOST!$C$8:$C$193, INVCOST!F$8:F$193)</f>
        <v>19.43</v>
      </c>
      <c r="AA17" s="40">
        <f>LOOKUP($B17, INVCOST!$C$8:$C$193, INVCOST!G$8:G$193)</f>
        <v>19.414999999999999</v>
      </c>
      <c r="AB17" s="40">
        <f>LOOKUP($B17, INVCOST!$C$8:$C$193, INVCOST!H$8:H$193)</f>
        <v>19.402999999999999</v>
      </c>
      <c r="AC17" s="40">
        <f>LOOKUP($B17, INVCOST!$C$8:$C$193, INVCOST!I$8:I$193)</f>
        <v>19.393000000000001</v>
      </c>
      <c r="AD17" s="40">
        <f>LOOKUP($B17, INVCOST!$C$8:$C$193, INVCOST!J$8:J$193)</f>
        <v>19.385000000000002</v>
      </c>
      <c r="AE17" s="40">
        <f>LOOKUP($B17, INVCOST!$C$8:$C$193, INVCOST!K$8:K$193)</f>
        <v>19.378</v>
      </c>
    </row>
    <row r="18" spans="2:31" s="39" customFormat="1" x14ac:dyDescent="0.3">
      <c r="B18" s="209"/>
      <c r="C18" s="209"/>
      <c r="D18" s="209" t="s">
        <v>53</v>
      </c>
      <c r="E18" s="209"/>
      <c r="F18" s="209"/>
      <c r="G18" s="50"/>
      <c r="H18" s="40"/>
      <c r="I18" s="41"/>
      <c r="J18" s="41"/>
      <c r="K18" s="42"/>
      <c r="L18" s="42"/>
      <c r="M18" s="164"/>
      <c r="N18" s="164"/>
      <c r="O18" s="164"/>
      <c r="P18" s="164"/>
      <c r="Q18" s="164"/>
      <c r="R18" s="40"/>
      <c r="S18" s="40"/>
      <c r="T18" s="40"/>
      <c r="U18" s="49"/>
      <c r="V18" s="41"/>
      <c r="W18" s="60"/>
      <c r="X18" s="40"/>
      <c r="Y18" s="40"/>
      <c r="Z18" s="40"/>
      <c r="AA18" s="40"/>
      <c r="AB18" s="40"/>
      <c r="AC18" s="40"/>
      <c r="AD18" s="40"/>
      <c r="AE18" s="40"/>
    </row>
    <row r="19" spans="2:31" s="39" customFormat="1" x14ac:dyDescent="0.3">
      <c r="B19" s="209"/>
      <c r="C19" s="209"/>
      <c r="D19" s="209" t="s">
        <v>54</v>
      </c>
      <c r="E19" s="209"/>
      <c r="F19" s="209"/>
      <c r="G19" s="50"/>
      <c r="H19" s="40"/>
      <c r="I19" s="41"/>
      <c r="J19" s="41"/>
      <c r="K19" s="42"/>
      <c r="L19" s="42"/>
      <c r="M19" s="164"/>
      <c r="N19" s="164"/>
      <c r="O19" s="164"/>
      <c r="P19" s="164"/>
      <c r="Q19" s="164"/>
      <c r="R19" s="40"/>
      <c r="S19" s="40"/>
      <c r="T19" s="40"/>
      <c r="U19" s="49"/>
      <c r="V19" s="41"/>
      <c r="W19" s="60"/>
      <c r="X19" s="40"/>
      <c r="Y19" s="40"/>
      <c r="Z19" s="40"/>
      <c r="AA19" s="40"/>
      <c r="AB19" s="40"/>
      <c r="AC19" s="40"/>
      <c r="AD19" s="40"/>
      <c r="AE19" s="40"/>
    </row>
    <row r="20" spans="2:31" s="39" customFormat="1" x14ac:dyDescent="0.3">
      <c r="B20" s="209"/>
      <c r="C20" s="209"/>
      <c r="D20" s="209"/>
      <c r="E20" s="209"/>
      <c r="F20" s="209" t="s">
        <v>45</v>
      </c>
      <c r="G20" s="50"/>
      <c r="H20" s="40"/>
      <c r="I20" s="41"/>
      <c r="J20" s="41"/>
      <c r="K20" s="42"/>
      <c r="L20" s="42"/>
      <c r="M20" s="164">
        <f>LOOKUP($B17, CEFF!$C$10:$C$156, CEFF!F$10:F$156)</f>
        <v>0.51812999999999998</v>
      </c>
      <c r="N20" s="164">
        <f>LOOKUP($B17, CEFF!$C$10:$C$156, CEFF!G$10:G$156)</f>
        <v>0.55249000000000004</v>
      </c>
      <c r="O20" s="164">
        <f>LOOKUP($B17, CEFF!$C$10:$C$156, CEFF!H$10:H$156)</f>
        <v>0.58140000000000003</v>
      </c>
      <c r="P20" s="164">
        <f>LOOKUP($B17, CEFF!$C$10:$C$156, CEFF!I$10:I$156)</f>
        <v>0.61350000000000005</v>
      </c>
      <c r="Q20" s="164">
        <f>LOOKUP($B17, CEFF!$C$10:$C$156, CEFF!J$10:J$156)</f>
        <v>0.64515999999999996</v>
      </c>
      <c r="R20" s="40"/>
      <c r="S20" s="40"/>
      <c r="T20" s="40"/>
      <c r="U20" s="49"/>
      <c r="V20" s="42"/>
      <c r="W20" s="60"/>
      <c r="X20" s="40"/>
      <c r="Y20" s="40"/>
      <c r="Z20" s="40"/>
      <c r="AA20" s="40"/>
      <c r="AB20" s="40"/>
      <c r="AC20" s="40"/>
      <c r="AD20" s="40"/>
      <c r="AE20" s="40"/>
    </row>
    <row r="21" spans="2:31" s="39" customFormat="1" x14ac:dyDescent="0.3">
      <c r="B21" s="209"/>
      <c r="C21" s="209"/>
      <c r="D21" s="209"/>
      <c r="E21" s="209"/>
      <c r="F21" s="210" t="s">
        <v>46</v>
      </c>
      <c r="G21" s="51"/>
      <c r="H21" s="40"/>
      <c r="I21" s="41"/>
      <c r="J21" s="46"/>
      <c r="K21" s="42"/>
      <c r="L21" s="42"/>
      <c r="M21" s="259">
        <f>LOOKUP($B17, CEFF!$C$163:$C$330, CEFF!F$163:F$330)</f>
        <v>0.42553000000000002</v>
      </c>
      <c r="N21" s="259">
        <f>LOOKUP($B17, CEFF!$C$163:$C$330, CEFF!G$163:G$330)</f>
        <v>0.45455000000000001</v>
      </c>
      <c r="O21" s="259">
        <f>LOOKUP($B17, CEFF!$C$163:$C$330, CEFF!H$163:H$330)</f>
        <v>0.47847000000000001</v>
      </c>
      <c r="P21" s="259">
        <f>LOOKUP($B17, CEFF!$C$163:$C$330, CEFF!I$163:I$330)</f>
        <v>0.50251000000000001</v>
      </c>
      <c r="Q21" s="259">
        <f>LOOKUP($B17, CEFF!$C$163:$C$330, CEFF!J$163:J$330)</f>
        <v>0.52910000000000001</v>
      </c>
      <c r="R21" s="45"/>
      <c r="S21" s="45"/>
      <c r="T21" s="45"/>
      <c r="U21" s="53"/>
      <c r="V21" s="42"/>
      <c r="W21" s="64"/>
      <c r="X21" s="45"/>
      <c r="Y21" s="45"/>
      <c r="Z21" s="45"/>
      <c r="AA21" s="45"/>
      <c r="AB21" s="45"/>
      <c r="AC21" s="45"/>
      <c r="AD21" s="45"/>
      <c r="AE21" s="45"/>
    </row>
    <row r="22" spans="2:31" s="39" customFormat="1" x14ac:dyDescent="0.3">
      <c r="B22" s="212" t="s">
        <v>55</v>
      </c>
      <c r="C22" s="212" t="str">
        <f ca="1">LOOKUP(B22, TRA_COMM_PRO!$C$7:$C$189, TRA_COMM_PRO!$D$7:D81)</f>
        <v>Car.GSL.01.</v>
      </c>
      <c r="D22" s="212" t="s">
        <v>39</v>
      </c>
      <c r="E22" s="212"/>
      <c r="F22" s="212"/>
      <c r="G22" s="10">
        <f>$G$5</f>
        <v>2019</v>
      </c>
      <c r="H22" s="54">
        <f>$H$6</f>
        <v>15</v>
      </c>
      <c r="I22" s="155">
        <f>$I$6</f>
        <v>1E-3</v>
      </c>
      <c r="J22" s="41">
        <f>$J$6</f>
        <v>1.2</v>
      </c>
      <c r="K22" s="56"/>
      <c r="L22" s="56"/>
      <c r="M22" s="260"/>
      <c r="N22" s="260"/>
      <c r="O22" s="260"/>
      <c r="P22" s="260"/>
      <c r="Q22" s="260"/>
      <c r="R22" s="54">
        <f>$R$6</f>
        <v>12</v>
      </c>
      <c r="S22" s="40"/>
      <c r="T22" s="40"/>
      <c r="U22" s="49"/>
      <c r="V22" s="56"/>
      <c r="W22" s="60">
        <f>LOOKUP(B22, FIXOM_VAROM!$C$8:$C$190, FIXOM_VAROM!$D$8:$D$190)</f>
        <v>50</v>
      </c>
      <c r="X22" s="40">
        <f>LOOKUP($B22, INVCOST!$C$8:$C$193, INVCOST!D$8:D$193)</f>
        <v>19.734999999999999</v>
      </c>
      <c r="Y22" s="40">
        <f>LOOKUP($B22, INVCOST!$C$8:$C$193, INVCOST!E$8:E$193)</f>
        <v>19.452000000000002</v>
      </c>
      <c r="Z22" s="40">
        <f>LOOKUP($B22, INVCOST!$C$8:$C$193, INVCOST!F$8:F$193)</f>
        <v>19.43</v>
      </c>
      <c r="AA22" s="40">
        <f>LOOKUP($B22, INVCOST!$C$8:$C$193, INVCOST!G$8:G$193)</f>
        <v>19.414999999999999</v>
      </c>
      <c r="AB22" s="40">
        <f>LOOKUP($B22, INVCOST!$C$8:$C$193, INVCOST!H$8:H$193)</f>
        <v>19.402999999999999</v>
      </c>
      <c r="AC22" s="40">
        <f>LOOKUP($B22, INVCOST!$C$8:$C$193, INVCOST!I$8:I$193)</f>
        <v>19.393000000000001</v>
      </c>
      <c r="AD22" s="40">
        <f>LOOKUP($B22, INVCOST!$C$8:$C$193, INVCOST!J$8:J$193)</f>
        <v>19.385000000000002</v>
      </c>
      <c r="AE22" s="40">
        <f>LOOKUP($B22, INVCOST!$C$8:$C$193, INVCOST!K$8:K$193)</f>
        <v>19.378</v>
      </c>
    </row>
    <row r="23" spans="2:31" s="39" customFormat="1" x14ac:dyDescent="0.3">
      <c r="B23" s="209"/>
      <c r="C23" s="209"/>
      <c r="D23" s="209" t="s">
        <v>40</v>
      </c>
      <c r="E23" s="209"/>
      <c r="F23" s="209"/>
      <c r="G23" s="50"/>
      <c r="H23" s="40"/>
      <c r="I23" s="41"/>
      <c r="J23" s="41"/>
      <c r="K23" s="42"/>
      <c r="L23" s="42">
        <v>0.05</v>
      </c>
      <c r="M23" s="164"/>
      <c r="N23" s="164"/>
      <c r="O23" s="164"/>
      <c r="P23" s="164"/>
      <c r="Q23" s="164"/>
      <c r="R23" s="40"/>
      <c r="S23" s="40"/>
      <c r="T23" s="40"/>
      <c r="U23" s="49"/>
      <c r="V23" s="41"/>
      <c r="W23" s="60"/>
      <c r="X23" s="40"/>
      <c r="Y23" s="40"/>
      <c r="Z23" s="40"/>
      <c r="AA23" s="40"/>
      <c r="AB23" s="40"/>
      <c r="AC23" s="40"/>
      <c r="AD23" s="40"/>
      <c r="AE23" s="40"/>
    </row>
    <row r="24" spans="2:31" s="39" customFormat="1" x14ac:dyDescent="0.3">
      <c r="B24" s="209"/>
      <c r="C24" s="209"/>
      <c r="D24" s="209"/>
      <c r="E24" s="209"/>
      <c r="F24" s="209" t="s">
        <v>45</v>
      </c>
      <c r="G24" s="50"/>
      <c r="H24" s="40"/>
      <c r="I24" s="41"/>
      <c r="J24" s="41"/>
      <c r="K24" s="42"/>
      <c r="L24" s="42"/>
      <c r="M24" s="164">
        <f>LOOKUP($B22, CEFF!$C$10:$C$156, CEFF!F$10:F$156)</f>
        <v>0.51812999999999998</v>
      </c>
      <c r="N24" s="164">
        <f>LOOKUP($B22, CEFF!$C$10:$C$156, CEFF!G$10:G$156)</f>
        <v>0.55249000000000004</v>
      </c>
      <c r="O24" s="164">
        <f>LOOKUP($B22, CEFF!$C$10:$C$156, CEFF!H$10:H$156)</f>
        <v>0.58140000000000003</v>
      </c>
      <c r="P24" s="164">
        <f>LOOKUP($B22, CEFF!$C$10:$C$156, CEFF!I$10:I$156)</f>
        <v>0.61350000000000005</v>
      </c>
      <c r="Q24" s="164">
        <f>LOOKUP($B22, CEFF!$C$10:$C$156, CEFF!J$10:J$156)</f>
        <v>0.64515999999999996</v>
      </c>
      <c r="R24" s="40"/>
      <c r="S24" s="40"/>
      <c r="T24" s="40"/>
      <c r="U24" s="49"/>
      <c r="V24" s="41"/>
      <c r="W24" s="60"/>
      <c r="X24" s="40"/>
      <c r="Y24" s="40"/>
      <c r="Z24" s="40"/>
      <c r="AA24" s="40"/>
      <c r="AB24" s="40"/>
      <c r="AC24" s="40"/>
      <c r="AD24" s="40"/>
      <c r="AE24" s="40"/>
    </row>
    <row r="25" spans="2:31" s="39" customFormat="1" x14ac:dyDescent="0.3">
      <c r="B25" s="210"/>
      <c r="C25" s="210"/>
      <c r="D25" s="210"/>
      <c r="E25" s="210"/>
      <c r="F25" s="210" t="s">
        <v>46</v>
      </c>
      <c r="G25" s="51"/>
      <c r="H25" s="40"/>
      <c r="I25" s="41"/>
      <c r="J25" s="46"/>
      <c r="K25" s="42"/>
      <c r="L25" s="42"/>
      <c r="M25" s="259">
        <f>LOOKUP($B22, CEFF!$C$163:$C$330, CEFF!F$163:F$330)</f>
        <v>0.42553000000000002</v>
      </c>
      <c r="N25" s="259">
        <f>LOOKUP($B22, CEFF!$C$163:$C$330, CEFF!G$163:G$330)</f>
        <v>0.45455000000000001</v>
      </c>
      <c r="O25" s="259">
        <f>LOOKUP($B22, CEFF!$C$163:$C$330, CEFF!H$163:H$330)</f>
        <v>0.47847000000000001</v>
      </c>
      <c r="P25" s="259">
        <f>LOOKUP($B22, CEFF!$C$163:$C$330, CEFF!I$163:I$330)</f>
        <v>0.50251000000000001</v>
      </c>
      <c r="Q25" s="259">
        <f>LOOKUP($B22, CEFF!$C$163:$C$330, CEFF!J$163:J$330)</f>
        <v>0.52910000000000001</v>
      </c>
      <c r="R25" s="45"/>
      <c r="S25" s="45"/>
      <c r="T25" s="45"/>
      <c r="U25" s="53"/>
      <c r="V25" s="41"/>
      <c r="W25" s="64"/>
      <c r="X25" s="45"/>
      <c r="Y25" s="45"/>
      <c r="Z25" s="45"/>
      <c r="AA25" s="45"/>
      <c r="AB25" s="45"/>
      <c r="AC25" s="45"/>
      <c r="AD25" s="45"/>
      <c r="AE25" s="45"/>
    </row>
    <row r="26" spans="2:31" s="39" customFormat="1" x14ac:dyDescent="0.3">
      <c r="B26" s="209" t="s">
        <v>56</v>
      </c>
      <c r="C26" s="212" t="str">
        <f ca="1">LOOKUP(B26, TRA_COMM_PRO!$C$7:$C$189, TRA_COMM_PRO!$D$7:D85)</f>
        <v>Car.H2G.01.</v>
      </c>
      <c r="D26" s="209" t="s">
        <v>57</v>
      </c>
      <c r="E26" s="209"/>
      <c r="F26" s="209"/>
      <c r="G26" s="10">
        <v>2019</v>
      </c>
      <c r="H26" s="54">
        <f>$H$6</f>
        <v>15</v>
      </c>
      <c r="I26" s="155">
        <f>$I$6</f>
        <v>1E-3</v>
      </c>
      <c r="J26" s="41">
        <f>$J$6</f>
        <v>1.2</v>
      </c>
      <c r="K26" s="56"/>
      <c r="L26" s="56"/>
      <c r="M26" s="260"/>
      <c r="N26" s="260"/>
      <c r="O26" s="260"/>
      <c r="P26" s="260"/>
      <c r="Q26" s="260"/>
      <c r="R26" s="54">
        <f>$R$6</f>
        <v>12</v>
      </c>
      <c r="S26" s="40"/>
      <c r="T26" s="40"/>
      <c r="U26" s="49"/>
      <c r="V26" s="56"/>
      <c r="W26" s="60">
        <f>LOOKUP(B26, FIXOM_VAROM!$C$8:$C$190, FIXOM_VAROM!$D$8:$D$190)</f>
        <v>40.000000000000007</v>
      </c>
      <c r="X26" s="40">
        <f>LOOKUP($B26, INVCOST!$C$8:$C$193, INVCOST!D$8:D$193)</f>
        <v>35.097999999999999</v>
      </c>
      <c r="Y26" s="40">
        <f>LOOKUP($B26, INVCOST!$C$8:$C$193, INVCOST!E$8:E$193)</f>
        <v>33.204999999999998</v>
      </c>
      <c r="Z26" s="40">
        <f>LOOKUP($B26, INVCOST!$C$8:$C$193, INVCOST!F$8:F$193)</f>
        <v>30.501000000000001</v>
      </c>
      <c r="AA26" s="40">
        <f>LOOKUP($B26, INVCOST!$C$8:$C$193, INVCOST!G$8:G$193)</f>
        <v>29.122</v>
      </c>
      <c r="AB26" s="40">
        <f>LOOKUP($B26, INVCOST!$C$8:$C$193, INVCOST!H$8:H$193)</f>
        <v>28.056000000000001</v>
      </c>
      <c r="AC26" s="40">
        <f>LOOKUP($B26, INVCOST!$C$8:$C$193, INVCOST!I$8:I$193)</f>
        <v>27.158999999999999</v>
      </c>
      <c r="AD26" s="40">
        <f>LOOKUP($B26, INVCOST!$C$8:$C$193, INVCOST!J$8:J$193)</f>
        <v>26.395</v>
      </c>
      <c r="AE26" s="40">
        <f>LOOKUP($B26, INVCOST!$C$8:$C$193, INVCOST!K$8:K$193)</f>
        <v>25.727</v>
      </c>
    </row>
    <row r="27" spans="2:31" s="39" customFormat="1" x14ac:dyDescent="0.3">
      <c r="B27" s="209"/>
      <c r="C27" s="209"/>
      <c r="D27" s="209"/>
      <c r="E27" s="209"/>
      <c r="F27" s="209" t="s">
        <v>45</v>
      </c>
      <c r="G27" s="50"/>
      <c r="H27" s="40"/>
      <c r="I27" s="41"/>
      <c r="J27" s="41"/>
      <c r="K27" s="42"/>
      <c r="L27" s="42"/>
      <c r="M27" s="164">
        <f>LOOKUP($B26, CEFF!$C$10:$C$156, CEFF!F$10:F$156)</f>
        <v>0.98038999999999998</v>
      </c>
      <c r="N27" s="164">
        <f>LOOKUP($B26, CEFF!$C$10:$C$156, CEFF!G$10:G$156)</f>
        <v>0.98038999999999998</v>
      </c>
      <c r="O27" s="164">
        <f>LOOKUP($B26, CEFF!$C$10:$C$156, CEFF!H$10:H$156)</f>
        <v>1.0869599999999999</v>
      </c>
      <c r="P27" s="164">
        <f>LOOKUP($B26, CEFF!$C$10:$C$156, CEFF!I$10:I$156)</f>
        <v>1.20482</v>
      </c>
      <c r="Q27" s="164">
        <f>LOOKUP($B26, CEFF!$C$10:$C$156, CEFF!J$10:J$156)</f>
        <v>1.2658199999999999</v>
      </c>
      <c r="R27" s="40"/>
      <c r="S27" s="40"/>
      <c r="T27" s="40"/>
      <c r="U27" s="49"/>
      <c r="V27" s="42"/>
      <c r="W27" s="60"/>
      <c r="X27" s="40"/>
      <c r="Y27" s="40"/>
      <c r="Z27" s="40"/>
      <c r="AA27" s="40"/>
      <c r="AB27" s="40"/>
      <c r="AC27" s="40"/>
      <c r="AD27" s="40"/>
      <c r="AE27" s="40"/>
    </row>
    <row r="28" spans="2:31" s="39" customFormat="1" x14ac:dyDescent="0.3">
      <c r="B28" s="210"/>
      <c r="C28" s="210"/>
      <c r="D28" s="210"/>
      <c r="E28" s="210"/>
      <c r="F28" s="210" t="s">
        <v>46</v>
      </c>
      <c r="G28" s="51"/>
      <c r="H28" s="45"/>
      <c r="I28" s="46"/>
      <c r="J28" s="46"/>
      <c r="K28" s="44"/>
      <c r="L28" s="44"/>
      <c r="M28" s="259">
        <f>LOOKUP($B26, CEFF!$C$163:$C$330, CEFF!F$163:F$330)</f>
        <v>0.80645</v>
      </c>
      <c r="N28" s="259">
        <f>LOOKUP($B26, CEFF!$C$163:$C$330, CEFF!G$163:G$330)</f>
        <v>0.80645</v>
      </c>
      <c r="O28" s="259">
        <f>LOOKUP($B26, CEFF!$C$163:$C$330, CEFF!H$163:H$330)</f>
        <v>0.89285999999999999</v>
      </c>
      <c r="P28" s="259">
        <f>LOOKUP($B26, CEFF!$C$163:$C$330, CEFF!I$163:I$330)</f>
        <v>0.99009999999999998</v>
      </c>
      <c r="Q28" s="259">
        <f>LOOKUP($B26, CEFF!$C$163:$C$330, CEFF!J$163:J$330)</f>
        <v>1.0989</v>
      </c>
      <c r="R28" s="45"/>
      <c r="S28" s="45"/>
      <c r="T28" s="45"/>
      <c r="U28" s="53"/>
      <c r="V28" s="44"/>
      <c r="W28" s="64"/>
      <c r="X28" s="45"/>
      <c r="Y28" s="45"/>
      <c r="Z28" s="45"/>
      <c r="AA28" s="45"/>
      <c r="AB28" s="45"/>
      <c r="AC28" s="45"/>
      <c r="AD28" s="45"/>
      <c r="AE28" s="45"/>
    </row>
    <row r="29" spans="2:31" s="39" customFormat="1" x14ac:dyDescent="0.3">
      <c r="B29" s="209" t="s">
        <v>58</v>
      </c>
      <c r="C29" s="212" t="str">
        <f ca="1">LOOKUP(B29, TRA_COMM_PRO!$C$7:$C$189, TRA_COMM_PRO!$D$7:D90)</f>
        <v>Car.Hybrid.DST.01.</v>
      </c>
      <c r="D29" s="209" t="s">
        <v>44</v>
      </c>
      <c r="E29" s="209"/>
      <c r="F29" s="209"/>
      <c r="G29" s="10">
        <f>$G$5</f>
        <v>2019</v>
      </c>
      <c r="H29" s="54">
        <f>$H$6</f>
        <v>15</v>
      </c>
      <c r="I29" s="155">
        <f>$I$6</f>
        <v>1E-3</v>
      </c>
      <c r="J29" s="41">
        <f>$J$6</f>
        <v>1.2</v>
      </c>
      <c r="K29" s="42"/>
      <c r="L29" s="42"/>
      <c r="M29" s="164"/>
      <c r="N29" s="164"/>
      <c r="O29" s="164"/>
      <c r="P29" s="164"/>
      <c r="Q29" s="164"/>
      <c r="R29" s="54">
        <f>$R$6</f>
        <v>12</v>
      </c>
      <c r="S29" s="40"/>
      <c r="T29" s="40"/>
      <c r="U29" s="49"/>
      <c r="V29" s="42"/>
      <c r="W29" s="60">
        <f>LOOKUP(B29, FIXOM_VAROM!$C$8:$C$190, FIXOM_VAROM!$D$8:$D$190)</f>
        <v>50</v>
      </c>
      <c r="X29" s="40">
        <f>LOOKUP($B29, INVCOST!$C$8:$C$193, INVCOST!D$8:D$193)</f>
        <v>24.67</v>
      </c>
      <c r="Y29" s="40">
        <f>LOOKUP($B29, INVCOST!$C$8:$C$193, INVCOST!E$8:E$193)</f>
        <v>23.181999999999999</v>
      </c>
      <c r="Z29" s="40">
        <f>LOOKUP($B29, INVCOST!$C$8:$C$193, INVCOST!F$8:F$193)</f>
        <v>22.738</v>
      </c>
      <c r="AA29" s="40">
        <f>LOOKUP($B29, INVCOST!$C$8:$C$193, INVCOST!G$8:G$193)</f>
        <v>22.478000000000002</v>
      </c>
      <c r="AB29" s="40">
        <f>LOOKUP($B29, INVCOST!$C$8:$C$193, INVCOST!H$8:H$193)</f>
        <v>22.3</v>
      </c>
      <c r="AC29" s="40">
        <f>LOOKUP($B29, INVCOST!$C$8:$C$193, INVCOST!I$8:I$193)</f>
        <v>22.170999999999999</v>
      </c>
      <c r="AD29" s="40">
        <f>LOOKUP($B29, INVCOST!$C$8:$C$193, INVCOST!J$8:J$193)</f>
        <v>22.068999999999999</v>
      </c>
      <c r="AE29" s="40">
        <f>LOOKUP($B29, INVCOST!$C$8:$C$193, INVCOST!K$8:K$193)</f>
        <v>21.995000000000001</v>
      </c>
    </row>
    <row r="30" spans="2:31" s="39" customFormat="1" x14ac:dyDescent="0.3">
      <c r="B30" s="209"/>
      <c r="C30" s="209"/>
      <c r="D30" s="209" t="s">
        <v>48</v>
      </c>
      <c r="E30" s="209"/>
      <c r="F30" s="209"/>
      <c r="G30" s="50"/>
      <c r="H30" s="40"/>
      <c r="I30" s="41"/>
      <c r="J30" s="41"/>
      <c r="K30" s="42"/>
      <c r="L30" s="42"/>
      <c r="M30" s="164"/>
      <c r="N30" s="164"/>
      <c r="O30" s="164"/>
      <c r="P30" s="164"/>
      <c r="Q30" s="164"/>
      <c r="R30" s="40"/>
      <c r="S30" s="40"/>
      <c r="T30" s="40"/>
      <c r="U30" s="49"/>
      <c r="V30" s="42"/>
      <c r="W30" s="60"/>
      <c r="X30" s="40"/>
      <c r="Y30" s="40"/>
      <c r="Z30" s="40"/>
      <c r="AA30" s="40"/>
      <c r="AB30" s="40"/>
      <c r="AC30" s="40"/>
      <c r="AD30" s="40"/>
      <c r="AE30" s="40"/>
    </row>
    <row r="31" spans="2:31" s="39" customFormat="1" x14ac:dyDescent="0.3">
      <c r="B31" s="209"/>
      <c r="C31" s="209"/>
      <c r="D31" s="209"/>
      <c r="E31" s="209"/>
      <c r="F31" s="209" t="s">
        <v>45</v>
      </c>
      <c r="G31" s="50"/>
      <c r="H31" s="40"/>
      <c r="I31" s="41"/>
      <c r="J31" s="41"/>
      <c r="K31" s="42"/>
      <c r="L31" s="42"/>
      <c r="M31" s="164">
        <f>LOOKUP($B29, CEFF!$C$10:$C$156, CEFF!F$10:F$156)</f>
        <v>0.70921999999999996</v>
      </c>
      <c r="N31" s="164">
        <f>LOOKUP($B29, CEFF!$C$10:$C$156, CEFF!G$10:G$156)</f>
        <v>0.74626999999999999</v>
      </c>
      <c r="O31" s="164">
        <f>LOOKUP($B29, CEFF!$C$10:$C$156, CEFF!H$10:H$156)</f>
        <v>0.82645000000000002</v>
      </c>
      <c r="P31" s="164">
        <f>LOOKUP($B29, CEFF!$C$10:$C$156, CEFF!I$10:I$156)</f>
        <v>0.91742999999999997</v>
      </c>
      <c r="Q31" s="164">
        <f>LOOKUP($B29, CEFF!$C$10:$C$156, CEFF!J$10:J$156)</f>
        <v>1.02041</v>
      </c>
      <c r="R31" s="40"/>
      <c r="S31" s="40"/>
      <c r="T31" s="40"/>
      <c r="U31" s="49"/>
      <c r="V31" s="42"/>
      <c r="W31" s="60"/>
      <c r="X31" s="40"/>
      <c r="Y31" s="40"/>
      <c r="Z31" s="40"/>
      <c r="AA31" s="40"/>
      <c r="AB31" s="40"/>
      <c r="AC31" s="40"/>
      <c r="AD31" s="40"/>
      <c r="AE31" s="40"/>
    </row>
    <row r="32" spans="2:31" s="39" customFormat="1" x14ac:dyDescent="0.3">
      <c r="B32" s="210"/>
      <c r="C32" s="210"/>
      <c r="D32" s="210"/>
      <c r="E32" s="210"/>
      <c r="F32" s="210" t="s">
        <v>46</v>
      </c>
      <c r="G32" s="51"/>
      <c r="H32" s="45"/>
      <c r="I32" s="46"/>
      <c r="J32" s="46"/>
      <c r="K32" s="44"/>
      <c r="L32" s="44"/>
      <c r="M32" s="259">
        <f>LOOKUP($B29, CEFF!$C$163:$C$330, CEFF!F$163:F$330)</f>
        <v>0.62112000000000001</v>
      </c>
      <c r="N32" s="259">
        <f>LOOKUP($B29, CEFF!$C$163:$C$330, CEFF!G$163:G$330)</f>
        <v>0.65788999999999997</v>
      </c>
      <c r="O32" s="259">
        <f>LOOKUP($B29, CEFF!$C$163:$C$330, CEFF!H$163:H$330)</f>
        <v>0.72992999999999997</v>
      </c>
      <c r="P32" s="259">
        <f>LOOKUP($B29, CEFF!$C$163:$C$330, CEFF!I$163:I$330)</f>
        <v>0.80645</v>
      </c>
      <c r="Q32" s="259">
        <f>LOOKUP($B29, CEFF!$C$163:$C$330, CEFF!J$163:J$330)</f>
        <v>0.89285999999999999</v>
      </c>
      <c r="R32" s="45"/>
      <c r="S32" s="45"/>
      <c r="T32" s="45"/>
      <c r="U32" s="53"/>
      <c r="V32" s="44"/>
      <c r="W32" s="64"/>
      <c r="X32" s="45"/>
      <c r="Y32" s="45"/>
      <c r="Z32" s="45"/>
      <c r="AA32" s="45"/>
      <c r="AB32" s="45"/>
      <c r="AC32" s="45"/>
      <c r="AD32" s="45"/>
      <c r="AE32" s="45"/>
    </row>
    <row r="33" spans="1:31" s="39" customFormat="1" x14ac:dyDescent="0.3">
      <c r="B33" s="209" t="s">
        <v>59</v>
      </c>
      <c r="C33" s="209" t="str">
        <f ca="1">LOOKUP(B33, TRA_COMM_PRO!$C$7:$C$189, TRA_COMM_PRO!$D$7:D94)</f>
        <v>Car.Hybrid.GSL.01.</v>
      </c>
      <c r="D33" s="209" t="s">
        <v>40</v>
      </c>
      <c r="E33" s="209"/>
      <c r="F33" s="209"/>
      <c r="G33" s="10">
        <f>$G$5</f>
        <v>2019</v>
      </c>
      <c r="H33" s="54">
        <f>$H$6</f>
        <v>15</v>
      </c>
      <c r="I33" s="155">
        <f>$I$6</f>
        <v>1E-3</v>
      </c>
      <c r="J33" s="41">
        <f>$J$6</f>
        <v>1.2</v>
      </c>
      <c r="K33" s="42"/>
      <c r="L33" s="42">
        <v>0.05</v>
      </c>
      <c r="M33" s="261"/>
      <c r="N33" s="261"/>
      <c r="O33" s="261"/>
      <c r="P33" s="261"/>
      <c r="Q33" s="261"/>
      <c r="R33" s="54">
        <f>$R$6</f>
        <v>12</v>
      </c>
      <c r="S33" s="40"/>
      <c r="T33" s="40"/>
      <c r="U33" s="49"/>
      <c r="V33" s="42"/>
      <c r="W33" s="60">
        <f>LOOKUP(B33, FIXOM_VAROM!$C$8:$C$190, FIXOM_VAROM!$D$8:$D$190)</f>
        <v>50</v>
      </c>
      <c r="X33" s="40">
        <f>LOOKUP($B33, INVCOST!$C$8:$C$193, INVCOST!D$8:D$193)</f>
        <v>22.67</v>
      </c>
      <c r="Y33" s="40">
        <f>LOOKUP($B33, INVCOST!$C$8:$C$193, INVCOST!E$8:E$193)</f>
        <v>21.329000000000001</v>
      </c>
      <c r="Z33" s="40">
        <f>LOOKUP($B33, INVCOST!$C$8:$C$193, INVCOST!F$8:F$193)</f>
        <v>20.885999999999999</v>
      </c>
      <c r="AA33" s="40">
        <f>LOOKUP($B33, INVCOST!$C$8:$C$193, INVCOST!G$8:G$193)</f>
        <v>20.626000000000001</v>
      </c>
      <c r="AB33" s="40">
        <f>LOOKUP($B33, INVCOST!$C$8:$C$193, INVCOST!H$8:H$193)</f>
        <v>20.446000000000002</v>
      </c>
      <c r="AC33" s="40">
        <f>LOOKUP($B33, INVCOST!$C$8:$C$193, INVCOST!I$8:I$193)</f>
        <v>20.135999999999999</v>
      </c>
      <c r="AD33" s="40">
        <f>LOOKUP($B33, INVCOST!$C$8:$C$193, INVCOST!J$8:J$193)</f>
        <v>20.212</v>
      </c>
      <c r="AE33" s="40">
        <f>LOOKUP($B33, INVCOST!$C$8:$C$193, INVCOST!K$8:K$193)</f>
        <v>20.135999999999999</v>
      </c>
    </row>
    <row r="34" spans="1:31" s="39" customFormat="1" x14ac:dyDescent="0.3">
      <c r="B34" s="209"/>
      <c r="C34" s="209"/>
      <c r="D34" s="209" t="s">
        <v>39</v>
      </c>
      <c r="E34" s="209"/>
      <c r="F34" s="209"/>
      <c r="G34" s="50"/>
      <c r="H34" s="40"/>
      <c r="I34" s="41"/>
      <c r="J34" s="41"/>
      <c r="K34" s="42"/>
      <c r="L34" s="42"/>
      <c r="M34" s="261"/>
      <c r="N34" s="261"/>
      <c r="O34" s="261"/>
      <c r="P34" s="261"/>
      <c r="Q34" s="261"/>
      <c r="R34" s="40"/>
      <c r="S34" s="40"/>
      <c r="T34" s="40"/>
      <c r="U34" s="49"/>
      <c r="V34" s="42"/>
      <c r="W34" s="60"/>
      <c r="X34" s="40"/>
      <c r="Y34" s="40"/>
      <c r="Z34" s="40"/>
      <c r="AA34" s="40"/>
      <c r="AB34" s="40"/>
      <c r="AC34" s="40"/>
      <c r="AD34" s="40"/>
      <c r="AE34" s="40"/>
    </row>
    <row r="35" spans="1:31" s="39" customFormat="1" x14ac:dyDescent="0.3">
      <c r="B35" s="209"/>
      <c r="C35" s="209"/>
      <c r="D35" s="209"/>
      <c r="E35" s="209"/>
      <c r="F35" s="209" t="s">
        <v>45</v>
      </c>
      <c r="G35" s="50"/>
      <c r="H35" s="40"/>
      <c r="I35" s="41"/>
      <c r="J35" s="41"/>
      <c r="K35" s="42"/>
      <c r="L35" s="42"/>
      <c r="M35" s="164">
        <f>LOOKUP($B33, CEFF!$C$10:$C$156, CEFF!F$10:F$156)</f>
        <v>0.63693999999999995</v>
      </c>
      <c r="N35" s="164">
        <f>LOOKUP($B33, CEFF!$C$10:$C$156, CEFF!G$10:G$156)</f>
        <v>0.67113999999999996</v>
      </c>
      <c r="O35" s="164">
        <f>LOOKUP($B33, CEFF!$C$10:$C$156, CEFF!H$10:H$156)</f>
        <v>0.74626999999999999</v>
      </c>
      <c r="P35" s="164">
        <f>LOOKUP($B33, CEFF!$C$10:$C$156, CEFF!I$10:I$156)</f>
        <v>0.82645000000000002</v>
      </c>
      <c r="Q35" s="164">
        <f>LOOKUP($B33, CEFF!$C$10:$C$156, CEFF!J$10:J$156)</f>
        <v>0.91742999999999997</v>
      </c>
      <c r="R35" s="40"/>
      <c r="S35" s="40"/>
      <c r="T35" s="40"/>
      <c r="U35" s="49"/>
      <c r="V35" s="42"/>
      <c r="W35" s="60"/>
      <c r="X35" s="40"/>
      <c r="Y35" s="40"/>
      <c r="Z35" s="40"/>
      <c r="AA35" s="40"/>
      <c r="AB35" s="40"/>
      <c r="AC35" s="40"/>
      <c r="AD35" s="40"/>
      <c r="AE35" s="40"/>
    </row>
    <row r="36" spans="1:31" s="39" customFormat="1" x14ac:dyDescent="0.3">
      <c r="B36" s="210"/>
      <c r="C36" s="210"/>
      <c r="D36" s="210"/>
      <c r="E36" s="210"/>
      <c r="F36" s="210" t="s">
        <v>46</v>
      </c>
      <c r="G36" s="51"/>
      <c r="H36" s="45"/>
      <c r="I36" s="46"/>
      <c r="J36" s="46"/>
      <c r="K36" s="44"/>
      <c r="L36" s="44"/>
      <c r="M36" s="259">
        <f>LOOKUP($B33, CEFF!$C$163:$C$330, CEFF!F$163:F$330)</f>
        <v>0.52356000000000003</v>
      </c>
      <c r="N36" s="259">
        <f>LOOKUP($B33, CEFF!$C$163:$C$330, CEFF!G$163:G$330)</f>
        <v>0.55249000000000004</v>
      </c>
      <c r="O36" s="259">
        <f>LOOKUP($B33, CEFF!$C$163:$C$330, CEFF!H$163:H$330)</f>
        <v>0.61350000000000005</v>
      </c>
      <c r="P36" s="259">
        <f>LOOKUP($B33, CEFF!$C$163:$C$330, CEFF!I$163:I$330)</f>
        <v>0.68027000000000004</v>
      </c>
      <c r="Q36" s="259">
        <f>LOOKUP($B33, CEFF!$C$163:$C$330, CEFF!J$163:J$330)</f>
        <v>0.75187999999999999</v>
      </c>
      <c r="R36" s="45"/>
      <c r="S36" s="45"/>
      <c r="T36" s="45"/>
      <c r="U36" s="53"/>
      <c r="V36" s="44"/>
      <c r="W36" s="64"/>
      <c r="X36" s="45"/>
      <c r="Y36" s="45"/>
      <c r="Z36" s="45"/>
      <c r="AA36" s="45"/>
      <c r="AB36" s="45"/>
      <c r="AC36" s="45"/>
      <c r="AD36" s="45"/>
      <c r="AE36" s="45"/>
    </row>
    <row r="37" spans="1:31" s="39" customFormat="1" x14ac:dyDescent="0.3">
      <c r="A37"/>
      <c r="B37" s="212" t="s">
        <v>60</v>
      </c>
      <c r="C37" s="212" t="s">
        <v>61</v>
      </c>
      <c r="D37" s="212" t="s">
        <v>62</v>
      </c>
      <c r="E37" s="212"/>
      <c r="F37" s="212"/>
      <c r="G37" s="10">
        <f>$G$5</f>
        <v>2019</v>
      </c>
      <c r="H37" s="54">
        <f>$H$6</f>
        <v>15</v>
      </c>
      <c r="I37" s="155">
        <f>$I$6</f>
        <v>1E-3</v>
      </c>
      <c r="J37" s="41">
        <f>$J$6</f>
        <v>1.2</v>
      </c>
      <c r="K37" s="56"/>
      <c r="L37" s="56"/>
      <c r="M37" s="260"/>
      <c r="N37" s="260"/>
      <c r="O37" s="260"/>
      <c r="P37" s="260"/>
      <c r="Q37" s="260"/>
      <c r="R37" s="54">
        <f>$R$6</f>
        <v>12</v>
      </c>
      <c r="S37" s="54"/>
      <c r="T37" s="54"/>
      <c r="U37" s="54"/>
      <c r="V37" s="55"/>
      <c r="W37" s="60">
        <f>LOOKUP(B37, FIXOM_VAROM!$C$8:$C$190, FIXOM_VAROM!$D$8:$D$190)</f>
        <v>50</v>
      </c>
      <c r="X37" s="40">
        <f>LOOKUP($B37, INVCOST!$C$8:$C$193, INVCOST!D$8:D$193)</f>
        <v>19.734999999999999</v>
      </c>
      <c r="Y37" s="40">
        <f>LOOKUP($B37, INVCOST!$C$8:$C$193, INVCOST!E$8:E$193)</f>
        <v>19.452000000000002</v>
      </c>
      <c r="Z37" s="40">
        <f>LOOKUP($B37, INVCOST!$C$8:$C$193, INVCOST!F$8:F$193)</f>
        <v>19.43</v>
      </c>
      <c r="AA37" s="40">
        <f>LOOKUP($B37, INVCOST!$C$8:$C$193, INVCOST!G$8:G$193)</f>
        <v>19.414999999999999</v>
      </c>
      <c r="AB37" s="40">
        <f>LOOKUP($B37, INVCOST!$C$8:$C$193, INVCOST!H$8:H$193)</f>
        <v>19.402999999999999</v>
      </c>
      <c r="AC37" s="40">
        <f>LOOKUP($B37, INVCOST!$C$8:$C$193, INVCOST!I$8:I$193)</f>
        <v>19.393000000000001</v>
      </c>
      <c r="AD37" s="40">
        <f>LOOKUP($B37, INVCOST!$C$8:$C$193, INVCOST!J$8:J$193)</f>
        <v>19.385000000000002</v>
      </c>
      <c r="AE37" s="40">
        <f>LOOKUP($B37, INVCOST!$C$8:$C$193, INVCOST!K$8:K$193)</f>
        <v>19.378</v>
      </c>
    </row>
    <row r="38" spans="1:31" s="39" customFormat="1" x14ac:dyDescent="0.3">
      <c r="A38"/>
      <c r="B38" s="209"/>
      <c r="C38" s="209"/>
      <c r="D38" s="209" t="s">
        <v>39</v>
      </c>
      <c r="E38" s="209"/>
      <c r="F38" s="209"/>
      <c r="G38" s="10"/>
      <c r="H38" s="40"/>
      <c r="I38" s="41"/>
      <c r="J38" s="41"/>
      <c r="K38" s="42"/>
      <c r="L38" s="42"/>
      <c r="M38" s="164"/>
      <c r="N38" s="164"/>
      <c r="O38" s="164"/>
      <c r="P38" s="164"/>
      <c r="Q38" s="164"/>
      <c r="R38" s="40"/>
      <c r="S38" s="40"/>
      <c r="T38" s="40"/>
      <c r="U38" s="40"/>
      <c r="V38" s="41"/>
      <c r="W38" s="60"/>
      <c r="X38" s="40"/>
      <c r="Y38" s="40"/>
      <c r="Z38" s="40"/>
      <c r="AA38" s="40"/>
      <c r="AB38" s="40"/>
      <c r="AC38" s="40"/>
      <c r="AD38" s="40"/>
      <c r="AE38" s="40"/>
    </row>
    <row r="39" spans="1:31" s="39" customFormat="1" x14ac:dyDescent="0.3">
      <c r="A39"/>
      <c r="B39" s="209"/>
      <c r="C39" s="209"/>
      <c r="D39" s="209"/>
      <c r="E39" s="209"/>
      <c r="F39" s="209" t="s">
        <v>45</v>
      </c>
      <c r="G39" s="50"/>
      <c r="H39" s="40"/>
      <c r="I39" s="41"/>
      <c r="J39" s="41"/>
      <c r="K39" s="42"/>
      <c r="L39" s="42"/>
      <c r="M39" s="164">
        <f>LOOKUP($B37, CEFF!$C$10:$C$156, CEFF!F$10:F$156)</f>
        <v>0.51812999999999998</v>
      </c>
      <c r="N39" s="164">
        <f>LOOKUP($B37, CEFF!$C$10:$C$156, CEFF!G$10:G$156)</f>
        <v>0.55249000000000004</v>
      </c>
      <c r="O39" s="164">
        <f>LOOKUP($B37, CEFF!$C$10:$C$156, CEFF!H$10:H$156)</f>
        <v>0.58140000000000003</v>
      </c>
      <c r="P39" s="164">
        <f>LOOKUP($B37, CEFF!$C$10:$C$156, CEFF!I$10:I$156)</f>
        <v>0.61350000000000005</v>
      </c>
      <c r="Q39" s="164">
        <f>LOOKUP($B37, CEFF!$C$10:$C$156, CEFF!J$10:J$156)</f>
        <v>0.64515999999999996</v>
      </c>
      <c r="R39" s="40"/>
      <c r="S39" s="40"/>
      <c r="T39" s="40"/>
      <c r="U39" s="40"/>
      <c r="V39" s="42"/>
      <c r="W39" s="60"/>
      <c r="X39" s="40"/>
      <c r="Y39" s="40"/>
      <c r="Z39" s="40"/>
      <c r="AA39" s="40"/>
      <c r="AB39" s="40"/>
      <c r="AC39" s="40"/>
      <c r="AD39" s="40"/>
      <c r="AE39" s="40"/>
    </row>
    <row r="40" spans="1:31" s="39" customFormat="1" x14ac:dyDescent="0.3">
      <c r="A40"/>
      <c r="B40" s="209"/>
      <c r="C40" s="209"/>
      <c r="D40" s="209"/>
      <c r="E40" s="209"/>
      <c r="F40" s="209" t="s">
        <v>46</v>
      </c>
      <c r="G40" s="51"/>
      <c r="H40" s="40"/>
      <c r="I40" s="41"/>
      <c r="J40" s="41"/>
      <c r="K40" s="42"/>
      <c r="L40" s="42"/>
      <c r="M40" s="259">
        <f>LOOKUP($B37, CEFF!$C$163:$C$330, CEFF!F$163:F$330)</f>
        <v>0.42553000000000002</v>
      </c>
      <c r="N40" s="259">
        <f>LOOKUP($B37, CEFF!$C$163:$C$330, CEFF!G$163:G$330)</f>
        <v>0.45455000000000001</v>
      </c>
      <c r="O40" s="259">
        <f>LOOKUP($B37, CEFF!$C$163:$C$330, CEFF!H$163:H$330)</f>
        <v>0.47847000000000001</v>
      </c>
      <c r="P40" s="259">
        <f>LOOKUP($B37, CEFF!$C$163:$C$330, CEFF!I$163:I$330)</f>
        <v>0.50251000000000001</v>
      </c>
      <c r="Q40" s="259">
        <f>LOOKUP($B37, CEFF!$C$163:$C$330, CEFF!J$163:J$330)</f>
        <v>0.52910000000000001</v>
      </c>
      <c r="R40" s="42"/>
      <c r="S40" s="42"/>
      <c r="T40" s="42"/>
      <c r="U40" s="42"/>
      <c r="V40" s="42"/>
      <c r="W40" s="64"/>
      <c r="X40" s="45"/>
      <c r="Y40" s="45"/>
      <c r="Z40" s="45"/>
      <c r="AA40" s="45"/>
      <c r="AB40" s="45"/>
      <c r="AC40" s="45"/>
      <c r="AD40" s="45"/>
      <c r="AE40" s="45"/>
    </row>
    <row r="41" spans="1:31" s="39" customFormat="1" x14ac:dyDescent="0.3">
      <c r="B41" s="212" t="s">
        <v>583</v>
      </c>
      <c r="C41" s="212" t="str">
        <f ca="1">LOOKUP(B41, TRA_COMM_PRO!$C$7:$C$189, TRA_COMM_PRO!$D$7:D191)</f>
        <v>Car.MTH.01.</v>
      </c>
      <c r="D41" s="212" t="s">
        <v>582</v>
      </c>
      <c r="E41" s="212"/>
      <c r="F41" s="212"/>
      <c r="G41" s="10">
        <f>$G$5</f>
        <v>2019</v>
      </c>
      <c r="H41" s="54">
        <f>$H$6</f>
        <v>15</v>
      </c>
      <c r="I41" s="155">
        <f>$I$6</f>
        <v>1E-3</v>
      </c>
      <c r="J41" s="55">
        <f>$J$6</f>
        <v>1.2</v>
      </c>
      <c r="K41" s="56"/>
      <c r="L41" s="56"/>
      <c r="M41" s="260"/>
      <c r="N41" s="260"/>
      <c r="O41" s="260"/>
      <c r="P41" s="260"/>
      <c r="Q41" s="260"/>
      <c r="R41" s="54">
        <f>$R$6</f>
        <v>12</v>
      </c>
      <c r="S41" s="54"/>
      <c r="T41" s="55"/>
      <c r="U41" s="55"/>
      <c r="V41" s="55"/>
      <c r="W41" s="60">
        <f>LOOKUP(B41, FIXOM_VAROM!$C$8:$C$190, FIXOM_VAROM!$D$8:$D$190)</f>
        <v>50</v>
      </c>
      <c r="X41" s="40">
        <f>LOOKUP($B41, INVCOST!$C$8:$C$193, INVCOST!D$8:D$193)</f>
        <v>19.734999999999999</v>
      </c>
      <c r="Y41" s="40">
        <f>LOOKUP($B41, INVCOST!$C$8:$C$193, INVCOST!E$8:E$193)</f>
        <v>19.452000000000002</v>
      </c>
      <c r="Z41" s="40">
        <f>LOOKUP($B41, INVCOST!$C$8:$C$193, INVCOST!F$8:F$193)</f>
        <v>19.43</v>
      </c>
      <c r="AA41" s="40">
        <f>LOOKUP($B41, INVCOST!$C$8:$C$193, INVCOST!G$8:G$193)</f>
        <v>19.414999999999999</v>
      </c>
      <c r="AB41" s="40">
        <f>LOOKUP($B41, INVCOST!$C$8:$C$193, INVCOST!H$8:H$193)</f>
        <v>19.402999999999999</v>
      </c>
      <c r="AC41" s="40">
        <f>LOOKUP($B41, INVCOST!$C$8:$C$193, INVCOST!I$8:I$193)</f>
        <v>19.393000000000001</v>
      </c>
      <c r="AD41" s="40">
        <f>LOOKUP($B41, INVCOST!$C$8:$C$193, INVCOST!J$8:J$193)</f>
        <v>19.385000000000002</v>
      </c>
      <c r="AE41" s="40">
        <f>LOOKUP($B41, INVCOST!$C$8:$C$193, INVCOST!K$8:K$193)</f>
        <v>19.378</v>
      </c>
    </row>
    <row r="42" spans="1:31" s="39" customFormat="1" x14ac:dyDescent="0.3">
      <c r="B42" s="209"/>
      <c r="C42" s="209"/>
      <c r="D42" s="209"/>
      <c r="E42" s="209"/>
      <c r="F42" s="209" t="s">
        <v>45</v>
      </c>
      <c r="G42" s="50"/>
      <c r="H42" s="40"/>
      <c r="I42" s="41"/>
      <c r="J42" s="41"/>
      <c r="K42" s="42"/>
      <c r="L42" s="42"/>
      <c r="M42" s="164">
        <f>LOOKUP($B41, CEFF!$C$10:$C$156, CEFF!F$10:F$156)</f>
        <v>0.51812999999999998</v>
      </c>
      <c r="N42" s="164">
        <f>LOOKUP($B41, CEFF!$C$10:$C$156, CEFF!G$10:G$156)</f>
        <v>0.55249000000000004</v>
      </c>
      <c r="O42" s="164">
        <f>LOOKUP($B41, CEFF!$C$10:$C$156, CEFF!H$10:H$156)</f>
        <v>0.58140000000000003</v>
      </c>
      <c r="P42" s="164">
        <f>LOOKUP($B41, CEFF!$C$10:$C$156, CEFF!I$10:I$156)</f>
        <v>0.61350000000000005</v>
      </c>
      <c r="Q42" s="164">
        <f>LOOKUP($B41, CEFF!$C$10:$C$156, CEFF!J$10:J$156)</f>
        <v>0.64515999999999996</v>
      </c>
      <c r="R42" s="40"/>
      <c r="S42" s="40"/>
      <c r="T42" s="40"/>
      <c r="U42" s="49"/>
      <c r="V42" s="42"/>
      <c r="W42" s="60"/>
      <c r="X42" s="40"/>
      <c r="Y42" s="40"/>
      <c r="Z42" s="40"/>
      <c r="AA42" s="40"/>
      <c r="AB42" s="40"/>
      <c r="AC42" s="40"/>
      <c r="AD42" s="40"/>
      <c r="AE42" s="40"/>
    </row>
    <row r="43" spans="1:31" s="39" customFormat="1" x14ac:dyDescent="0.3">
      <c r="B43" s="210"/>
      <c r="C43" s="210"/>
      <c r="D43" s="210"/>
      <c r="E43" s="210"/>
      <c r="F43" s="210" t="s">
        <v>46</v>
      </c>
      <c r="G43" s="51"/>
      <c r="H43" s="45"/>
      <c r="I43" s="46"/>
      <c r="J43" s="46"/>
      <c r="K43" s="44"/>
      <c r="L43" s="44"/>
      <c r="M43" s="259">
        <f>LOOKUP($B41, CEFF!$C$163:$C$330, CEFF!F$163:F$330)</f>
        <v>0.42553000000000002</v>
      </c>
      <c r="N43" s="259">
        <f>LOOKUP($B41, CEFF!$C$163:$C$330, CEFF!G$163:G$330)</f>
        <v>0.45455000000000001</v>
      </c>
      <c r="O43" s="259">
        <f>LOOKUP($B41, CEFF!$C$163:$C$330, CEFF!H$163:H$330)</f>
        <v>0.47847000000000001</v>
      </c>
      <c r="P43" s="259">
        <f>LOOKUP($B41, CEFF!$C$163:$C$330, CEFF!I$163:I$330)</f>
        <v>0.50251000000000001</v>
      </c>
      <c r="Q43" s="259">
        <f>LOOKUP($B41, CEFF!$C$163:$C$330, CEFF!J$163:J$330)</f>
        <v>0.52910000000000001</v>
      </c>
      <c r="R43" s="45"/>
      <c r="S43" s="45"/>
      <c r="T43" s="45"/>
      <c r="U43" s="53"/>
      <c r="V43" s="44"/>
      <c r="W43" s="64"/>
      <c r="X43" s="45"/>
      <c r="Y43" s="45"/>
      <c r="Z43" s="45"/>
      <c r="AA43" s="45"/>
      <c r="AB43" s="45"/>
      <c r="AC43" s="45"/>
      <c r="AD43" s="45"/>
      <c r="AE43" s="45"/>
    </row>
    <row r="44" spans="1:31" s="39" customFormat="1" x14ac:dyDescent="0.3">
      <c r="B44" s="209" t="s">
        <v>63</v>
      </c>
      <c r="C44" s="212" t="str">
        <f ca="1">LOOKUP(B44, TRA_COMM_PRO!$C$7:$C$189, TRA_COMM_PRO!$D$7:D166)</f>
        <v>Car.Plugin-Hybrid.DST.01.</v>
      </c>
      <c r="D44" s="209" t="s">
        <v>44</v>
      </c>
      <c r="E44" s="209"/>
      <c r="F44" s="209"/>
      <c r="G44" s="10">
        <f>$G$5</f>
        <v>2019</v>
      </c>
      <c r="H44" s="54">
        <f>$H$6</f>
        <v>15</v>
      </c>
      <c r="I44" s="155">
        <f>$I$6</f>
        <v>1E-3</v>
      </c>
      <c r="J44" s="41">
        <f>$J$6</f>
        <v>1.2</v>
      </c>
      <c r="K44" s="42"/>
      <c r="L44" s="42"/>
      <c r="M44" s="164"/>
      <c r="N44" s="164"/>
      <c r="O44" s="164"/>
      <c r="P44" s="164"/>
      <c r="Q44" s="164"/>
      <c r="R44" s="54">
        <f>$R$6</f>
        <v>12</v>
      </c>
      <c r="S44" s="40"/>
      <c r="T44" s="40"/>
      <c r="U44" s="49"/>
      <c r="V44" s="42"/>
      <c r="W44" s="60">
        <f>LOOKUP(B44, FIXOM_VAROM!$C$8:$C$190, FIXOM_VAROM!$D$8:$D$190)</f>
        <v>50</v>
      </c>
      <c r="X44" s="40">
        <f>LOOKUP($B44, INVCOST!$C$8:$C$193, INVCOST!D$8:D$193)</f>
        <v>32.155000000000001</v>
      </c>
      <c r="Y44" s="40">
        <f>LOOKUP($B44, INVCOST!$C$8:$C$193, INVCOST!E$8:E$193)</f>
        <v>29.478999999999999</v>
      </c>
      <c r="Z44" s="40">
        <f>LOOKUP($B44, INVCOST!$C$8:$C$193, INVCOST!F$8:F$193)</f>
        <v>27.831</v>
      </c>
      <c r="AA44" s="40">
        <f>LOOKUP($B44, INVCOST!$C$8:$C$193, INVCOST!G$8:G$193)</f>
        <v>26.962</v>
      </c>
      <c r="AB44" s="40">
        <f>LOOKUP($B44, INVCOST!$C$8:$C$193, INVCOST!H$8:H$193)</f>
        <v>26.277000000000001</v>
      </c>
      <c r="AC44" s="40">
        <f>LOOKUP($B44, INVCOST!$C$8:$C$193, INVCOST!I$8:I$193)</f>
        <v>25.709</v>
      </c>
      <c r="AD44" s="40">
        <f>LOOKUP($B44, INVCOST!$C$8:$C$193, INVCOST!J$8:J$193)</f>
        <v>25.244</v>
      </c>
      <c r="AE44" s="40">
        <f>LOOKUP($B44, INVCOST!$C$8:$C$193, INVCOST!K$8:K$193)</f>
        <v>24.864000000000001</v>
      </c>
    </row>
    <row r="45" spans="1:31" s="39" customFormat="1" x14ac:dyDescent="0.3">
      <c r="B45" s="209"/>
      <c r="C45" s="209"/>
      <c r="D45" s="209" t="s">
        <v>48</v>
      </c>
      <c r="E45" s="209"/>
      <c r="F45" s="209"/>
      <c r="G45" s="50"/>
      <c r="H45" s="40"/>
      <c r="I45" s="41"/>
      <c r="J45" s="41"/>
      <c r="K45" s="42"/>
      <c r="L45" s="42"/>
      <c r="M45" s="164"/>
      <c r="N45" s="164"/>
      <c r="O45" s="164"/>
      <c r="P45" s="164"/>
      <c r="Q45" s="164"/>
      <c r="R45" s="40"/>
      <c r="S45" s="40"/>
      <c r="T45" s="40"/>
      <c r="U45" s="49"/>
      <c r="V45" s="42"/>
      <c r="W45" s="60"/>
      <c r="X45" s="40"/>
      <c r="Y45" s="40"/>
      <c r="Z45" s="40"/>
      <c r="AA45" s="40"/>
      <c r="AB45" s="40"/>
      <c r="AC45" s="40"/>
      <c r="AD45" s="40"/>
      <c r="AE45" s="40"/>
    </row>
    <row r="46" spans="1:31" s="39" customFormat="1" x14ac:dyDescent="0.3">
      <c r="B46" s="209"/>
      <c r="C46" s="209"/>
      <c r="D46" s="209"/>
      <c r="E46" s="209"/>
      <c r="F46" s="209" t="s">
        <v>45</v>
      </c>
      <c r="G46" s="50"/>
      <c r="H46" s="40"/>
      <c r="I46" s="41"/>
      <c r="J46" s="41"/>
      <c r="K46" s="42"/>
      <c r="L46" s="42"/>
      <c r="M46" s="164">
        <f>LOOKUP($B44, CEFF!$C$10:$C$156, CEFF!F$10:F$156)</f>
        <v>0.85470000000000002</v>
      </c>
      <c r="N46" s="164">
        <f>LOOKUP($B44, CEFF!$C$10:$C$156, CEFF!G$10:G$156)</f>
        <v>0.85470000000000002</v>
      </c>
      <c r="O46" s="164">
        <f>LOOKUP($B44, CEFF!$C$10:$C$156, CEFF!H$10:H$156)</f>
        <v>0.94340000000000002</v>
      </c>
      <c r="P46" s="164">
        <f>LOOKUP($B44, CEFF!$C$10:$C$156, CEFF!I$10:I$156)</f>
        <v>1.0416700000000001</v>
      </c>
      <c r="Q46" s="164">
        <f>LOOKUP($B44, CEFF!$C$10:$C$156, CEFF!J$10:J$156)</f>
        <v>1.16279</v>
      </c>
      <c r="R46" s="40"/>
      <c r="S46" s="40"/>
      <c r="T46" s="40"/>
      <c r="U46" s="49"/>
      <c r="V46" s="42"/>
      <c r="W46" s="60"/>
      <c r="X46" s="40"/>
      <c r="Y46" s="40"/>
      <c r="Z46" s="40"/>
      <c r="AA46" s="40"/>
      <c r="AB46" s="40"/>
      <c r="AC46" s="40"/>
      <c r="AD46" s="40"/>
      <c r="AE46" s="40"/>
    </row>
    <row r="47" spans="1:31" s="39" customFormat="1" x14ac:dyDescent="0.3">
      <c r="B47" s="210"/>
      <c r="C47" s="210"/>
      <c r="D47" s="210"/>
      <c r="E47" s="210"/>
      <c r="F47" s="210" t="s">
        <v>46</v>
      </c>
      <c r="G47" s="51"/>
      <c r="H47" s="45"/>
      <c r="I47" s="46"/>
      <c r="J47" s="46"/>
      <c r="K47" s="44"/>
      <c r="L47" s="44"/>
      <c r="M47" s="259">
        <f>LOOKUP($B44, CEFF!$C$163:$C$330, CEFF!F$163:F$330)</f>
        <v>1.0869599999999999</v>
      </c>
      <c r="N47" s="259">
        <f>LOOKUP($B44, CEFF!$C$163:$C$330, CEFF!G$163:G$330)</f>
        <v>1.0638300000000001</v>
      </c>
      <c r="O47" s="259">
        <f>LOOKUP($B44, CEFF!$C$163:$C$330, CEFF!H$163:H$330)</f>
        <v>1.13636</v>
      </c>
      <c r="P47" s="259">
        <f>LOOKUP($B44, CEFF!$C$163:$C$330, CEFF!I$163:I$330)</f>
        <v>1.2195100000000001</v>
      </c>
      <c r="Q47" s="259">
        <f>LOOKUP($B44, CEFF!$C$163:$C$330, CEFF!J$163:J$330)</f>
        <v>1.31579</v>
      </c>
      <c r="R47" s="45"/>
      <c r="S47" s="45"/>
      <c r="T47" s="45"/>
      <c r="U47" s="53"/>
      <c r="V47" s="44"/>
      <c r="W47" s="64"/>
      <c r="X47" s="45"/>
      <c r="Y47" s="45"/>
      <c r="Z47" s="45"/>
      <c r="AA47" s="45"/>
      <c r="AB47" s="45"/>
      <c r="AC47" s="45"/>
      <c r="AD47" s="45"/>
      <c r="AE47" s="45"/>
    </row>
    <row r="48" spans="1:31" s="39" customFormat="1" x14ac:dyDescent="0.3">
      <c r="B48" s="209" t="s">
        <v>64</v>
      </c>
      <c r="C48" s="209" t="str">
        <f ca="1">LOOKUP(B48, TRA_COMM_PRO!$C$7:$C$189, TRA_COMM_PRO!$D$7:D191)</f>
        <v>Car.Plugin-Hybrid.GSL.01.</v>
      </c>
      <c r="D48" s="209" t="s">
        <v>40</v>
      </c>
      <c r="E48" s="209"/>
      <c r="F48" s="209"/>
      <c r="G48" s="10">
        <f>$G$5</f>
        <v>2019</v>
      </c>
      <c r="H48" s="54">
        <f>$H$6</f>
        <v>15</v>
      </c>
      <c r="I48" s="155">
        <f>$I$6</f>
        <v>1E-3</v>
      </c>
      <c r="J48" s="41">
        <f>$J$6</f>
        <v>1.2</v>
      </c>
      <c r="K48" s="42"/>
      <c r="L48" s="42">
        <v>0.05</v>
      </c>
      <c r="M48" s="164"/>
      <c r="N48" s="164"/>
      <c r="O48" s="164"/>
      <c r="P48" s="164"/>
      <c r="Q48" s="164"/>
      <c r="R48" s="54">
        <f>$R$6</f>
        <v>12</v>
      </c>
      <c r="S48" s="40"/>
      <c r="T48" s="40"/>
      <c r="U48" s="49"/>
      <c r="V48" s="42"/>
      <c r="W48" s="60">
        <f>LOOKUP(B48, FIXOM_VAROM!$C$8:$C$190, FIXOM_VAROM!$D$8:$D$190)</f>
        <v>50</v>
      </c>
      <c r="X48" s="40">
        <f>LOOKUP($B48, INVCOST!$C$8:$C$193, INVCOST!D$8:D$193)</f>
        <v>30.745000000000001</v>
      </c>
      <c r="Y48" s="40">
        <f>LOOKUP($B48, INVCOST!$C$8:$C$193, INVCOST!E$8:E$193)</f>
        <v>28.067</v>
      </c>
      <c r="Z48" s="40">
        <f>LOOKUP($B48, INVCOST!$C$8:$C$193, INVCOST!F$8:F$193)</f>
        <v>26.41</v>
      </c>
      <c r="AA48" s="40">
        <f>LOOKUP($B48, INVCOST!$C$8:$C$193, INVCOST!G$8:G$193)</f>
        <v>25.536000000000001</v>
      </c>
      <c r="AB48" s="40">
        <f>LOOKUP($B48, INVCOST!$C$8:$C$193, INVCOST!H$8:H$193)</f>
        <v>24.844999999999999</v>
      </c>
      <c r="AC48" s="40">
        <f>LOOKUP($B48, INVCOST!$C$8:$C$193, INVCOST!I$8:I$193)</f>
        <v>24.273</v>
      </c>
      <c r="AD48" s="40">
        <f>LOOKUP($B48, INVCOST!$C$8:$C$193, INVCOST!J$8:J$193)</f>
        <v>23.803000000000001</v>
      </c>
      <c r="AE48" s="40">
        <f>LOOKUP($B48, INVCOST!$C$8:$C$193, INVCOST!K$8:K$193)</f>
        <v>23.42</v>
      </c>
    </row>
    <row r="49" spans="1:32" s="39" customFormat="1" x14ac:dyDescent="0.3">
      <c r="B49" s="209"/>
      <c r="C49" s="209"/>
      <c r="D49" s="209" t="s">
        <v>39</v>
      </c>
      <c r="E49" s="209"/>
      <c r="F49" s="209"/>
      <c r="G49" s="50"/>
      <c r="H49" s="40"/>
      <c r="I49" s="41"/>
      <c r="J49" s="41"/>
      <c r="K49" s="42"/>
      <c r="L49" s="42"/>
      <c r="M49" s="164"/>
      <c r="N49" s="164"/>
      <c r="O49" s="164"/>
      <c r="P49" s="164"/>
      <c r="Q49" s="164"/>
      <c r="R49" s="49"/>
      <c r="S49" s="49"/>
      <c r="T49" s="49"/>
      <c r="U49" s="49"/>
      <c r="V49" s="42"/>
      <c r="W49" s="41"/>
      <c r="X49" s="41"/>
      <c r="Y49" s="41"/>
      <c r="Z49" s="41"/>
      <c r="AA49" s="41"/>
      <c r="AB49" s="41"/>
      <c r="AC49" s="41"/>
      <c r="AD49" s="41"/>
      <c r="AE49" s="41"/>
    </row>
    <row r="50" spans="1:32" s="39" customFormat="1" x14ac:dyDescent="0.3">
      <c r="B50" s="209"/>
      <c r="C50" s="209"/>
      <c r="D50" s="209"/>
      <c r="E50" s="209"/>
      <c r="F50" s="209" t="s">
        <v>45</v>
      </c>
      <c r="G50" s="50"/>
      <c r="H50" s="40"/>
      <c r="I50" s="41"/>
      <c r="J50" s="41"/>
      <c r="K50" s="42"/>
      <c r="L50" s="42"/>
      <c r="M50" s="164">
        <f>LOOKUP($B48, CEFF!$C$10:$C$156, CEFF!F$10:F$156)</f>
        <v>0.90908999999999995</v>
      </c>
      <c r="N50" s="164">
        <f>LOOKUP($B48, CEFF!$C$10:$C$156, CEFF!G$10:G$156)</f>
        <v>0.90908999999999995</v>
      </c>
      <c r="O50" s="164">
        <f>LOOKUP($B48, CEFF!$C$10:$C$156, CEFF!H$10:H$156)</f>
        <v>1.0101</v>
      </c>
      <c r="P50" s="164">
        <f>LOOKUP($B48, CEFF!$C$10:$C$156, CEFF!I$10:I$156)</f>
        <v>1.11111</v>
      </c>
      <c r="Q50" s="164">
        <f>LOOKUP($B48, CEFF!$C$10:$C$156, CEFF!J$10:J$156)</f>
        <v>1.2345699999999999</v>
      </c>
      <c r="R50" s="49"/>
      <c r="S50" s="49"/>
      <c r="T50" s="49"/>
      <c r="U50" s="49"/>
      <c r="V50" s="42"/>
      <c r="W50" s="41"/>
      <c r="X50" s="41"/>
      <c r="Y50" s="41"/>
      <c r="Z50" s="41"/>
      <c r="AA50" s="41"/>
      <c r="AB50" s="41"/>
      <c r="AC50" s="41"/>
      <c r="AD50" s="41"/>
      <c r="AE50" s="41"/>
    </row>
    <row r="51" spans="1:32" s="39" customFormat="1" x14ac:dyDescent="0.3">
      <c r="B51" s="213"/>
      <c r="C51" s="213"/>
      <c r="D51" s="213"/>
      <c r="E51" s="213"/>
      <c r="F51" s="213" t="s">
        <v>46</v>
      </c>
      <c r="G51" s="180"/>
      <c r="H51" s="181"/>
      <c r="I51" s="179"/>
      <c r="J51" s="179"/>
      <c r="K51" s="177"/>
      <c r="L51" s="177"/>
      <c r="M51" s="262">
        <f>LOOKUP($B48, CEFF!$C$163:$C$330, CEFF!F$163:F$330)</f>
        <v>1.0101</v>
      </c>
      <c r="N51" s="262">
        <f>LOOKUP($B48, CEFF!$C$163:$C$330, CEFF!G$163:G$330)</f>
        <v>0.99009999999999998</v>
      </c>
      <c r="O51" s="262">
        <f>LOOKUP($B48, CEFF!$C$163:$C$330, CEFF!H$163:H$330)</f>
        <v>1.05263</v>
      </c>
      <c r="P51" s="262">
        <f>LOOKUP($B48, CEFF!$C$163:$C$330, CEFF!I$163:I$330)</f>
        <v>1.1235999999999999</v>
      </c>
      <c r="Q51" s="262">
        <f>LOOKUP($B48, CEFF!$C$163:$C$330, CEFF!J$163:J$330)</f>
        <v>1.19048</v>
      </c>
      <c r="R51" s="178"/>
      <c r="S51" s="178"/>
      <c r="T51" s="178"/>
      <c r="U51" s="178"/>
      <c r="V51" s="177"/>
      <c r="W51" s="179"/>
      <c r="X51" s="179"/>
      <c r="Y51" s="179"/>
      <c r="Z51" s="179"/>
      <c r="AA51" s="179"/>
      <c r="AB51" s="179"/>
      <c r="AC51" s="179"/>
      <c r="AD51" s="179"/>
      <c r="AE51" s="179"/>
    </row>
    <row r="52" spans="1:32" s="39" customFormat="1" x14ac:dyDescent="0.3">
      <c r="H52" s="36"/>
      <c r="I52" s="38"/>
      <c r="J52" s="38"/>
      <c r="K52" s="47"/>
      <c r="L52" s="47"/>
      <c r="M52" s="48"/>
      <c r="N52" s="48"/>
      <c r="O52" s="48"/>
      <c r="P52" s="48"/>
      <c r="Q52" s="48"/>
      <c r="R52" s="36"/>
      <c r="S52" s="36"/>
      <c r="T52" s="36"/>
      <c r="U52" s="36"/>
      <c r="V52" s="38"/>
      <c r="W52" s="38"/>
      <c r="X52" s="38"/>
      <c r="Y52" s="38"/>
      <c r="Z52" s="38"/>
      <c r="AA52" s="38"/>
      <c r="AB52" s="38"/>
      <c r="AC52" s="38"/>
      <c r="AD52" s="38"/>
      <c r="AE52" s="38"/>
    </row>
    <row r="54" spans="1:32" x14ac:dyDescent="0.3">
      <c r="W54" s="148"/>
      <c r="X54" s="147"/>
      <c r="Y54" s="147"/>
      <c r="Z54" s="147"/>
      <c r="AA54" s="147"/>
      <c r="AB54" s="147"/>
      <c r="AC54" s="147"/>
      <c r="AD54" s="147"/>
      <c r="AE54" s="147"/>
    </row>
    <row r="55" spans="1:32" x14ac:dyDescent="0.3">
      <c r="B55" s="6" t="s">
        <v>391</v>
      </c>
      <c r="C55" s="7"/>
      <c r="D55" s="4"/>
      <c r="E55" s="4"/>
      <c r="F55" s="9" t="s">
        <v>1</v>
      </c>
      <c r="G55" s="4"/>
      <c r="H55" s="9"/>
      <c r="I55" s="4"/>
    </row>
    <row r="56" spans="1:32" ht="27.9" customHeight="1" x14ac:dyDescent="0.3">
      <c r="B56" s="199" t="s">
        <v>2</v>
      </c>
      <c r="C56" s="199" t="s">
        <v>3</v>
      </c>
      <c r="D56" s="199" t="s">
        <v>4</v>
      </c>
      <c r="E56" s="199" t="s">
        <v>5</v>
      </c>
      <c r="F56" s="200" t="s">
        <v>6</v>
      </c>
      <c r="G56" s="200" t="s">
        <v>186</v>
      </c>
      <c r="H56" s="201" t="s">
        <v>185</v>
      </c>
      <c r="I56" s="201" t="s">
        <v>11</v>
      </c>
      <c r="J56" s="200" t="s">
        <v>12</v>
      </c>
      <c r="K56" s="200" t="s">
        <v>7</v>
      </c>
      <c r="L56" s="200" t="s">
        <v>8</v>
      </c>
      <c r="M56" s="201" t="s">
        <v>688</v>
      </c>
      <c r="N56" s="201" t="s">
        <v>321</v>
      </c>
      <c r="O56" s="201" t="s">
        <v>322</v>
      </c>
      <c r="P56" s="201" t="s">
        <v>9</v>
      </c>
      <c r="Q56" s="201" t="s">
        <v>10</v>
      </c>
      <c r="R56" s="201" t="s">
        <v>687</v>
      </c>
      <c r="S56" s="201" t="s">
        <v>448</v>
      </c>
      <c r="T56" s="201" t="s">
        <v>13</v>
      </c>
      <c r="U56" s="201" t="s">
        <v>382</v>
      </c>
      <c r="V56" s="201" t="s">
        <v>42</v>
      </c>
      <c r="W56" s="201" t="s">
        <v>14</v>
      </c>
      <c r="X56" s="201" t="s">
        <v>381</v>
      </c>
      <c r="Y56" s="201" t="s">
        <v>15</v>
      </c>
      <c r="Z56" s="201" t="s">
        <v>16</v>
      </c>
      <c r="AA56" s="201" t="s">
        <v>17</v>
      </c>
      <c r="AB56" s="201" t="s">
        <v>18</v>
      </c>
      <c r="AC56" s="201" t="s">
        <v>19</v>
      </c>
      <c r="AD56" s="201" t="s">
        <v>20</v>
      </c>
      <c r="AE56" s="201" t="s">
        <v>21</v>
      </c>
      <c r="AF56" s="32"/>
    </row>
    <row r="57" spans="1:32" ht="33.75" customHeight="1" thickBot="1" x14ac:dyDescent="0.35">
      <c r="B57" s="202" t="s">
        <v>22</v>
      </c>
      <c r="C57" s="202"/>
      <c r="D57" s="202"/>
      <c r="E57" s="202"/>
      <c r="F57" s="203" t="s">
        <v>23</v>
      </c>
      <c r="G57" s="203">
        <v>2019</v>
      </c>
      <c r="H57" s="204" t="s">
        <v>26</v>
      </c>
      <c r="I57" s="204" t="s">
        <v>543</v>
      </c>
      <c r="J57" s="204" t="s">
        <v>25</v>
      </c>
      <c r="K57" s="203"/>
      <c r="L57" s="203"/>
      <c r="M57" s="205" t="s">
        <v>653</v>
      </c>
      <c r="N57" s="205" t="str">
        <f>M57</f>
        <v>Vkm/MJ</v>
      </c>
      <c r="O57" s="205" t="str">
        <f>N57</f>
        <v>Vkm/MJ</v>
      </c>
      <c r="P57" s="205" t="str">
        <f>O57</f>
        <v>Vkm/MJ</v>
      </c>
      <c r="Q57" s="205" t="str">
        <f>P57</f>
        <v>Vkm/MJ</v>
      </c>
      <c r="R57" s="204" t="s">
        <v>658</v>
      </c>
      <c r="S57" s="204" t="s">
        <v>658</v>
      </c>
      <c r="T57" s="204" t="s">
        <v>658</v>
      </c>
      <c r="U57" s="204" t="s">
        <v>658</v>
      </c>
      <c r="V57" s="206" t="s">
        <v>662</v>
      </c>
      <c r="W57" s="206" t="s">
        <v>661</v>
      </c>
      <c r="X57" s="206" t="s">
        <v>657</v>
      </c>
      <c r="Y57" s="206" t="s">
        <v>657</v>
      </c>
      <c r="Z57" s="206" t="s">
        <v>657</v>
      </c>
      <c r="AA57" s="206" t="s">
        <v>657</v>
      </c>
      <c r="AB57" s="206" t="s">
        <v>657</v>
      </c>
      <c r="AC57" s="206" t="s">
        <v>657</v>
      </c>
      <c r="AD57" s="206" t="s">
        <v>657</v>
      </c>
      <c r="AE57" s="206" t="s">
        <v>657</v>
      </c>
      <c r="AF57" s="86"/>
    </row>
    <row r="58" spans="1:32" s="39" customFormat="1" x14ac:dyDescent="0.3">
      <c r="A58"/>
      <c r="B58" s="209" t="s">
        <v>214</v>
      </c>
      <c r="C58" s="208" t="str">
        <f ca="1">LOOKUP(B58, TRA_COMM_PRO!$C$7:$C$182, TRA_COMM_PRO!$D$7:D85)</f>
        <v>Car.DST.City.01.</v>
      </c>
      <c r="D58" s="209" t="s">
        <v>48</v>
      </c>
      <c r="E58" s="209"/>
      <c r="F58" s="209"/>
      <c r="G58" s="108">
        <f>$G$57</f>
        <v>2019</v>
      </c>
      <c r="H58" s="110">
        <v>15</v>
      </c>
      <c r="I58" s="65">
        <f>10^-3</f>
        <v>1E-3</v>
      </c>
      <c r="J58" s="41">
        <v>1.2</v>
      </c>
      <c r="K58" s="42"/>
      <c r="L58" s="42"/>
      <c r="M58" s="43"/>
      <c r="N58" s="43"/>
      <c r="O58" s="43"/>
      <c r="P58" s="43"/>
      <c r="Q58" s="43"/>
      <c r="R58" s="40">
        <v>12</v>
      </c>
      <c r="S58" s="40"/>
      <c r="T58" s="40"/>
      <c r="U58" s="40"/>
      <c r="V58" s="42"/>
      <c r="W58" s="60">
        <f>LOOKUP(B58, FIXOM_VAROM!$C$8:$C$190, FIXOM_VAROM!$D$8:$D$190)</f>
        <v>50</v>
      </c>
      <c r="X58" s="40">
        <f>LOOKUP($B58, INVCOST!$C$8:$C$193, INVCOST!D$8:D$193)</f>
        <v>21.434999999999999</v>
      </c>
      <c r="Y58" s="40">
        <f>LOOKUP($B58, INVCOST!$C$8:$C$193, INVCOST!E$8:E$193)</f>
        <v>21.155000000000001</v>
      </c>
      <c r="Z58" s="40">
        <f>LOOKUP($B58, INVCOST!$C$8:$C$193, INVCOST!F$8:F$193)</f>
        <v>21.132000000000001</v>
      </c>
      <c r="AA58" s="40">
        <f>LOOKUP($B58, INVCOST!$C$8:$C$193, INVCOST!G$8:G$193)</f>
        <v>21.117999999999999</v>
      </c>
      <c r="AB58" s="40">
        <f>LOOKUP($B58, INVCOST!$C$8:$C$193, INVCOST!H$8:H$193)</f>
        <v>21.108000000000001</v>
      </c>
      <c r="AC58" s="40">
        <f>LOOKUP($B58, INVCOST!$C$8:$C$193, INVCOST!I$8:I$193)</f>
        <v>21.1</v>
      </c>
      <c r="AD58" s="40">
        <f>LOOKUP($B58, INVCOST!$C$8:$C$193, INVCOST!J$8:J$193)</f>
        <v>21.093</v>
      </c>
      <c r="AE58" s="40">
        <f>LOOKUP($B58, INVCOST!$C$8:$C$193, INVCOST!K$8:K$193)</f>
        <v>21.088000000000001</v>
      </c>
    </row>
    <row r="59" spans="1:32" s="39" customFormat="1" x14ac:dyDescent="0.3">
      <c r="A59"/>
      <c r="B59" s="209"/>
      <c r="C59" s="208"/>
      <c r="D59" s="209" t="s">
        <v>44</v>
      </c>
      <c r="E59" s="209"/>
      <c r="F59" s="209"/>
      <c r="G59" s="108"/>
      <c r="H59" s="110"/>
      <c r="I59" s="65"/>
      <c r="J59" s="41"/>
      <c r="K59" s="42"/>
      <c r="L59" s="42"/>
      <c r="M59" s="43"/>
      <c r="N59" s="43"/>
      <c r="O59" s="43"/>
      <c r="P59" s="43"/>
      <c r="Q59" s="43"/>
      <c r="R59" s="40"/>
      <c r="S59" s="40"/>
      <c r="T59" s="40"/>
      <c r="U59" s="40"/>
      <c r="V59" s="42"/>
      <c r="W59" s="60"/>
      <c r="X59" s="40"/>
      <c r="Y59" s="40"/>
      <c r="Z59" s="40"/>
      <c r="AA59" s="40"/>
      <c r="AB59" s="40"/>
      <c r="AC59" s="40"/>
      <c r="AD59" s="40"/>
      <c r="AE59" s="40"/>
    </row>
    <row r="60" spans="1:32" s="39" customFormat="1" x14ac:dyDescent="0.3">
      <c r="A60"/>
      <c r="B60" s="209"/>
      <c r="C60" s="209"/>
      <c r="D60" s="209"/>
      <c r="E60" s="209"/>
      <c r="F60" s="209" t="s">
        <v>290</v>
      </c>
      <c r="G60" s="97"/>
      <c r="H60" s="97"/>
      <c r="I60" s="65"/>
      <c r="J60" s="41"/>
      <c r="K60" s="42"/>
      <c r="L60" s="42"/>
      <c r="M60" s="164">
        <f>LOOKUP($B58, CEFF!$C$10:$C$156, CEFF!F$10:F$156)</f>
        <v>0.57471000000000005</v>
      </c>
      <c r="N60" s="164">
        <f>LOOKUP($B58, CEFF!$C$10:$C$156, CEFF!G$10:G$156)</f>
        <v>0.61350000000000005</v>
      </c>
      <c r="O60" s="164">
        <f>LOOKUP($B58, CEFF!$C$10:$C$156, CEFF!H$10:H$156)</f>
        <v>0.64515999999999996</v>
      </c>
      <c r="P60" s="164">
        <f>LOOKUP($B58, CEFF!$C$10:$C$156, CEFF!I$10:I$156)</f>
        <v>0.68027000000000004</v>
      </c>
      <c r="Q60" s="164">
        <f>LOOKUP($B58, CEFF!$C$10:$C$156, CEFF!J$10:J$156)</f>
        <v>0.71428999999999998</v>
      </c>
      <c r="R60" s="40"/>
      <c r="S60" s="40"/>
      <c r="T60" s="40"/>
      <c r="U60" s="40"/>
      <c r="V60" s="41"/>
      <c r="W60" s="60"/>
      <c r="X60" s="40"/>
      <c r="Y60" s="40"/>
      <c r="Z60" s="40"/>
      <c r="AA60" s="40"/>
      <c r="AB60" s="40"/>
      <c r="AC60" s="40"/>
      <c r="AD60" s="40"/>
      <c r="AE60" s="40"/>
    </row>
    <row r="61" spans="1:32" s="39" customFormat="1" x14ac:dyDescent="0.3">
      <c r="A61"/>
      <c r="B61" s="209"/>
      <c r="C61" s="210"/>
      <c r="D61" s="209"/>
      <c r="E61" s="209"/>
      <c r="F61" s="210" t="s">
        <v>289</v>
      </c>
      <c r="G61" s="109"/>
      <c r="H61" s="109"/>
      <c r="I61" s="46"/>
      <c r="J61" s="46"/>
      <c r="K61" s="44"/>
      <c r="L61" s="44"/>
      <c r="M61" s="259">
        <f>LOOKUP($B58, CEFF!$C$163:$C$330, CEFF!F$163:F$330)</f>
        <v>0.50251000000000001</v>
      </c>
      <c r="N61" s="259">
        <f>LOOKUP($B58, CEFF!$C$163:$C$330, CEFF!G$163:G$330)</f>
        <v>0.53763000000000005</v>
      </c>
      <c r="O61" s="259">
        <f>LOOKUP($B58, CEFF!$C$163:$C$330, CEFF!H$163:H$330)</f>
        <v>0.56496999999999997</v>
      </c>
      <c r="P61" s="259">
        <f>LOOKUP($B58, CEFF!$C$163:$C$330, CEFF!I$163:I$330)</f>
        <v>0.59523999999999999</v>
      </c>
      <c r="Q61" s="259">
        <f>LOOKUP($B58, CEFF!$C$163:$C$330, CEFF!J$163:J$330)</f>
        <v>0.625</v>
      </c>
      <c r="R61" s="40"/>
      <c r="S61" s="40"/>
      <c r="T61" s="40"/>
      <c r="U61" s="40"/>
      <c r="V61" s="41"/>
      <c r="W61" s="60"/>
      <c r="X61" s="45"/>
      <c r="Y61" s="45"/>
      <c r="Z61" s="45"/>
      <c r="AA61" s="45"/>
      <c r="AB61" s="45"/>
      <c r="AC61" s="45"/>
      <c r="AD61" s="45"/>
      <c r="AE61" s="45"/>
    </row>
    <row r="62" spans="1:32" s="39" customFormat="1" x14ac:dyDescent="0.3">
      <c r="A62"/>
      <c r="B62" s="212" t="s">
        <v>216</v>
      </c>
      <c r="C62" s="208" t="str">
        <f ca="1">LOOKUP(B62, TRA_COMM_PRO!$C$7:$C$182, TRA_COMM_PRO!$D$7:D92)</f>
        <v>Car.ELC.City.01.</v>
      </c>
      <c r="D62" s="212" t="s">
        <v>27</v>
      </c>
      <c r="E62" s="212"/>
      <c r="F62" s="212"/>
      <c r="G62" s="108">
        <f>$G$57</f>
        <v>2019</v>
      </c>
      <c r="H62" s="110">
        <f>H10</f>
        <v>15</v>
      </c>
      <c r="I62" s="65">
        <f>$I$58</f>
        <v>1E-3</v>
      </c>
      <c r="J62" s="41">
        <f>$J$58</f>
        <v>1.2</v>
      </c>
      <c r="K62" s="56"/>
      <c r="L62" s="56"/>
      <c r="M62" s="260"/>
      <c r="N62" s="260"/>
      <c r="O62" s="260"/>
      <c r="P62" s="260"/>
      <c r="Q62" s="260"/>
      <c r="R62" s="54">
        <f>$R$58</f>
        <v>12</v>
      </c>
      <c r="S62" s="54"/>
      <c r="T62" s="54"/>
      <c r="U62" s="54"/>
      <c r="V62" s="56"/>
      <c r="W62" s="62">
        <f>LOOKUP(B62, FIXOM_VAROM!$C$8:$C$190, FIXOM_VAROM!$D$8:$D$190)</f>
        <v>40.000000000000007</v>
      </c>
      <c r="X62" s="40">
        <f>LOOKUP($B62, INVCOST!$C$8:$C$193, INVCOST!D$8:D$193)</f>
        <v>41.054000000000002</v>
      </c>
      <c r="Y62" s="40">
        <f>LOOKUP($B62, INVCOST!$C$8:$C$193, INVCOST!E$8:E$193)</f>
        <v>35.389000000000003</v>
      </c>
      <c r="Z62" s="40">
        <f>LOOKUP($B62, INVCOST!$C$8:$C$193, INVCOST!F$8:F$193)</f>
        <v>31.187999999999999</v>
      </c>
      <c r="AA62" s="40">
        <f>LOOKUP($B62, INVCOST!$C$8:$C$193, INVCOST!G$8:G$193)</f>
        <v>29.695</v>
      </c>
      <c r="AB62" s="40">
        <f>LOOKUP($B62, INVCOST!$C$8:$C$193, INVCOST!H$8:H$193)</f>
        <v>28.536999999999999</v>
      </c>
      <c r="AC62" s="40">
        <f>LOOKUP($B62, INVCOST!$C$8:$C$193, INVCOST!I$8:I$193)</f>
        <v>27.753</v>
      </c>
      <c r="AD62" s="40">
        <f>LOOKUP($B62, INVCOST!$C$8:$C$193, INVCOST!J$8:J$193)</f>
        <v>27.114000000000001</v>
      </c>
      <c r="AE62" s="40">
        <f>LOOKUP($B62, INVCOST!$C$8:$C$193, INVCOST!K$8:K$193)</f>
        <v>26.594000000000001</v>
      </c>
    </row>
    <row r="63" spans="1:32" s="39" customFormat="1" x14ac:dyDescent="0.3">
      <c r="A63"/>
      <c r="B63" s="209"/>
      <c r="C63" s="209"/>
      <c r="D63" s="209"/>
      <c r="E63" s="209"/>
      <c r="F63" s="209" t="s">
        <v>290</v>
      </c>
      <c r="G63" s="97"/>
      <c r="H63" s="97"/>
      <c r="I63" s="41"/>
      <c r="J63" s="41"/>
      <c r="K63" s="42"/>
      <c r="L63" s="42"/>
      <c r="M63" s="164">
        <f>LOOKUP($B62, CEFF!$C$10:$C$156, CEFF!F$10:F$156)</f>
        <v>1.2987</v>
      </c>
      <c r="N63" s="164">
        <f>LOOKUP($B62, CEFF!$C$10:$C$156, CEFF!G$10:G$156)</f>
        <v>1.2987</v>
      </c>
      <c r="O63" s="164">
        <f>LOOKUP($B62, CEFF!$C$10:$C$156, CEFF!H$10:H$156)</f>
        <v>1.3698600000000001</v>
      </c>
      <c r="P63" s="164">
        <f>LOOKUP($B62, CEFF!$C$10:$C$156, CEFF!I$10:I$156)</f>
        <v>1.4285699999999999</v>
      </c>
      <c r="Q63" s="164">
        <f>LOOKUP($B62, CEFF!$C$10:$C$156, CEFF!J$10:J$156)</f>
        <v>1.51515</v>
      </c>
      <c r="R63" s="40"/>
      <c r="S63" s="40"/>
      <c r="T63" s="50"/>
      <c r="U63" s="50"/>
      <c r="V63" s="41"/>
      <c r="W63" s="60"/>
      <c r="X63" s="40"/>
      <c r="Y63" s="40"/>
      <c r="Z63" s="40"/>
      <c r="AA63" s="40"/>
      <c r="AB63" s="40"/>
      <c r="AC63" s="40"/>
      <c r="AD63" s="40"/>
      <c r="AE63" s="40"/>
    </row>
    <row r="64" spans="1:32" s="39" customFormat="1" x14ac:dyDescent="0.3">
      <c r="A64"/>
      <c r="B64" s="209"/>
      <c r="C64" s="210"/>
      <c r="D64" s="209"/>
      <c r="E64" s="209"/>
      <c r="F64" s="210" t="s">
        <v>289</v>
      </c>
      <c r="G64" s="109"/>
      <c r="H64" s="109"/>
      <c r="I64" s="46"/>
      <c r="J64" s="46"/>
      <c r="K64" s="42"/>
      <c r="L64" s="42"/>
      <c r="M64" s="259">
        <f>LOOKUP($B62, CEFF!$C$163:$C$330, CEFF!F$163:F$330)</f>
        <v>1.6129</v>
      </c>
      <c r="N64" s="259">
        <f>LOOKUP($B62, CEFF!$C$163:$C$330, CEFF!G$163:G$330)</f>
        <v>1.6129</v>
      </c>
      <c r="O64" s="259">
        <f>LOOKUP($B62, CEFF!$C$163:$C$330, CEFF!H$163:H$330)</f>
        <v>1.69492</v>
      </c>
      <c r="P64" s="259">
        <f>LOOKUP($B62, CEFF!$C$163:$C$330, CEFF!I$163:I$330)</f>
        <v>1.7857099999999999</v>
      </c>
      <c r="Q64" s="259">
        <f>LOOKUP($B62, CEFF!$C$163:$C$330, CEFF!J$163:J$330)</f>
        <v>1.88679</v>
      </c>
      <c r="R64" s="40"/>
      <c r="S64" s="40"/>
      <c r="T64" s="40"/>
      <c r="U64" s="40"/>
      <c r="V64" s="41"/>
      <c r="W64" s="60"/>
      <c r="X64" s="45"/>
      <c r="Y64" s="45"/>
      <c r="Z64" s="45"/>
      <c r="AA64" s="45"/>
      <c r="AB64" s="45"/>
      <c r="AC64" s="45"/>
      <c r="AD64" s="45"/>
      <c r="AE64" s="45"/>
    </row>
    <row r="65" spans="1:31" s="39" customFormat="1" x14ac:dyDescent="0.3">
      <c r="A65"/>
      <c r="B65" s="212" t="s">
        <v>218</v>
      </c>
      <c r="C65" s="208" t="str">
        <f ca="1">LOOKUP(B65, TRA_COMM_PRO!$C$7:$C$182, TRA_COMM_PRO!$D$7:D95)</f>
        <v>Car.ETH.City.01.</v>
      </c>
      <c r="D65" s="212" t="s">
        <v>51</v>
      </c>
      <c r="E65" s="212"/>
      <c r="F65" s="212"/>
      <c r="G65" s="108">
        <f>$G$57</f>
        <v>2019</v>
      </c>
      <c r="H65" s="110">
        <f>$H$58</f>
        <v>15</v>
      </c>
      <c r="I65" s="65">
        <f>$I$58</f>
        <v>1E-3</v>
      </c>
      <c r="J65" s="41">
        <f>$J$58</f>
        <v>1.2</v>
      </c>
      <c r="K65" s="56"/>
      <c r="L65" s="56"/>
      <c r="M65" s="260"/>
      <c r="N65" s="260"/>
      <c r="O65" s="260"/>
      <c r="P65" s="260"/>
      <c r="Q65" s="260"/>
      <c r="R65" s="54">
        <f>$R$58</f>
        <v>12</v>
      </c>
      <c r="S65" s="54"/>
      <c r="T65" s="54"/>
      <c r="U65" s="54"/>
      <c r="V65" s="56"/>
      <c r="W65" s="62">
        <f>LOOKUP(B65, FIXOM_VAROM!$C$8:$C$190, FIXOM_VAROM!$D$8:$D$190)</f>
        <v>50</v>
      </c>
      <c r="X65" s="40">
        <f>LOOKUP($B65, INVCOST!$C$8:$C$193, INVCOST!D$8:D$193)</f>
        <v>19.734999999999999</v>
      </c>
      <c r="Y65" s="40">
        <f>LOOKUP($B65, INVCOST!$C$8:$C$193, INVCOST!E$8:E$193)</f>
        <v>19.452000000000002</v>
      </c>
      <c r="Z65" s="40">
        <f>LOOKUP($B65, INVCOST!$C$8:$C$193, INVCOST!F$8:F$193)</f>
        <v>19.43</v>
      </c>
      <c r="AA65" s="40">
        <f>LOOKUP($B65, INVCOST!$C$8:$C$193, INVCOST!G$8:G$193)</f>
        <v>19.414999999999999</v>
      </c>
      <c r="AB65" s="40">
        <f>LOOKUP($B65, INVCOST!$C$8:$C$193, INVCOST!H$8:H$193)</f>
        <v>19.402999999999999</v>
      </c>
      <c r="AC65" s="40">
        <f>LOOKUP($B65, INVCOST!$C$8:$C$193, INVCOST!I$8:I$193)</f>
        <v>19.393000000000001</v>
      </c>
      <c r="AD65" s="40">
        <f>LOOKUP($B65, INVCOST!$C$8:$C$193, INVCOST!J$8:J$193)</f>
        <v>19.385000000000002</v>
      </c>
      <c r="AE65" s="40">
        <f>LOOKUP($B65, INVCOST!$C$8:$C$193, INVCOST!K$8:K$193)</f>
        <v>19.378</v>
      </c>
    </row>
    <row r="66" spans="1:31" s="39" customFormat="1" x14ac:dyDescent="0.3">
      <c r="A66"/>
      <c r="B66" s="209"/>
      <c r="C66" s="209"/>
      <c r="D66" s="209" t="s">
        <v>39</v>
      </c>
      <c r="E66" s="209"/>
      <c r="F66" s="209"/>
      <c r="G66" s="97"/>
      <c r="H66" s="97"/>
      <c r="I66" s="41"/>
      <c r="J66" s="41"/>
      <c r="K66" s="42">
        <v>0.15</v>
      </c>
      <c r="L66" s="42"/>
      <c r="M66" s="164"/>
      <c r="N66" s="164"/>
      <c r="O66" s="164"/>
      <c r="P66" s="164"/>
      <c r="Q66" s="164"/>
      <c r="R66" s="40"/>
      <c r="S66" s="40"/>
      <c r="T66" s="40"/>
      <c r="U66" s="40"/>
      <c r="V66" s="41"/>
      <c r="W66" s="60"/>
      <c r="X66" s="40"/>
      <c r="Y66" s="40"/>
      <c r="Z66" s="40"/>
      <c r="AA66" s="40"/>
      <c r="AB66" s="40"/>
      <c r="AC66" s="40"/>
      <c r="AD66" s="40"/>
      <c r="AE66" s="40"/>
    </row>
    <row r="67" spans="1:31" s="39" customFormat="1" x14ac:dyDescent="0.3">
      <c r="A67"/>
      <c r="B67" s="209"/>
      <c r="C67" s="209"/>
      <c r="D67" s="209"/>
      <c r="E67" s="209"/>
      <c r="F67" s="209" t="s">
        <v>290</v>
      </c>
      <c r="G67" s="97"/>
      <c r="H67" s="97"/>
      <c r="I67" s="41"/>
      <c r="J67" s="41"/>
      <c r="K67" s="42"/>
      <c r="L67" s="42"/>
      <c r="M67" s="164">
        <f>LOOKUP($B65, CEFF!$C$10:$C$156, CEFF!F$10:F$156)</f>
        <v>0.51812999999999998</v>
      </c>
      <c r="N67" s="164">
        <f>LOOKUP($B65, CEFF!$C$10:$C$156, CEFF!G$10:G$156)</f>
        <v>0.55249000000000004</v>
      </c>
      <c r="O67" s="164">
        <f>LOOKUP($B65, CEFF!$C$10:$C$156, CEFF!H$10:H$156)</f>
        <v>0.58140000000000003</v>
      </c>
      <c r="P67" s="164">
        <f>LOOKUP($B65, CEFF!$C$10:$C$156, CEFF!I$10:I$156)</f>
        <v>0.61350000000000005</v>
      </c>
      <c r="Q67" s="164">
        <f>LOOKUP($B65, CEFF!$C$10:$C$156, CEFF!J$10:J$156)</f>
        <v>0.64515999999999996</v>
      </c>
      <c r="R67" s="40"/>
      <c r="S67" s="40"/>
      <c r="T67" s="40"/>
      <c r="U67" s="40"/>
      <c r="V67" s="42"/>
      <c r="W67" s="60"/>
      <c r="X67" s="40"/>
      <c r="Y67" s="40"/>
      <c r="Z67" s="40"/>
      <c r="AA67" s="40"/>
      <c r="AB67" s="40"/>
      <c r="AC67" s="40"/>
      <c r="AD67" s="40"/>
      <c r="AE67" s="40"/>
    </row>
    <row r="68" spans="1:31" s="39" customFormat="1" x14ac:dyDescent="0.3">
      <c r="A68"/>
      <c r="B68" s="209"/>
      <c r="C68" s="210"/>
      <c r="D68" s="209"/>
      <c r="E68" s="209"/>
      <c r="F68" s="210" t="s">
        <v>289</v>
      </c>
      <c r="G68" s="109"/>
      <c r="H68" s="109"/>
      <c r="I68" s="46"/>
      <c r="J68" s="46"/>
      <c r="K68" s="42"/>
      <c r="L68" s="42"/>
      <c r="M68" s="259">
        <f>LOOKUP($B65, CEFF!$C$163:$C$330, CEFF!F$163:F$330)</f>
        <v>0.42553000000000002</v>
      </c>
      <c r="N68" s="259">
        <f>LOOKUP($B65, CEFF!$C$163:$C$330, CEFF!G$163:G$330)</f>
        <v>0.45455000000000001</v>
      </c>
      <c r="O68" s="259">
        <f>LOOKUP($B65, CEFF!$C$163:$C$330, CEFF!H$163:H$330)</f>
        <v>0.47847000000000001</v>
      </c>
      <c r="P68" s="259">
        <f>LOOKUP($B65, CEFF!$C$163:$C$330, CEFF!I$163:I$330)</f>
        <v>0.50251000000000001</v>
      </c>
      <c r="Q68" s="259">
        <f>LOOKUP($B65, CEFF!$C$163:$C$330, CEFF!J$163:J$330)</f>
        <v>0.52910000000000001</v>
      </c>
      <c r="R68" s="40"/>
      <c r="S68" s="40"/>
      <c r="T68" s="40"/>
      <c r="U68" s="40"/>
      <c r="V68" s="42"/>
      <c r="W68" s="60"/>
      <c r="X68" s="45"/>
      <c r="Y68" s="45"/>
      <c r="Z68" s="45"/>
      <c r="AA68" s="45"/>
      <c r="AB68" s="45"/>
      <c r="AC68" s="45"/>
      <c r="AD68" s="45"/>
      <c r="AE68" s="45"/>
    </row>
    <row r="69" spans="1:31" s="39" customFormat="1" x14ac:dyDescent="0.3">
      <c r="A69"/>
      <c r="B69" s="212" t="s">
        <v>220</v>
      </c>
      <c r="C69" s="208" t="str">
        <f ca="1">LOOKUP(B69, TRA_COMM_PRO!$C$7:$C$182, TRA_COMM_PRO!$D$7:D191)</f>
        <v>Car.GAS.City.01.</v>
      </c>
      <c r="D69" s="212" t="s">
        <v>39</v>
      </c>
      <c r="E69" s="212"/>
      <c r="F69" s="212"/>
      <c r="G69" s="108">
        <f>$G$57</f>
        <v>2019</v>
      </c>
      <c r="H69" s="110">
        <f>$H$58</f>
        <v>15</v>
      </c>
      <c r="I69" s="65">
        <f>$I$58</f>
        <v>1E-3</v>
      </c>
      <c r="J69" s="41">
        <f>$J$58</f>
        <v>1.2</v>
      </c>
      <c r="K69" s="56"/>
      <c r="L69" s="56">
        <v>0.05</v>
      </c>
      <c r="M69" s="260"/>
      <c r="N69" s="260"/>
      <c r="O69" s="260"/>
      <c r="P69" s="260"/>
      <c r="Q69" s="260"/>
      <c r="R69" s="54">
        <f>$R$58</f>
        <v>12</v>
      </c>
      <c r="S69" s="54"/>
      <c r="T69" s="54"/>
      <c r="U69" s="54"/>
      <c r="V69" s="55"/>
      <c r="W69" s="62">
        <f>LOOKUP(B69, FIXOM_VAROM!$C$8:$C$190, FIXOM_VAROM!$D$8:$D$190)</f>
        <v>50</v>
      </c>
      <c r="X69" s="40">
        <f>LOOKUP($B69, INVCOST!$C$8:$C$193, INVCOST!D$8:D$193)</f>
        <v>19.734999999999999</v>
      </c>
      <c r="Y69" s="40">
        <f>LOOKUP($B69, INVCOST!$C$8:$C$193, INVCOST!E$8:E$193)</f>
        <v>19.452000000000002</v>
      </c>
      <c r="Z69" s="40">
        <f>LOOKUP($B69, INVCOST!$C$8:$C$193, INVCOST!F$8:F$193)</f>
        <v>19.43</v>
      </c>
      <c r="AA69" s="40">
        <f>LOOKUP($B69, INVCOST!$C$8:$C$193, INVCOST!G$8:G$193)</f>
        <v>19.414999999999999</v>
      </c>
      <c r="AB69" s="40">
        <f>LOOKUP($B69, INVCOST!$C$8:$C$193, INVCOST!H$8:H$193)</f>
        <v>19.402999999999999</v>
      </c>
      <c r="AC69" s="40">
        <f>LOOKUP($B69, INVCOST!$C$8:$C$193, INVCOST!I$8:I$193)</f>
        <v>19.393000000000001</v>
      </c>
      <c r="AD69" s="40">
        <f>LOOKUP($B69, INVCOST!$C$8:$C$193, INVCOST!J$8:J$193)</f>
        <v>19.385000000000002</v>
      </c>
      <c r="AE69" s="40">
        <f>LOOKUP($B69, INVCOST!$C$8:$C$193, INVCOST!K$8:K$193)</f>
        <v>19.378</v>
      </c>
    </row>
    <row r="70" spans="1:31" s="39" customFormat="1" x14ac:dyDescent="0.3">
      <c r="A70"/>
      <c r="B70" s="209"/>
      <c r="C70" s="209"/>
      <c r="D70" s="209" t="s">
        <v>53</v>
      </c>
      <c r="E70" s="209"/>
      <c r="F70" s="209"/>
      <c r="G70" s="97"/>
      <c r="H70" s="97"/>
      <c r="I70" s="41"/>
      <c r="J70" s="41"/>
      <c r="K70" s="42"/>
      <c r="L70" s="42"/>
      <c r="M70" s="164"/>
      <c r="N70" s="164"/>
      <c r="O70" s="164"/>
      <c r="P70" s="164"/>
      <c r="Q70" s="164"/>
      <c r="R70" s="40"/>
      <c r="S70" s="40"/>
      <c r="T70" s="40"/>
      <c r="U70" s="40"/>
      <c r="V70" s="41"/>
      <c r="W70" s="60"/>
      <c r="X70" s="40"/>
      <c r="Y70" s="40"/>
      <c r="Z70" s="40"/>
      <c r="AA70" s="40"/>
      <c r="AB70" s="40"/>
      <c r="AC70" s="40"/>
      <c r="AD70" s="40"/>
      <c r="AE70" s="40"/>
    </row>
    <row r="71" spans="1:31" s="39" customFormat="1" x14ac:dyDescent="0.3">
      <c r="A71"/>
      <c r="B71" s="209"/>
      <c r="C71" s="209"/>
      <c r="D71" s="209" t="s">
        <v>54</v>
      </c>
      <c r="E71" s="209"/>
      <c r="F71" s="209"/>
      <c r="G71" s="97"/>
      <c r="H71" s="97"/>
      <c r="I71" s="41"/>
      <c r="J71" s="41"/>
      <c r="K71" s="42"/>
      <c r="L71" s="42"/>
      <c r="M71" s="164"/>
      <c r="N71" s="164"/>
      <c r="O71" s="164"/>
      <c r="P71" s="164"/>
      <c r="Q71" s="164"/>
      <c r="R71" s="40"/>
      <c r="S71" s="40"/>
      <c r="T71" s="40"/>
      <c r="U71" s="40"/>
      <c r="V71" s="41"/>
      <c r="W71" s="60"/>
      <c r="X71" s="40"/>
      <c r="Y71" s="40"/>
      <c r="Z71" s="40"/>
      <c r="AA71" s="40"/>
      <c r="AB71" s="40"/>
      <c r="AC71" s="40"/>
      <c r="AD71" s="40"/>
      <c r="AE71" s="40"/>
    </row>
    <row r="72" spans="1:31" s="39" customFormat="1" x14ac:dyDescent="0.3">
      <c r="A72"/>
      <c r="B72" s="209"/>
      <c r="C72" s="209"/>
      <c r="D72" s="209"/>
      <c r="E72" s="209"/>
      <c r="F72" s="209" t="s">
        <v>290</v>
      </c>
      <c r="G72" s="97"/>
      <c r="H72" s="97"/>
      <c r="I72" s="41"/>
      <c r="J72" s="41"/>
      <c r="K72" s="42"/>
      <c r="L72" s="42"/>
      <c r="M72" s="164">
        <f>LOOKUP($B69, CEFF!$C$10:$C$156, CEFF!F$10:F$156)</f>
        <v>0.51812999999999998</v>
      </c>
      <c r="N72" s="164">
        <f>LOOKUP($B69, CEFF!$C$10:$C$156, CEFF!G$10:G$156)</f>
        <v>0.55249000000000004</v>
      </c>
      <c r="O72" s="164">
        <f>LOOKUP($B69, CEFF!$C$10:$C$156, CEFF!H$10:H$156)</f>
        <v>0.58140000000000003</v>
      </c>
      <c r="P72" s="164">
        <f>LOOKUP($B69, CEFF!$C$10:$C$156, CEFF!I$10:I$156)</f>
        <v>0.61350000000000005</v>
      </c>
      <c r="Q72" s="164">
        <f>LOOKUP($B69, CEFF!$C$10:$C$156, CEFF!J$10:J$156)</f>
        <v>0.64515999999999996</v>
      </c>
      <c r="R72" s="40"/>
      <c r="S72" s="40"/>
      <c r="T72" s="40"/>
      <c r="U72" s="40"/>
      <c r="V72" s="42"/>
      <c r="W72" s="60"/>
      <c r="X72" s="40"/>
      <c r="Y72" s="40"/>
      <c r="Z72" s="40"/>
      <c r="AA72" s="40"/>
      <c r="AB72" s="40"/>
      <c r="AC72" s="40"/>
      <c r="AD72" s="40"/>
      <c r="AE72" s="40"/>
    </row>
    <row r="73" spans="1:31" s="39" customFormat="1" x14ac:dyDescent="0.3">
      <c r="A73"/>
      <c r="B73" s="209"/>
      <c r="C73" s="210"/>
      <c r="D73" s="209"/>
      <c r="E73" s="209"/>
      <c r="F73" s="210" t="s">
        <v>289</v>
      </c>
      <c r="G73" s="109"/>
      <c r="H73" s="109"/>
      <c r="I73" s="46"/>
      <c r="J73" s="46"/>
      <c r="K73" s="42"/>
      <c r="L73" s="42"/>
      <c r="M73" s="259">
        <f>LOOKUP($B69, CEFF!$C$163:$C$330, CEFF!F$163:F$330)</f>
        <v>0.42553000000000002</v>
      </c>
      <c r="N73" s="259">
        <f>LOOKUP($B69, CEFF!$C$163:$C$330, CEFF!G$163:G$330)</f>
        <v>0.45455000000000001</v>
      </c>
      <c r="O73" s="259">
        <f>LOOKUP($B69, CEFF!$C$163:$C$330, CEFF!H$163:H$330)</f>
        <v>0.47847000000000001</v>
      </c>
      <c r="P73" s="259">
        <f>LOOKUP($B69, CEFF!$C$163:$C$330, CEFF!I$163:I$330)</f>
        <v>0.50251000000000001</v>
      </c>
      <c r="Q73" s="259">
        <f>LOOKUP($B69, CEFF!$C$163:$C$330, CEFF!J$163:J$330)</f>
        <v>0.52910000000000001</v>
      </c>
      <c r="R73" s="40"/>
      <c r="S73" s="40"/>
      <c r="T73" s="40"/>
      <c r="U73" s="40"/>
      <c r="V73" s="42"/>
      <c r="W73" s="60"/>
      <c r="X73" s="45"/>
      <c r="Y73" s="45"/>
      <c r="Z73" s="45"/>
      <c r="AA73" s="45"/>
      <c r="AB73" s="45"/>
      <c r="AC73" s="45"/>
      <c r="AD73" s="45"/>
      <c r="AE73" s="45"/>
    </row>
    <row r="74" spans="1:31" s="39" customFormat="1" x14ac:dyDescent="0.3">
      <c r="A74"/>
      <c r="B74" s="212" t="s">
        <v>222</v>
      </c>
      <c r="C74" s="208" t="str">
        <f ca="1">LOOKUP(B74, TRA_COMM_PRO!$C$7:$C$182, TRA_COMM_PRO!$D$7:D166)</f>
        <v>Car.GSL.City.01.</v>
      </c>
      <c r="D74" s="212" t="s">
        <v>39</v>
      </c>
      <c r="E74" s="212"/>
      <c r="F74" s="212"/>
      <c r="G74" s="108">
        <f>$G$57</f>
        <v>2019</v>
      </c>
      <c r="H74" s="110">
        <f>$H$58</f>
        <v>15</v>
      </c>
      <c r="I74" s="65">
        <f>$I$58</f>
        <v>1E-3</v>
      </c>
      <c r="J74" s="41">
        <f>$J$58</f>
        <v>1.2</v>
      </c>
      <c r="K74" s="56"/>
      <c r="L74" s="56"/>
      <c r="M74" s="260"/>
      <c r="N74" s="260"/>
      <c r="O74" s="260"/>
      <c r="P74" s="260"/>
      <c r="Q74" s="260"/>
      <c r="R74" s="54">
        <f>$R$58</f>
        <v>12</v>
      </c>
      <c r="S74" s="54"/>
      <c r="T74" s="54"/>
      <c r="U74" s="54"/>
      <c r="V74" s="56"/>
      <c r="W74" s="62">
        <f>LOOKUP(B74, FIXOM_VAROM!$C$8:$C$190, FIXOM_VAROM!$D$8:$D$190)</f>
        <v>50</v>
      </c>
      <c r="X74" s="40">
        <f>LOOKUP($B74, INVCOST!$C$8:$C$193, INVCOST!D$8:D$193)</f>
        <v>19.734999999999999</v>
      </c>
      <c r="Y74" s="40">
        <f>LOOKUP($B74, INVCOST!$C$8:$C$193, INVCOST!E$8:E$193)</f>
        <v>19.452000000000002</v>
      </c>
      <c r="Z74" s="40">
        <f>LOOKUP($B74, INVCOST!$C$8:$C$193, INVCOST!F$8:F$193)</f>
        <v>19.43</v>
      </c>
      <c r="AA74" s="40">
        <f>LOOKUP($B74, INVCOST!$C$8:$C$193, INVCOST!G$8:G$193)</f>
        <v>19.414999999999999</v>
      </c>
      <c r="AB74" s="40">
        <f>LOOKUP($B74, INVCOST!$C$8:$C$193, INVCOST!H$8:H$193)</f>
        <v>19.402999999999999</v>
      </c>
      <c r="AC74" s="40">
        <f>LOOKUP($B74, INVCOST!$C$8:$C$193, INVCOST!I$8:I$193)</f>
        <v>19.393000000000001</v>
      </c>
      <c r="AD74" s="40">
        <f>LOOKUP($B74, INVCOST!$C$8:$C$193, INVCOST!J$8:J$193)</f>
        <v>19.385000000000002</v>
      </c>
      <c r="AE74" s="40">
        <f>LOOKUP($B74, INVCOST!$C$8:$C$193, INVCOST!K$8:K$193)</f>
        <v>19.378</v>
      </c>
    </row>
    <row r="75" spans="1:31" s="39" customFormat="1" x14ac:dyDescent="0.3">
      <c r="A75"/>
      <c r="B75" s="209"/>
      <c r="C75" s="209"/>
      <c r="D75" s="209" t="s">
        <v>40</v>
      </c>
      <c r="E75" s="209"/>
      <c r="F75" s="209"/>
      <c r="G75" s="97"/>
      <c r="H75" s="97"/>
      <c r="I75" s="41"/>
      <c r="J75" s="41"/>
      <c r="K75" s="42"/>
      <c r="L75" s="42">
        <v>0.05</v>
      </c>
      <c r="M75" s="164"/>
      <c r="N75" s="164"/>
      <c r="O75" s="164"/>
      <c r="P75" s="164"/>
      <c r="Q75" s="164"/>
      <c r="R75" s="40"/>
      <c r="S75" s="40"/>
      <c r="T75" s="40"/>
      <c r="U75" s="40"/>
      <c r="V75" s="41"/>
      <c r="W75" s="60"/>
      <c r="X75" s="40"/>
      <c r="Y75" s="40"/>
      <c r="Z75" s="40"/>
      <c r="AA75" s="40"/>
      <c r="AB75" s="40"/>
      <c r="AC75" s="40"/>
      <c r="AD75" s="40"/>
      <c r="AE75" s="40"/>
    </row>
    <row r="76" spans="1:31" s="39" customFormat="1" x14ac:dyDescent="0.3">
      <c r="A76"/>
      <c r="B76" s="209"/>
      <c r="C76" s="209"/>
      <c r="D76" s="209"/>
      <c r="E76" s="209"/>
      <c r="F76" s="209" t="s">
        <v>290</v>
      </c>
      <c r="G76" s="97"/>
      <c r="H76" s="97"/>
      <c r="I76" s="41"/>
      <c r="J76" s="41"/>
      <c r="K76" s="42"/>
      <c r="L76" s="42"/>
      <c r="M76" s="164">
        <f>LOOKUP($B74, CEFF!$C$10:$C$156, CEFF!F$10:F$156)</f>
        <v>0.51812999999999998</v>
      </c>
      <c r="N76" s="164">
        <f>LOOKUP($B74, CEFF!$C$10:$C$156, CEFF!G$10:G$156)</f>
        <v>0.55249000000000004</v>
      </c>
      <c r="O76" s="164">
        <f>LOOKUP($B74, CEFF!$C$10:$C$156, CEFF!H$10:H$156)</f>
        <v>0.58140000000000003</v>
      </c>
      <c r="P76" s="164">
        <f>LOOKUP($B74, CEFF!$C$10:$C$156, CEFF!I$10:I$156)</f>
        <v>0.61350000000000005</v>
      </c>
      <c r="Q76" s="164">
        <f>LOOKUP($B74, CEFF!$C$10:$C$156, CEFF!J$10:J$156)</f>
        <v>0.64515999999999996</v>
      </c>
      <c r="R76" s="40"/>
      <c r="S76" s="40"/>
      <c r="T76" s="40"/>
      <c r="U76" s="40"/>
      <c r="V76" s="41"/>
      <c r="W76" s="60"/>
      <c r="X76" s="40"/>
      <c r="Y76" s="40"/>
      <c r="Z76" s="40"/>
      <c r="AA76" s="40"/>
      <c r="AB76" s="40"/>
      <c r="AC76" s="40"/>
      <c r="AD76" s="40"/>
      <c r="AE76" s="40"/>
    </row>
    <row r="77" spans="1:31" s="39" customFormat="1" x14ac:dyDescent="0.3">
      <c r="A77"/>
      <c r="B77" s="210"/>
      <c r="C77" s="210"/>
      <c r="D77" s="210"/>
      <c r="E77" s="210"/>
      <c r="F77" s="210" t="s">
        <v>289</v>
      </c>
      <c r="G77" s="109"/>
      <c r="H77" s="109"/>
      <c r="I77" s="46"/>
      <c r="J77" s="46"/>
      <c r="K77" s="42"/>
      <c r="L77" s="42"/>
      <c r="M77" s="259">
        <f>LOOKUP($B74, CEFF!$C$163:$C$330, CEFF!F$163:F$330)</f>
        <v>0.42553000000000002</v>
      </c>
      <c r="N77" s="259">
        <f>LOOKUP($B74, CEFF!$C$163:$C$330, CEFF!G$163:G$330)</f>
        <v>0.45455000000000001</v>
      </c>
      <c r="O77" s="259">
        <f>LOOKUP($B74, CEFF!$C$163:$C$330, CEFF!H$163:H$330)</f>
        <v>0.47847000000000001</v>
      </c>
      <c r="P77" s="259">
        <f>LOOKUP($B74, CEFF!$C$163:$C$330, CEFF!I$163:I$330)</f>
        <v>0.50251000000000001</v>
      </c>
      <c r="Q77" s="259">
        <f>LOOKUP($B74, CEFF!$C$163:$C$330, CEFF!J$163:J$330)</f>
        <v>0.52910000000000001</v>
      </c>
      <c r="R77" s="40"/>
      <c r="S77" s="40"/>
      <c r="T77" s="40"/>
      <c r="U77" s="40"/>
      <c r="V77" s="41"/>
      <c r="W77" s="60"/>
      <c r="X77" s="45"/>
      <c r="Y77" s="45"/>
      <c r="Z77" s="45"/>
      <c r="AA77" s="45"/>
      <c r="AB77" s="45"/>
      <c r="AC77" s="45"/>
      <c r="AD77" s="45"/>
      <c r="AE77" s="45"/>
    </row>
    <row r="78" spans="1:31" s="39" customFormat="1" x14ac:dyDescent="0.3">
      <c r="A78"/>
      <c r="B78" s="209" t="s">
        <v>224</v>
      </c>
      <c r="C78" s="208" t="str">
        <f ca="1">LOOKUP(B78, TRA_COMM_PRO!$C$7:$C$182, TRA_COMM_PRO!$D$7:D180)</f>
        <v>Car.H2G.City.01.</v>
      </c>
      <c r="D78" s="209" t="s">
        <v>57</v>
      </c>
      <c r="E78" s="209"/>
      <c r="F78" s="209"/>
      <c r="G78" s="108">
        <f>G26</f>
        <v>2019</v>
      </c>
      <c r="H78" s="110">
        <f>$H$58</f>
        <v>15</v>
      </c>
      <c r="I78" s="65">
        <f>$I$58</f>
        <v>1E-3</v>
      </c>
      <c r="J78" s="41">
        <f>$J$58</f>
        <v>1.2</v>
      </c>
      <c r="K78" s="56"/>
      <c r="L78" s="56"/>
      <c r="M78" s="260"/>
      <c r="N78" s="260"/>
      <c r="O78" s="260"/>
      <c r="P78" s="260"/>
      <c r="Q78" s="260"/>
      <c r="R78" s="54">
        <f>$R$58</f>
        <v>12</v>
      </c>
      <c r="S78" s="54"/>
      <c r="T78" s="54"/>
      <c r="U78" s="54"/>
      <c r="V78" s="56"/>
      <c r="W78" s="62">
        <f>LOOKUP(B78, FIXOM_VAROM!$C$8:$C$190, FIXOM_VAROM!$D$8:$D$190)</f>
        <v>40.000000000000007</v>
      </c>
      <c r="X78" s="40">
        <f>LOOKUP($B78, INVCOST!$C$8:$C$193, INVCOST!D$8:D$193)</f>
        <v>35.097999999999999</v>
      </c>
      <c r="Y78" s="40">
        <f>LOOKUP($B78, INVCOST!$C$8:$C$193, INVCOST!E$8:E$193)</f>
        <v>33.204999999999998</v>
      </c>
      <c r="Z78" s="40">
        <f>LOOKUP($B78, INVCOST!$C$8:$C$193, INVCOST!F$8:F$193)</f>
        <v>30.501000000000001</v>
      </c>
      <c r="AA78" s="40">
        <f>LOOKUP($B78, INVCOST!$C$8:$C$193, INVCOST!G$8:G$193)</f>
        <v>29.122</v>
      </c>
      <c r="AB78" s="40">
        <f>LOOKUP($B78, INVCOST!$C$8:$C$193, INVCOST!H$8:H$193)</f>
        <v>28.056000000000001</v>
      </c>
      <c r="AC78" s="40">
        <f>LOOKUP($B78, INVCOST!$C$8:$C$193, INVCOST!I$8:I$193)</f>
        <v>27.158999999999999</v>
      </c>
      <c r="AD78" s="40">
        <f>LOOKUP($B78, INVCOST!$C$8:$C$193, INVCOST!J$8:J$193)</f>
        <v>26.395</v>
      </c>
      <c r="AE78" s="40">
        <f>LOOKUP($B78, INVCOST!$C$8:$C$193, INVCOST!K$8:K$193)</f>
        <v>25.727</v>
      </c>
    </row>
    <row r="79" spans="1:31" s="39" customFormat="1" x14ac:dyDescent="0.3">
      <c r="A79"/>
      <c r="B79" s="209"/>
      <c r="C79" s="209"/>
      <c r="D79" s="209"/>
      <c r="E79" s="209"/>
      <c r="F79" s="209" t="s">
        <v>290</v>
      </c>
      <c r="G79" s="97"/>
      <c r="H79" s="97"/>
      <c r="I79" s="41"/>
      <c r="J79" s="41"/>
      <c r="K79" s="42"/>
      <c r="L79" s="42"/>
      <c r="M79" s="164">
        <f>LOOKUP($B78, CEFF!$C$10:$C$156, CEFF!F$10:F$156)</f>
        <v>0.98038999999999998</v>
      </c>
      <c r="N79" s="164">
        <f>LOOKUP($B78, CEFF!$C$10:$C$156, CEFF!G$10:G$156)</f>
        <v>0.98038999999999998</v>
      </c>
      <c r="O79" s="164">
        <f>LOOKUP($B78, CEFF!$C$10:$C$156, CEFF!H$10:H$156)</f>
        <v>1.0869599999999999</v>
      </c>
      <c r="P79" s="164">
        <f>LOOKUP($B78, CEFF!$C$10:$C$156, CEFF!I$10:I$156)</f>
        <v>1.20482</v>
      </c>
      <c r="Q79" s="164">
        <f>LOOKUP($B78, CEFF!$C$10:$C$156, CEFF!J$10:J$156)</f>
        <v>1.2658199999999999</v>
      </c>
      <c r="R79" s="40"/>
      <c r="S79" s="40"/>
      <c r="T79" s="40"/>
      <c r="U79" s="40"/>
      <c r="V79" s="42"/>
      <c r="W79" s="60"/>
      <c r="X79" s="40"/>
      <c r="Y79" s="40"/>
      <c r="Z79" s="40"/>
      <c r="AA79" s="40"/>
      <c r="AB79" s="40"/>
      <c r="AC79" s="40"/>
      <c r="AD79" s="40"/>
      <c r="AE79" s="40"/>
    </row>
    <row r="80" spans="1:31" s="39" customFormat="1" x14ac:dyDescent="0.3">
      <c r="A80"/>
      <c r="B80" s="210"/>
      <c r="C80" s="210"/>
      <c r="D80" s="210"/>
      <c r="E80" s="210"/>
      <c r="F80" s="210" t="s">
        <v>289</v>
      </c>
      <c r="G80" s="109"/>
      <c r="H80" s="109"/>
      <c r="I80" s="46"/>
      <c r="J80" s="46"/>
      <c r="K80" s="44"/>
      <c r="L80" s="44"/>
      <c r="M80" s="259">
        <f>LOOKUP($B78, CEFF!$C$163:$C$330, CEFF!F$163:F$330)</f>
        <v>0.80645</v>
      </c>
      <c r="N80" s="259">
        <f>LOOKUP($B78, CEFF!$C$163:$C$330, CEFF!G$163:G$330)</f>
        <v>0.80645</v>
      </c>
      <c r="O80" s="259">
        <f>LOOKUP($B78, CEFF!$C$163:$C$330, CEFF!H$163:H$330)</f>
        <v>0.89285999999999999</v>
      </c>
      <c r="P80" s="259">
        <f>LOOKUP($B78, CEFF!$C$163:$C$330, CEFF!I$163:I$330)</f>
        <v>0.99009999999999998</v>
      </c>
      <c r="Q80" s="259">
        <f>LOOKUP($B78, CEFF!$C$163:$C$330, CEFF!J$163:J$330)</f>
        <v>1.0989</v>
      </c>
      <c r="R80" s="40"/>
      <c r="S80" s="46"/>
      <c r="T80" s="46"/>
      <c r="U80" s="46"/>
      <c r="V80" s="46"/>
      <c r="W80" s="60"/>
      <c r="X80" s="45"/>
      <c r="Y80" s="45"/>
      <c r="Z80" s="45"/>
      <c r="AA80" s="45"/>
      <c r="AB80" s="45"/>
      <c r="AC80" s="45"/>
      <c r="AD80" s="45"/>
      <c r="AE80" s="45"/>
    </row>
    <row r="81" spans="1:31" s="39" customFormat="1" x14ac:dyDescent="0.3">
      <c r="B81" s="209" t="s">
        <v>226</v>
      </c>
      <c r="C81" s="209" t="str">
        <f ca="1">LOOKUP(B81, TRA_COMM_PRO!$C$7:$C$189, TRA_COMM_PRO!$D$7:D215)</f>
        <v>Car.Hybrid.DST.City.01.</v>
      </c>
      <c r="D81" s="209" t="s">
        <v>44</v>
      </c>
      <c r="E81" s="209"/>
      <c r="F81" s="209"/>
      <c r="G81" s="108">
        <f>$G$57</f>
        <v>2019</v>
      </c>
      <c r="H81" s="110">
        <f>$H$58</f>
        <v>15</v>
      </c>
      <c r="I81" s="65">
        <f>$I$58</f>
        <v>1E-3</v>
      </c>
      <c r="J81" s="41">
        <f>$J$58</f>
        <v>1.2</v>
      </c>
      <c r="K81" s="42"/>
      <c r="L81" s="42"/>
      <c r="M81" s="164"/>
      <c r="N81" s="164"/>
      <c r="O81" s="164"/>
      <c r="P81" s="164"/>
      <c r="Q81" s="164"/>
      <c r="R81" s="54">
        <f>$R$58</f>
        <v>12</v>
      </c>
      <c r="S81" s="41"/>
      <c r="T81" s="41"/>
      <c r="U81" s="41"/>
      <c r="V81" s="41"/>
      <c r="W81" s="62">
        <f>LOOKUP(B81, FIXOM_VAROM!$C$8:$C$190, FIXOM_VAROM!$D$8:$D$190)</f>
        <v>50</v>
      </c>
      <c r="X81" s="40">
        <f>LOOKUP($B81, INVCOST!$C$8:$C$193, INVCOST!D$8:D$193)</f>
        <v>24.67</v>
      </c>
      <c r="Y81" s="40">
        <f>LOOKUP($B81, INVCOST!$C$8:$C$193, INVCOST!E$8:E$193)</f>
        <v>23.181999999999999</v>
      </c>
      <c r="Z81" s="40">
        <f>LOOKUP($B81, INVCOST!$C$8:$C$193, INVCOST!F$8:F$193)</f>
        <v>22.738</v>
      </c>
      <c r="AA81" s="40">
        <f>LOOKUP($B81, INVCOST!$C$8:$C$193, INVCOST!G$8:G$193)</f>
        <v>22.478000000000002</v>
      </c>
      <c r="AB81" s="40">
        <f>LOOKUP($B81, INVCOST!$C$8:$C$193, INVCOST!H$8:H$193)</f>
        <v>22.3</v>
      </c>
      <c r="AC81" s="40">
        <f>LOOKUP($B81, INVCOST!$C$8:$C$193, INVCOST!I$8:I$193)</f>
        <v>22.170999999999999</v>
      </c>
      <c r="AD81" s="40">
        <f>LOOKUP($B81, INVCOST!$C$8:$C$193, INVCOST!J$8:J$193)</f>
        <v>22.068999999999999</v>
      </c>
      <c r="AE81" s="40">
        <f>LOOKUP($B81, INVCOST!$C$8:$C$193, INVCOST!K$8:K$193)</f>
        <v>21.995000000000001</v>
      </c>
    </row>
    <row r="82" spans="1:31" s="39" customFormat="1" x14ac:dyDescent="0.3">
      <c r="B82" s="209"/>
      <c r="C82" s="209"/>
      <c r="D82" s="209" t="s">
        <v>48</v>
      </c>
      <c r="E82" s="209"/>
      <c r="F82" s="209"/>
      <c r="G82" s="97"/>
      <c r="H82" s="97"/>
      <c r="I82" s="43"/>
      <c r="J82" s="43"/>
      <c r="K82" s="42"/>
      <c r="L82" s="42"/>
      <c r="M82" s="164"/>
      <c r="N82" s="164"/>
      <c r="O82" s="164"/>
      <c r="P82" s="164"/>
      <c r="Q82" s="164"/>
      <c r="R82" s="43"/>
      <c r="S82" s="43"/>
      <c r="T82" s="43"/>
      <c r="U82" s="40"/>
      <c r="V82" s="49"/>
      <c r="W82" s="60"/>
      <c r="X82" s="40"/>
      <c r="Y82" s="40"/>
      <c r="Z82" s="40"/>
      <c r="AA82" s="40"/>
      <c r="AB82" s="40"/>
      <c r="AC82" s="40"/>
      <c r="AD82" s="40"/>
      <c r="AE82" s="40"/>
    </row>
    <row r="83" spans="1:31" s="39" customFormat="1" x14ac:dyDescent="0.3">
      <c r="B83" s="209"/>
      <c r="C83" s="209"/>
      <c r="D83" s="209"/>
      <c r="E83" s="209"/>
      <c r="F83" s="209" t="s">
        <v>290</v>
      </c>
      <c r="G83" s="97"/>
      <c r="H83" s="97"/>
      <c r="I83" s="43"/>
      <c r="J83" s="43"/>
      <c r="K83" s="42"/>
      <c r="L83" s="42"/>
      <c r="M83" s="164">
        <f>LOOKUP($B81, CEFF!$C$10:$C$156, CEFF!F$10:F$156)</f>
        <v>0.70921999999999996</v>
      </c>
      <c r="N83" s="164">
        <f>LOOKUP($B81, CEFF!$C$10:$C$156, CEFF!G$10:G$156)</f>
        <v>0.74626999999999999</v>
      </c>
      <c r="O83" s="164">
        <f>LOOKUP($B81, CEFF!$C$10:$C$156, CEFF!H$10:H$156)</f>
        <v>0.82645000000000002</v>
      </c>
      <c r="P83" s="164">
        <f>LOOKUP($B81, CEFF!$C$10:$C$156, CEFF!I$10:I$156)</f>
        <v>0.91742999999999997</v>
      </c>
      <c r="Q83" s="164">
        <f>LOOKUP($B81, CEFF!$C$10:$C$156, CEFF!J$10:J$156)</f>
        <v>1.02041</v>
      </c>
      <c r="R83" s="43"/>
      <c r="S83" s="43"/>
      <c r="T83" s="43"/>
      <c r="U83" s="40"/>
      <c r="V83" s="49"/>
      <c r="W83" s="60"/>
      <c r="X83" s="40"/>
      <c r="Y83" s="40"/>
      <c r="Z83" s="40"/>
      <c r="AA83" s="40"/>
      <c r="AB83" s="40"/>
      <c r="AC83" s="40"/>
      <c r="AD83" s="40"/>
      <c r="AE83" s="40"/>
    </row>
    <row r="84" spans="1:31" s="39" customFormat="1" x14ac:dyDescent="0.3">
      <c r="B84" s="210"/>
      <c r="C84" s="210"/>
      <c r="D84" s="210"/>
      <c r="E84" s="210"/>
      <c r="F84" s="210" t="s">
        <v>289</v>
      </c>
      <c r="G84" s="109"/>
      <c r="H84" s="109"/>
      <c r="I84" s="52"/>
      <c r="J84" s="52"/>
      <c r="K84" s="44"/>
      <c r="L84" s="44"/>
      <c r="M84" s="259">
        <f>LOOKUP($B81, CEFF!$C$163:$C$330, CEFF!F$163:F$330)</f>
        <v>0.62112000000000001</v>
      </c>
      <c r="N84" s="259">
        <f>LOOKUP($B81, CEFF!$C$163:$C$330, CEFF!G$163:G$330)</f>
        <v>0.65788999999999997</v>
      </c>
      <c r="O84" s="259">
        <f>LOOKUP($B81, CEFF!$C$163:$C$330, CEFF!H$163:H$330)</f>
        <v>0.72992999999999997</v>
      </c>
      <c r="P84" s="259">
        <f>LOOKUP($B81, CEFF!$C$163:$C$330, CEFF!I$163:I$330)</f>
        <v>0.80645</v>
      </c>
      <c r="Q84" s="259">
        <f>LOOKUP($B81, CEFF!$C$163:$C$330, CEFF!J$163:J$330)</f>
        <v>0.89285999999999999</v>
      </c>
      <c r="R84" s="40"/>
      <c r="S84" s="52"/>
      <c r="T84" s="52"/>
      <c r="U84" s="45"/>
      <c r="V84" s="53"/>
      <c r="W84" s="60"/>
      <c r="X84" s="45"/>
      <c r="Y84" s="45"/>
      <c r="Z84" s="45"/>
      <c r="AA84" s="45"/>
      <c r="AB84" s="45"/>
      <c r="AC84" s="45"/>
      <c r="AD84" s="45"/>
      <c r="AE84" s="45"/>
    </row>
    <row r="85" spans="1:31" s="39" customFormat="1" x14ac:dyDescent="0.3">
      <c r="B85" s="209" t="s">
        <v>228</v>
      </c>
      <c r="C85" s="209" t="str">
        <f ca="1">LOOKUP(B85, TRA_COMM_PRO!$C$7:$C$189, TRA_COMM_PRO!$D$7:D219)</f>
        <v>Car.Hybrid.GSL.City.01.</v>
      </c>
      <c r="D85" s="209" t="s">
        <v>40</v>
      </c>
      <c r="E85" s="209"/>
      <c r="F85" s="209"/>
      <c r="G85" s="108">
        <f>$G$57</f>
        <v>2019</v>
      </c>
      <c r="H85" s="110">
        <f>$H$58</f>
        <v>15</v>
      </c>
      <c r="I85" s="65">
        <f>$I$58</f>
        <v>1E-3</v>
      </c>
      <c r="J85" s="41">
        <f>$J$58</f>
        <v>1.2</v>
      </c>
      <c r="K85" s="42"/>
      <c r="L85" s="42">
        <v>0.05</v>
      </c>
      <c r="M85" s="261"/>
      <c r="N85" s="261"/>
      <c r="O85" s="261"/>
      <c r="P85" s="261"/>
      <c r="Q85" s="261"/>
      <c r="R85" s="54">
        <f>$R$58</f>
        <v>12</v>
      </c>
      <c r="S85" s="57"/>
      <c r="T85" s="57"/>
      <c r="U85" s="40"/>
      <c r="V85" s="49"/>
      <c r="W85" s="62">
        <f>LOOKUP(B85, FIXOM_VAROM!$C$8:$C$190, FIXOM_VAROM!$D$8:$D$190)</f>
        <v>50</v>
      </c>
      <c r="X85" s="40">
        <f>LOOKUP($B85, INVCOST!$C$8:$C$193, INVCOST!D$8:D$193)</f>
        <v>22.67</v>
      </c>
      <c r="Y85" s="40">
        <f>LOOKUP($B85, INVCOST!$C$8:$C$193, INVCOST!E$8:E$193)</f>
        <v>21.329000000000001</v>
      </c>
      <c r="Z85" s="40">
        <f>LOOKUP($B85, INVCOST!$C$8:$C$193, INVCOST!F$8:F$193)</f>
        <v>20.885999999999999</v>
      </c>
      <c r="AA85" s="40">
        <f>LOOKUP($B85, INVCOST!$C$8:$C$193, INVCOST!G$8:G$193)</f>
        <v>20.626000000000001</v>
      </c>
      <c r="AB85" s="40">
        <f>LOOKUP($B85, INVCOST!$C$8:$C$193, INVCOST!H$8:H$193)</f>
        <v>20.446000000000002</v>
      </c>
      <c r="AC85" s="40">
        <f>LOOKUP($B85, INVCOST!$C$8:$C$193, INVCOST!I$8:I$193)</f>
        <v>20.135999999999999</v>
      </c>
      <c r="AD85" s="40">
        <f>LOOKUP($B85, INVCOST!$C$8:$C$193, INVCOST!J$8:J$193)</f>
        <v>20.212</v>
      </c>
      <c r="AE85" s="40">
        <f>LOOKUP($B85, INVCOST!$C$8:$C$193, INVCOST!K$8:K$193)</f>
        <v>20.135999999999999</v>
      </c>
    </row>
    <row r="86" spans="1:31" s="39" customFormat="1" x14ac:dyDescent="0.3">
      <c r="B86" s="209"/>
      <c r="C86" s="209"/>
      <c r="D86" s="209" t="s">
        <v>39</v>
      </c>
      <c r="E86" s="209"/>
      <c r="F86" s="209"/>
      <c r="G86" s="97"/>
      <c r="H86" s="97"/>
      <c r="I86" s="57"/>
      <c r="J86" s="57"/>
      <c r="K86" s="42"/>
      <c r="L86" s="42"/>
      <c r="M86" s="261"/>
      <c r="N86" s="261"/>
      <c r="O86" s="261"/>
      <c r="P86" s="261"/>
      <c r="Q86" s="261"/>
      <c r="R86" s="57"/>
      <c r="S86" s="57"/>
      <c r="T86" s="57"/>
      <c r="U86" s="40"/>
      <c r="V86" s="49"/>
      <c r="W86" s="60"/>
      <c r="X86" s="40"/>
      <c r="Y86" s="40"/>
      <c r="Z86" s="40"/>
      <c r="AA86" s="40"/>
      <c r="AB86" s="40"/>
      <c r="AC86" s="40"/>
      <c r="AD86" s="40"/>
      <c r="AE86" s="40"/>
    </row>
    <row r="87" spans="1:31" s="39" customFormat="1" x14ac:dyDescent="0.3">
      <c r="B87" s="209"/>
      <c r="C87" s="209"/>
      <c r="D87" s="209"/>
      <c r="E87" s="209"/>
      <c r="F87" s="209" t="s">
        <v>290</v>
      </c>
      <c r="G87" s="97"/>
      <c r="H87" s="97"/>
      <c r="I87" s="43"/>
      <c r="J87" s="43"/>
      <c r="K87" s="42"/>
      <c r="L87" s="42"/>
      <c r="M87" s="164">
        <f>LOOKUP($B85, CEFF!$C$10:$C$156, CEFF!F$10:F$156)</f>
        <v>0.63693999999999995</v>
      </c>
      <c r="N87" s="164">
        <f>LOOKUP($B85, CEFF!$C$10:$C$156, CEFF!G$10:G$156)</f>
        <v>0.67113999999999996</v>
      </c>
      <c r="O87" s="164">
        <f>LOOKUP($B85, CEFF!$C$10:$C$156, CEFF!H$10:H$156)</f>
        <v>0.74626999999999999</v>
      </c>
      <c r="P87" s="164">
        <f>LOOKUP($B85, CEFF!$C$10:$C$156, CEFF!I$10:I$156)</f>
        <v>0.82645000000000002</v>
      </c>
      <c r="Q87" s="164">
        <f>LOOKUP($B85, CEFF!$C$10:$C$156, CEFF!J$10:J$156)</f>
        <v>0.91742999999999997</v>
      </c>
      <c r="R87" s="43"/>
      <c r="S87" s="43"/>
      <c r="T87" s="43"/>
      <c r="U87" s="40"/>
      <c r="V87" s="49"/>
      <c r="W87" s="60"/>
      <c r="X87" s="40"/>
      <c r="Y87" s="40"/>
      <c r="Z87" s="40"/>
      <c r="AA87" s="40"/>
      <c r="AB87" s="40"/>
      <c r="AC87" s="40"/>
      <c r="AD87" s="40"/>
      <c r="AE87" s="40"/>
    </row>
    <row r="88" spans="1:31" s="39" customFormat="1" x14ac:dyDescent="0.3">
      <c r="B88" s="210"/>
      <c r="C88" s="210"/>
      <c r="D88" s="210"/>
      <c r="E88" s="210"/>
      <c r="F88" s="210" t="s">
        <v>289</v>
      </c>
      <c r="G88" s="109"/>
      <c r="H88" s="109"/>
      <c r="I88" s="52"/>
      <c r="J88" s="52"/>
      <c r="K88" s="44"/>
      <c r="L88" s="44"/>
      <c r="M88" s="259">
        <f>LOOKUP($B85, CEFF!$C$163:$C$330, CEFF!F$163:F$330)</f>
        <v>0.52356000000000003</v>
      </c>
      <c r="N88" s="259">
        <f>LOOKUP($B85, CEFF!$C$163:$C$330, CEFF!G$163:G$330)</f>
        <v>0.55249000000000004</v>
      </c>
      <c r="O88" s="259">
        <f>LOOKUP($B85, CEFF!$C$163:$C$330, CEFF!H$163:H$330)</f>
        <v>0.61350000000000005</v>
      </c>
      <c r="P88" s="259">
        <f>LOOKUP($B85, CEFF!$C$163:$C$330, CEFF!I$163:I$330)</f>
        <v>0.68027000000000004</v>
      </c>
      <c r="Q88" s="259">
        <f>LOOKUP($B85, CEFF!$C$163:$C$330, CEFF!J$163:J$330)</f>
        <v>0.75187999999999999</v>
      </c>
      <c r="R88" s="52"/>
      <c r="S88" s="52"/>
      <c r="T88" s="52"/>
      <c r="U88" s="45"/>
      <c r="V88" s="53"/>
      <c r="W88" s="60"/>
      <c r="X88" s="45"/>
      <c r="Y88" s="45"/>
      <c r="Z88" s="45"/>
      <c r="AA88" s="45"/>
      <c r="AB88" s="45"/>
      <c r="AC88" s="45"/>
      <c r="AD88" s="45"/>
      <c r="AE88" s="45"/>
    </row>
    <row r="89" spans="1:31" s="39" customFormat="1" x14ac:dyDescent="0.3">
      <c r="A89"/>
      <c r="B89" s="212" t="s">
        <v>230</v>
      </c>
      <c r="C89" s="212" t="s">
        <v>231</v>
      </c>
      <c r="D89" s="212" t="s">
        <v>62</v>
      </c>
      <c r="E89" s="212"/>
      <c r="F89" s="212"/>
      <c r="G89" s="108">
        <f>$G$57</f>
        <v>2019</v>
      </c>
      <c r="H89" s="110">
        <f>$H$58</f>
        <v>15</v>
      </c>
      <c r="I89" s="65">
        <f>$I$58</f>
        <v>1E-3</v>
      </c>
      <c r="J89" s="41">
        <f>$J$58</f>
        <v>1.2</v>
      </c>
      <c r="K89" s="56"/>
      <c r="L89" s="56"/>
      <c r="M89" s="260"/>
      <c r="N89" s="260"/>
      <c r="O89" s="260"/>
      <c r="P89" s="260"/>
      <c r="Q89" s="260"/>
      <c r="R89" s="54">
        <f>$R$58</f>
        <v>12</v>
      </c>
      <c r="S89" s="54"/>
      <c r="T89" s="54"/>
      <c r="U89" s="54"/>
      <c r="V89" s="55"/>
      <c r="W89" s="62">
        <f>LOOKUP(B89, FIXOM_VAROM!$C$8:$C$190, FIXOM_VAROM!$D$8:$D$190)</f>
        <v>50</v>
      </c>
      <c r="X89" s="40">
        <f>LOOKUP($B89, INVCOST!$C$8:$C$193, INVCOST!D$8:D$193)</f>
        <v>19.734999999999999</v>
      </c>
      <c r="Y89" s="40">
        <f>LOOKUP($B89, INVCOST!$C$8:$C$193, INVCOST!E$8:E$193)</f>
        <v>19.452000000000002</v>
      </c>
      <c r="Z89" s="40">
        <f>LOOKUP($B89, INVCOST!$C$8:$C$193, INVCOST!F$8:F$193)</f>
        <v>19.43</v>
      </c>
      <c r="AA89" s="40">
        <f>LOOKUP($B89, INVCOST!$C$8:$C$193, INVCOST!G$8:G$193)</f>
        <v>19.414999999999999</v>
      </c>
      <c r="AB89" s="40">
        <f>LOOKUP($B89, INVCOST!$C$8:$C$193, INVCOST!H$8:H$193)</f>
        <v>19.402999999999999</v>
      </c>
      <c r="AC89" s="40">
        <f>LOOKUP($B89, INVCOST!$C$8:$C$193, INVCOST!I$8:I$193)</f>
        <v>19.393000000000001</v>
      </c>
      <c r="AD89" s="40">
        <f>LOOKUP($B89, INVCOST!$C$8:$C$193, INVCOST!J$8:J$193)</f>
        <v>19.385000000000002</v>
      </c>
      <c r="AE89" s="40">
        <f>LOOKUP($B89, INVCOST!$C$8:$C$193, INVCOST!K$8:K$193)</f>
        <v>19.378</v>
      </c>
    </row>
    <row r="90" spans="1:31" s="39" customFormat="1" x14ac:dyDescent="0.3">
      <c r="A90"/>
      <c r="B90" s="209"/>
      <c r="C90" s="209"/>
      <c r="D90" s="209" t="s">
        <v>39</v>
      </c>
      <c r="E90" s="209"/>
      <c r="F90" s="209"/>
      <c r="G90" s="108"/>
      <c r="H90" s="110"/>
      <c r="I90" s="41"/>
      <c r="J90" s="41"/>
      <c r="K90" s="42"/>
      <c r="L90" s="42"/>
      <c r="M90" s="164"/>
      <c r="N90" s="164"/>
      <c r="O90" s="164"/>
      <c r="P90" s="164"/>
      <c r="Q90" s="164"/>
      <c r="R90" s="40"/>
      <c r="S90" s="40"/>
      <c r="T90" s="40"/>
      <c r="U90" s="40"/>
      <c r="V90" s="41"/>
      <c r="W90" s="60"/>
      <c r="X90" s="40"/>
      <c r="Y90" s="40"/>
      <c r="Z90" s="40"/>
      <c r="AA90" s="40"/>
      <c r="AB90" s="40"/>
      <c r="AC90" s="40"/>
      <c r="AD90" s="40"/>
      <c r="AE90" s="40"/>
    </row>
    <row r="91" spans="1:31" s="39" customFormat="1" x14ac:dyDescent="0.3">
      <c r="A91"/>
      <c r="B91" s="209"/>
      <c r="C91" s="209"/>
      <c r="D91" s="209"/>
      <c r="E91" s="209"/>
      <c r="F91" s="209" t="s">
        <v>290</v>
      </c>
      <c r="G91" s="97"/>
      <c r="H91" s="97"/>
      <c r="I91" s="65"/>
      <c r="J91" s="41"/>
      <c r="K91" s="42"/>
      <c r="L91" s="42"/>
      <c r="M91" s="164">
        <f>LOOKUP($B89, CEFF!$C$10:$C$156, CEFF!F$10:F$156)</f>
        <v>0.51812999999999998</v>
      </c>
      <c r="N91" s="164">
        <f>LOOKUP($B89, CEFF!$C$10:$C$156, CEFF!G$10:G$156)</f>
        <v>0.55249000000000004</v>
      </c>
      <c r="O91" s="164">
        <f>LOOKUP($B89, CEFF!$C$10:$C$156, CEFF!H$10:H$156)</f>
        <v>0.58140000000000003</v>
      </c>
      <c r="P91" s="164">
        <f>LOOKUP($B89, CEFF!$C$10:$C$156, CEFF!I$10:I$156)</f>
        <v>0.61350000000000005</v>
      </c>
      <c r="Q91" s="164">
        <f>LOOKUP($B89, CEFF!$C$10:$C$156, CEFF!J$10:J$156)</f>
        <v>0.64515999999999996</v>
      </c>
      <c r="R91" s="40"/>
      <c r="S91" s="40"/>
      <c r="T91" s="40"/>
      <c r="U91" s="40"/>
      <c r="V91" s="42"/>
      <c r="W91" s="60"/>
      <c r="X91" s="40"/>
      <c r="Y91" s="40"/>
      <c r="Z91" s="40"/>
      <c r="AA91" s="40"/>
      <c r="AB91" s="40"/>
      <c r="AC91" s="40"/>
      <c r="AD91" s="40"/>
      <c r="AE91" s="40"/>
    </row>
    <row r="92" spans="1:31" s="39" customFormat="1" x14ac:dyDescent="0.3">
      <c r="A92"/>
      <c r="B92" s="209"/>
      <c r="C92" s="209"/>
      <c r="D92" s="209"/>
      <c r="E92" s="209"/>
      <c r="F92" s="210" t="s">
        <v>289</v>
      </c>
      <c r="G92" s="109"/>
      <c r="H92" s="109"/>
      <c r="I92" s="52"/>
      <c r="J92" s="46"/>
      <c r="K92" s="42"/>
      <c r="L92" s="42"/>
      <c r="M92" s="259">
        <f>LOOKUP($B89, CEFF!$C$163:$C$330, CEFF!F$163:F$330)</f>
        <v>0.42553000000000002</v>
      </c>
      <c r="N92" s="259">
        <f>LOOKUP($B89, CEFF!$C$163:$C$330, CEFF!G$163:G$330)</f>
        <v>0.45455000000000001</v>
      </c>
      <c r="O92" s="259">
        <f>LOOKUP($B89, CEFF!$C$163:$C$330, CEFF!H$163:H$330)</f>
        <v>0.47847000000000001</v>
      </c>
      <c r="P92" s="259">
        <f>LOOKUP($B89, CEFF!$C$163:$C$330, CEFF!I$163:I$330)</f>
        <v>0.50251000000000001</v>
      </c>
      <c r="Q92" s="259">
        <f>LOOKUP($B89, CEFF!$C$163:$C$330, CEFF!J$163:J$330)</f>
        <v>0.52910000000000001</v>
      </c>
      <c r="R92" s="40"/>
      <c r="S92" s="40"/>
      <c r="T92" s="40"/>
      <c r="U92" s="40"/>
      <c r="V92" s="42"/>
      <c r="W92" s="60"/>
      <c r="X92" s="45"/>
      <c r="Y92" s="45"/>
      <c r="Z92" s="45"/>
      <c r="AA92" s="45"/>
      <c r="AB92" s="45"/>
      <c r="AC92" s="45"/>
      <c r="AD92" s="45"/>
      <c r="AE92" s="45"/>
    </row>
    <row r="93" spans="1:31" s="39" customFormat="1" x14ac:dyDescent="0.3">
      <c r="A93"/>
      <c r="B93" s="212" t="s">
        <v>584</v>
      </c>
      <c r="C93" s="212" t="s">
        <v>585</v>
      </c>
      <c r="D93" s="212" t="s">
        <v>582</v>
      </c>
      <c r="E93" s="212"/>
      <c r="F93" s="212"/>
      <c r="G93" s="108">
        <f>$G$57</f>
        <v>2019</v>
      </c>
      <c r="H93" s="110">
        <f>$H$58</f>
        <v>15</v>
      </c>
      <c r="I93" s="65">
        <f>$I$58</f>
        <v>1E-3</v>
      </c>
      <c r="J93" s="41">
        <f>$J$58</f>
        <v>1.2</v>
      </c>
      <c r="K93" s="56"/>
      <c r="L93" s="56"/>
      <c r="M93" s="260"/>
      <c r="N93" s="260"/>
      <c r="O93" s="260"/>
      <c r="P93" s="260"/>
      <c r="Q93" s="260"/>
      <c r="R93" s="54">
        <f>$R$58</f>
        <v>12</v>
      </c>
      <c r="S93" s="54"/>
      <c r="T93" s="54"/>
      <c r="U93" s="54"/>
      <c r="V93" s="55"/>
      <c r="W93" s="62">
        <f>LOOKUP(B93, FIXOM_VAROM!$C$8:$C$190, FIXOM_VAROM!$D$8:$D$190)</f>
        <v>50</v>
      </c>
      <c r="X93" s="40">
        <f>LOOKUP($B93, INVCOST!$C$8:$C$193, INVCOST!D$8:D$193)</f>
        <v>19.734999999999999</v>
      </c>
      <c r="Y93" s="40">
        <f>LOOKUP($B93, INVCOST!$C$8:$C$193, INVCOST!E$8:E$193)</f>
        <v>19.452000000000002</v>
      </c>
      <c r="Z93" s="40">
        <f>LOOKUP($B93, INVCOST!$C$8:$C$193, INVCOST!F$8:F$193)</f>
        <v>19.43</v>
      </c>
      <c r="AA93" s="40">
        <f>LOOKUP($B93, INVCOST!$C$8:$C$193, INVCOST!G$8:G$193)</f>
        <v>19.414999999999999</v>
      </c>
      <c r="AB93" s="40">
        <f>LOOKUP($B93, INVCOST!$C$8:$C$193, INVCOST!H$8:H$193)</f>
        <v>19.402999999999999</v>
      </c>
      <c r="AC93" s="40">
        <f>LOOKUP($B93, INVCOST!$C$8:$C$193, INVCOST!I$8:I$193)</f>
        <v>19.393000000000001</v>
      </c>
      <c r="AD93" s="40">
        <f>LOOKUP($B93, INVCOST!$C$8:$C$193, INVCOST!J$8:J$193)</f>
        <v>19.385000000000002</v>
      </c>
      <c r="AE93" s="40">
        <f>LOOKUP($B93, INVCOST!$C$8:$C$193, INVCOST!K$8:K$193)</f>
        <v>19.378</v>
      </c>
    </row>
    <row r="94" spans="1:31" s="39" customFormat="1" x14ac:dyDescent="0.3">
      <c r="A94"/>
      <c r="B94" s="209"/>
      <c r="C94" s="209"/>
      <c r="D94" s="209"/>
      <c r="E94" s="209"/>
      <c r="F94" s="209" t="s">
        <v>290</v>
      </c>
      <c r="G94" s="97"/>
      <c r="H94" s="97"/>
      <c r="I94" s="65"/>
      <c r="J94" s="41"/>
      <c r="K94" s="42"/>
      <c r="L94" s="42"/>
      <c r="M94" s="164">
        <f>LOOKUP($B93, CEFF!$C$10:$C$156, CEFF!F$10:F$156)</f>
        <v>0.51812999999999998</v>
      </c>
      <c r="N94" s="164">
        <f>LOOKUP($B93, CEFF!$C$10:$C$156, CEFF!G$10:G$156)</f>
        <v>0.55249000000000004</v>
      </c>
      <c r="O94" s="164">
        <f>LOOKUP($B93, CEFF!$C$10:$C$156, CEFF!H$10:H$156)</f>
        <v>0.58140000000000003</v>
      </c>
      <c r="P94" s="164">
        <f>LOOKUP($B93, CEFF!$C$10:$C$156, CEFF!I$10:I$156)</f>
        <v>0.61350000000000005</v>
      </c>
      <c r="Q94" s="164">
        <f>LOOKUP($B93, CEFF!$C$10:$C$156, CEFF!J$10:J$156)</f>
        <v>0.64515999999999996</v>
      </c>
      <c r="R94" s="40"/>
      <c r="S94" s="40"/>
      <c r="T94" s="40"/>
      <c r="U94" s="40"/>
      <c r="V94" s="42"/>
      <c r="W94" s="60"/>
      <c r="X94" s="40"/>
      <c r="Y94" s="40"/>
      <c r="Z94" s="40"/>
      <c r="AA94" s="40"/>
      <c r="AB94" s="40"/>
      <c r="AC94" s="40"/>
      <c r="AD94" s="40"/>
      <c r="AE94" s="40"/>
    </row>
    <row r="95" spans="1:31" s="39" customFormat="1" x14ac:dyDescent="0.3">
      <c r="A95"/>
      <c r="B95" s="210"/>
      <c r="C95" s="210"/>
      <c r="D95" s="210"/>
      <c r="E95" s="210"/>
      <c r="F95" s="210" t="s">
        <v>289</v>
      </c>
      <c r="G95" s="109"/>
      <c r="H95" s="109"/>
      <c r="I95" s="80"/>
      <c r="J95" s="46"/>
      <c r="K95" s="44"/>
      <c r="L95" s="44"/>
      <c r="M95" s="259">
        <f>LOOKUP($B93, CEFF!$C$163:$C$330, CEFF!F$163:F$330)</f>
        <v>0.42553000000000002</v>
      </c>
      <c r="N95" s="259">
        <f>LOOKUP($B93, CEFF!$C$163:$C$330, CEFF!G$163:G$330)</f>
        <v>0.45455000000000001</v>
      </c>
      <c r="O95" s="259">
        <f>LOOKUP($B93, CEFF!$C$163:$C$330, CEFF!H$163:H$330)</f>
        <v>0.47847000000000001</v>
      </c>
      <c r="P95" s="259">
        <f>LOOKUP($B93, CEFF!$C$163:$C$330, CEFF!I$163:I$330)</f>
        <v>0.50251000000000001</v>
      </c>
      <c r="Q95" s="259">
        <f>LOOKUP($B93, CEFF!$C$163:$C$330, CEFF!J$163:J$330)</f>
        <v>0.52910000000000001</v>
      </c>
      <c r="R95" s="45"/>
      <c r="S95" s="45"/>
      <c r="T95" s="45"/>
      <c r="U95" s="45"/>
      <c r="V95" s="44"/>
      <c r="W95" s="60"/>
      <c r="X95" s="45"/>
      <c r="Y95" s="45"/>
      <c r="Z95" s="45"/>
      <c r="AA95" s="45"/>
      <c r="AB95" s="45"/>
      <c r="AC95" s="45"/>
      <c r="AD95" s="45"/>
      <c r="AE95" s="45"/>
    </row>
    <row r="96" spans="1:31" s="39" customFormat="1" x14ac:dyDescent="0.3">
      <c r="B96" s="209" t="s">
        <v>232</v>
      </c>
      <c r="C96" s="212" t="str">
        <f ca="1">LOOKUP(B96, TRA_COMM_PRO!$C$7:$C$189, TRA_COMM_PRO!$D$7:D222)</f>
        <v>Car.Plugin-Hybrid.DST.City.01.</v>
      </c>
      <c r="D96" s="209" t="s">
        <v>44</v>
      </c>
      <c r="E96" s="209"/>
      <c r="F96" s="209"/>
      <c r="G96" s="108">
        <f>$G$57</f>
        <v>2019</v>
      </c>
      <c r="H96" s="110">
        <f>$H$58</f>
        <v>15</v>
      </c>
      <c r="I96" s="65">
        <f>$I$58</f>
        <v>1E-3</v>
      </c>
      <c r="J96" s="41">
        <f>$J$58</f>
        <v>1.2</v>
      </c>
      <c r="K96" s="42"/>
      <c r="L96" s="42"/>
      <c r="M96" s="164"/>
      <c r="N96" s="164"/>
      <c r="O96" s="164"/>
      <c r="P96" s="164"/>
      <c r="Q96" s="164"/>
      <c r="R96" s="54">
        <f>$R$58</f>
        <v>12</v>
      </c>
      <c r="S96" s="43"/>
      <c r="T96" s="43"/>
      <c r="U96" s="40"/>
      <c r="V96" s="49"/>
      <c r="W96" s="62">
        <f>LOOKUP(B96, FIXOM_VAROM!$C$8:$C$190, FIXOM_VAROM!$D$8:$D$190)</f>
        <v>50</v>
      </c>
      <c r="X96" s="40">
        <f>LOOKUP($B96, INVCOST!$C$8:$C$193, INVCOST!D$8:D$193)</f>
        <v>32.155000000000001</v>
      </c>
      <c r="Y96" s="40">
        <f>LOOKUP($B96, INVCOST!$C$8:$C$193, INVCOST!E$8:E$193)</f>
        <v>29.478999999999999</v>
      </c>
      <c r="Z96" s="40">
        <f>LOOKUP($B96, INVCOST!$C$8:$C$193, INVCOST!F$8:F$193)</f>
        <v>27.831</v>
      </c>
      <c r="AA96" s="40">
        <f>LOOKUP($B96, INVCOST!$C$8:$C$193, INVCOST!G$8:G$193)</f>
        <v>26.962</v>
      </c>
      <c r="AB96" s="40">
        <f>LOOKUP($B96, INVCOST!$C$8:$C$193, INVCOST!H$8:H$193)</f>
        <v>26.277000000000001</v>
      </c>
      <c r="AC96" s="40">
        <f>LOOKUP($B96, INVCOST!$C$8:$C$193, INVCOST!I$8:I$193)</f>
        <v>25.709</v>
      </c>
      <c r="AD96" s="40">
        <f>LOOKUP($B96, INVCOST!$C$8:$C$193, INVCOST!J$8:J$193)</f>
        <v>25.244</v>
      </c>
      <c r="AE96" s="40">
        <f>LOOKUP($B96, INVCOST!$C$8:$C$193, INVCOST!K$8:K$193)</f>
        <v>24.864000000000001</v>
      </c>
    </row>
    <row r="97" spans="2:31" s="39" customFormat="1" x14ac:dyDescent="0.3">
      <c r="B97" s="209"/>
      <c r="C97" s="209"/>
      <c r="D97" s="209" t="s">
        <v>48</v>
      </c>
      <c r="E97" s="209"/>
      <c r="F97" s="209"/>
      <c r="G97" s="97"/>
      <c r="H97" s="97"/>
      <c r="I97" s="43"/>
      <c r="J97" s="43"/>
      <c r="K97" s="42"/>
      <c r="L97" s="42"/>
      <c r="M97" s="164"/>
      <c r="N97" s="164"/>
      <c r="O97" s="164"/>
      <c r="P97" s="164"/>
      <c r="Q97" s="164"/>
      <c r="R97" s="43"/>
      <c r="S97" s="43"/>
      <c r="T97" s="43"/>
      <c r="U97" s="40"/>
      <c r="V97" s="49"/>
      <c r="W97" s="60"/>
      <c r="X97" s="40"/>
      <c r="Y97" s="40"/>
      <c r="Z97" s="40"/>
      <c r="AA97" s="40"/>
      <c r="AB97" s="40"/>
      <c r="AC97" s="40"/>
      <c r="AD97" s="40"/>
      <c r="AE97" s="40"/>
    </row>
    <row r="98" spans="2:31" s="39" customFormat="1" x14ac:dyDescent="0.3">
      <c r="B98" s="209"/>
      <c r="C98" s="209"/>
      <c r="D98" s="209"/>
      <c r="E98" s="209"/>
      <c r="F98" s="209" t="s">
        <v>290</v>
      </c>
      <c r="G98" s="97"/>
      <c r="H98" s="97"/>
      <c r="I98" s="43"/>
      <c r="J98" s="43"/>
      <c r="K98" s="42"/>
      <c r="L98" s="42"/>
      <c r="M98" s="164">
        <f>LOOKUP($B96, CEFF!$C$10:$C$156, CEFF!F$10:F$156)</f>
        <v>0.85470000000000002</v>
      </c>
      <c r="N98" s="164">
        <f>LOOKUP($B96, CEFF!$C$10:$C$156, CEFF!G$10:G$156)</f>
        <v>0.85470000000000002</v>
      </c>
      <c r="O98" s="164">
        <f>LOOKUP($B96, CEFF!$C$10:$C$156, CEFF!H$10:H$156)</f>
        <v>0.94340000000000002</v>
      </c>
      <c r="P98" s="164">
        <f>LOOKUP($B96, CEFF!$C$10:$C$156, CEFF!I$10:I$156)</f>
        <v>1.0416700000000001</v>
      </c>
      <c r="Q98" s="164">
        <f>LOOKUP($B96, CEFF!$C$10:$C$156, CEFF!J$10:J$156)</f>
        <v>1.16279</v>
      </c>
      <c r="R98" s="43"/>
      <c r="S98" s="43"/>
      <c r="T98" s="43"/>
      <c r="U98" s="40"/>
      <c r="V98" s="49"/>
      <c r="W98" s="60"/>
      <c r="X98" s="40"/>
      <c r="Y98" s="40"/>
      <c r="Z98" s="40"/>
      <c r="AA98" s="40"/>
      <c r="AB98" s="40"/>
      <c r="AC98" s="40"/>
      <c r="AD98" s="40"/>
      <c r="AE98" s="40"/>
    </row>
    <row r="99" spans="2:31" s="39" customFormat="1" x14ac:dyDescent="0.3">
      <c r="B99" s="210"/>
      <c r="C99" s="210"/>
      <c r="D99" s="210"/>
      <c r="E99" s="210"/>
      <c r="F99" s="210" t="s">
        <v>289</v>
      </c>
      <c r="G99" s="109"/>
      <c r="H99" s="109"/>
      <c r="I99" s="52"/>
      <c r="J99" s="52"/>
      <c r="K99" s="44"/>
      <c r="L99" s="44"/>
      <c r="M99" s="259">
        <f>LOOKUP($B96, CEFF!$C$163:$C$330, CEFF!F$163:F$330)</f>
        <v>1.0869599999999999</v>
      </c>
      <c r="N99" s="259">
        <f>LOOKUP($B96, CEFF!$C$163:$C$330, CEFF!G$163:G$330)</f>
        <v>1.0638300000000001</v>
      </c>
      <c r="O99" s="259">
        <f>LOOKUP($B96, CEFF!$C$163:$C$330, CEFF!H$163:H$330)</f>
        <v>1.13636</v>
      </c>
      <c r="P99" s="259">
        <f>LOOKUP($B96, CEFF!$C$163:$C$330, CEFF!I$163:I$330)</f>
        <v>1.2195100000000001</v>
      </c>
      <c r="Q99" s="259">
        <f>LOOKUP($B96, CEFF!$C$163:$C$330, CEFF!J$163:J$330)</f>
        <v>1.31579</v>
      </c>
      <c r="R99" s="52"/>
      <c r="S99" s="52"/>
      <c r="T99" s="52"/>
      <c r="U99" s="45"/>
      <c r="V99" s="53"/>
      <c r="W99" s="60"/>
      <c r="X99" s="45"/>
      <c r="Y99" s="45"/>
      <c r="Z99" s="45"/>
      <c r="AA99" s="45"/>
      <c r="AB99" s="45"/>
      <c r="AC99" s="45"/>
      <c r="AD99" s="45"/>
      <c r="AE99" s="45"/>
    </row>
    <row r="100" spans="2:31" s="39" customFormat="1" x14ac:dyDescent="0.3">
      <c r="B100" s="209" t="s">
        <v>234</v>
      </c>
      <c r="C100" s="209" t="str">
        <f ca="1">LOOKUP(B100, TRA_COMM_PRO!$C$7:$C$189, TRA_COMM_PRO!$D$7:D225)</f>
        <v>Car.Plugin-Hybrid.GSL.City.01.</v>
      </c>
      <c r="D100" s="209" t="s">
        <v>40</v>
      </c>
      <c r="E100" s="209"/>
      <c r="F100" s="209"/>
      <c r="G100" s="108">
        <f>$G$57</f>
        <v>2019</v>
      </c>
      <c r="H100" s="110">
        <f>$H$58</f>
        <v>15</v>
      </c>
      <c r="I100" s="65">
        <f>$I$58</f>
        <v>1E-3</v>
      </c>
      <c r="J100" s="41">
        <f>$J$58</f>
        <v>1.2</v>
      </c>
      <c r="K100" s="42"/>
      <c r="L100" s="42">
        <v>0.05</v>
      </c>
      <c r="M100" s="164"/>
      <c r="N100" s="164"/>
      <c r="O100" s="164"/>
      <c r="P100" s="164"/>
      <c r="Q100" s="164"/>
      <c r="R100" s="54">
        <f>$R$58</f>
        <v>12</v>
      </c>
      <c r="S100" s="43"/>
      <c r="T100" s="43"/>
      <c r="U100" s="40"/>
      <c r="V100" s="49"/>
      <c r="W100" s="62">
        <f>LOOKUP(B100, FIXOM_VAROM!$C$8:$C$190, FIXOM_VAROM!$D$8:$D$190)</f>
        <v>50</v>
      </c>
      <c r="X100" s="40">
        <f>LOOKUP($B100, INVCOST!$C$8:$C$193, INVCOST!D$8:D$193)</f>
        <v>30.745000000000001</v>
      </c>
      <c r="Y100" s="40">
        <f>LOOKUP($B100, INVCOST!$C$8:$C$193, INVCOST!E$8:E$193)</f>
        <v>28.067</v>
      </c>
      <c r="Z100" s="40">
        <f>LOOKUP($B100, INVCOST!$C$8:$C$193, INVCOST!F$8:F$193)</f>
        <v>26.41</v>
      </c>
      <c r="AA100" s="40">
        <f>LOOKUP($B100, INVCOST!$C$8:$C$193, INVCOST!G$8:G$193)</f>
        <v>25.536000000000001</v>
      </c>
      <c r="AB100" s="40">
        <f>LOOKUP($B100, INVCOST!$C$8:$C$193, INVCOST!H$8:H$193)</f>
        <v>24.844999999999999</v>
      </c>
      <c r="AC100" s="40">
        <f>LOOKUP($B100, INVCOST!$C$8:$C$193, INVCOST!I$8:I$193)</f>
        <v>24.273</v>
      </c>
      <c r="AD100" s="40">
        <f>LOOKUP($B100, INVCOST!$C$8:$C$193, INVCOST!J$8:J$193)</f>
        <v>23.803000000000001</v>
      </c>
      <c r="AE100" s="40">
        <f>LOOKUP($B100, INVCOST!$C$8:$C$193, INVCOST!K$8:K$193)</f>
        <v>23.42</v>
      </c>
    </row>
    <row r="101" spans="2:31" s="39" customFormat="1" x14ac:dyDescent="0.3">
      <c r="B101" s="209"/>
      <c r="C101" s="209"/>
      <c r="D101" s="209" t="s">
        <v>39</v>
      </c>
      <c r="E101" s="209"/>
      <c r="F101" s="209"/>
      <c r="G101" s="97"/>
      <c r="H101" s="97"/>
      <c r="I101" s="43"/>
      <c r="J101" s="43"/>
      <c r="K101" s="42"/>
      <c r="L101" s="42"/>
      <c r="M101" s="164"/>
      <c r="N101" s="164"/>
      <c r="O101" s="164"/>
      <c r="P101" s="164"/>
      <c r="Q101" s="164"/>
      <c r="R101" s="43"/>
      <c r="S101" s="43"/>
      <c r="T101" s="43"/>
      <c r="U101" s="49"/>
      <c r="V101" s="49"/>
      <c r="W101" s="42"/>
      <c r="X101" s="41"/>
      <c r="Y101" s="41"/>
      <c r="Z101" s="41"/>
      <c r="AA101" s="41"/>
      <c r="AB101" s="41"/>
      <c r="AC101" s="41"/>
      <c r="AD101" s="41"/>
      <c r="AE101" s="41"/>
    </row>
    <row r="102" spans="2:31" s="39" customFormat="1" x14ac:dyDescent="0.3">
      <c r="B102" s="209"/>
      <c r="C102" s="209"/>
      <c r="D102" s="209"/>
      <c r="E102" s="209"/>
      <c r="F102" s="209" t="s">
        <v>290</v>
      </c>
      <c r="G102" s="97"/>
      <c r="H102" s="97"/>
      <c r="I102" s="43"/>
      <c r="J102" s="43"/>
      <c r="K102" s="42"/>
      <c r="L102" s="42"/>
      <c r="M102" s="164">
        <f>LOOKUP($B100, CEFF!$C$10:$C$156, CEFF!F$10:F$156)</f>
        <v>0.90908999999999995</v>
      </c>
      <c r="N102" s="164">
        <f>LOOKUP($B100, CEFF!$C$10:$C$156, CEFF!G$10:G$156)</f>
        <v>0.90908999999999995</v>
      </c>
      <c r="O102" s="164">
        <f>LOOKUP($B100, CEFF!$C$10:$C$156, CEFF!H$10:H$156)</f>
        <v>1.0101</v>
      </c>
      <c r="P102" s="164">
        <f>LOOKUP($B100, CEFF!$C$10:$C$156, CEFF!I$10:I$156)</f>
        <v>1.11111</v>
      </c>
      <c r="Q102" s="164">
        <f>LOOKUP($B100, CEFF!$C$10:$C$156, CEFF!J$10:J$156)</f>
        <v>1.2345699999999999</v>
      </c>
      <c r="R102" s="43"/>
      <c r="S102" s="43"/>
      <c r="T102" s="43"/>
      <c r="U102" s="49"/>
      <c r="V102" s="49"/>
      <c r="W102" s="42"/>
      <c r="X102" s="41"/>
      <c r="Y102" s="41"/>
      <c r="Z102" s="41"/>
      <c r="AA102" s="41"/>
      <c r="AB102" s="41"/>
      <c r="AC102" s="41"/>
      <c r="AD102" s="41"/>
      <c r="AE102" s="41"/>
    </row>
    <row r="103" spans="2:31" s="39" customFormat="1" x14ac:dyDescent="0.3">
      <c r="B103" s="213"/>
      <c r="C103" s="213"/>
      <c r="D103" s="213"/>
      <c r="E103" s="213"/>
      <c r="F103" s="213" t="s">
        <v>289</v>
      </c>
      <c r="G103" s="172"/>
      <c r="H103" s="172"/>
      <c r="I103" s="176"/>
      <c r="J103" s="176"/>
      <c r="K103" s="177"/>
      <c r="L103" s="177"/>
      <c r="M103" s="262">
        <f>LOOKUP($B100, CEFF!$C$163:$C$330, CEFF!F$163:F$330)</f>
        <v>1.0101</v>
      </c>
      <c r="N103" s="262">
        <f>LOOKUP($B100, CEFF!$C$163:$C$330, CEFF!G$163:G$330)</f>
        <v>0.99009999999999998</v>
      </c>
      <c r="O103" s="262">
        <f>LOOKUP($B100, CEFF!$C$163:$C$330, CEFF!H$163:H$330)</f>
        <v>1.05263</v>
      </c>
      <c r="P103" s="262">
        <f>LOOKUP($B100, CEFF!$C$163:$C$330, CEFF!I$163:I$330)</f>
        <v>1.1235999999999999</v>
      </c>
      <c r="Q103" s="262">
        <f>LOOKUP($B100, CEFF!$C$163:$C$330, CEFF!J$163:J$330)</f>
        <v>1.19048</v>
      </c>
      <c r="R103" s="176"/>
      <c r="S103" s="176"/>
      <c r="T103" s="176"/>
      <c r="U103" s="178"/>
      <c r="V103" s="178"/>
      <c r="W103" s="177"/>
      <c r="X103" s="179"/>
      <c r="Y103" s="179"/>
      <c r="Z103" s="179"/>
      <c r="AA103" s="179"/>
      <c r="AB103" s="179"/>
      <c r="AC103" s="179"/>
      <c r="AD103" s="179"/>
      <c r="AE103" s="179"/>
    </row>
    <row r="104" spans="2:31" s="39" customFormat="1" x14ac:dyDescent="0.3">
      <c r="I104" s="47"/>
      <c r="J104" s="47"/>
      <c r="K104" s="48"/>
      <c r="L104" s="48"/>
      <c r="M104" s="48"/>
      <c r="N104" s="38"/>
      <c r="O104" s="37"/>
      <c r="P104" s="37"/>
      <c r="Q104" s="37"/>
      <c r="R104" s="36"/>
      <c r="S104" s="36"/>
      <c r="T104" s="36"/>
      <c r="U104" s="36"/>
      <c r="V104" s="47"/>
      <c r="W104" s="38"/>
      <c r="X104" s="38"/>
      <c r="Y104" s="38"/>
      <c r="Z104" s="38"/>
      <c r="AA104" s="38"/>
      <c r="AB104" s="38"/>
      <c r="AC104" s="38"/>
      <c r="AD104" s="38"/>
      <c r="AE104" s="38"/>
    </row>
    <row r="105" spans="2:31" x14ac:dyDescent="0.3">
      <c r="W105" s="148"/>
      <c r="X105" s="147"/>
      <c r="Y105" s="147"/>
      <c r="Z105" s="147"/>
      <c r="AA105" s="147"/>
      <c r="AB105" s="147"/>
      <c r="AC105" s="147"/>
      <c r="AD105" s="147"/>
      <c r="AE105" s="147"/>
    </row>
    <row r="106" spans="2:31" x14ac:dyDescent="0.3">
      <c r="B106" s="6" t="s">
        <v>392</v>
      </c>
      <c r="C106" s="7"/>
      <c r="D106" s="8"/>
      <c r="E106" s="8"/>
      <c r="F106" s="9" t="s">
        <v>1</v>
      </c>
      <c r="G106" s="4"/>
    </row>
    <row r="107" spans="2:31" ht="27.9" customHeight="1" x14ac:dyDescent="0.3">
      <c r="B107" s="199" t="s">
        <v>2</v>
      </c>
      <c r="C107" s="199" t="s">
        <v>3</v>
      </c>
      <c r="D107" s="199" t="s">
        <v>4</v>
      </c>
      <c r="E107" s="199" t="s">
        <v>5</v>
      </c>
      <c r="F107" s="200" t="s">
        <v>6</v>
      </c>
      <c r="G107" s="200" t="s">
        <v>186</v>
      </c>
      <c r="H107" s="201" t="s">
        <v>185</v>
      </c>
      <c r="I107" s="201" t="s">
        <v>11</v>
      </c>
      <c r="J107" s="200" t="s">
        <v>12</v>
      </c>
      <c r="K107" s="200" t="s">
        <v>7</v>
      </c>
      <c r="L107" s="200" t="s">
        <v>8</v>
      </c>
      <c r="M107" s="201" t="s">
        <v>688</v>
      </c>
      <c r="N107" s="201" t="s">
        <v>321</v>
      </c>
      <c r="O107" s="201" t="s">
        <v>322</v>
      </c>
      <c r="P107" s="201" t="s">
        <v>9</v>
      </c>
      <c r="Q107" s="201" t="s">
        <v>10</v>
      </c>
      <c r="R107" s="201" t="s">
        <v>687</v>
      </c>
      <c r="S107" s="201" t="s">
        <v>448</v>
      </c>
      <c r="T107" s="201" t="s">
        <v>13</v>
      </c>
      <c r="U107" s="201" t="s">
        <v>382</v>
      </c>
      <c r="V107" s="201" t="s">
        <v>42</v>
      </c>
      <c r="W107" s="201" t="s">
        <v>14</v>
      </c>
      <c r="X107" s="201" t="s">
        <v>381</v>
      </c>
      <c r="Y107" s="201" t="s">
        <v>15</v>
      </c>
      <c r="Z107" s="201" t="s">
        <v>16</v>
      </c>
      <c r="AA107" s="201" t="s">
        <v>17</v>
      </c>
      <c r="AB107" s="201" t="s">
        <v>18</v>
      </c>
      <c r="AC107" s="201" t="s">
        <v>19</v>
      </c>
      <c r="AD107" s="201" t="s">
        <v>20</v>
      </c>
      <c r="AE107" s="201" t="s">
        <v>21</v>
      </c>
    </row>
    <row r="108" spans="2:31" ht="33.75" customHeight="1" thickBot="1" x14ac:dyDescent="0.35">
      <c r="B108" s="202" t="s">
        <v>22</v>
      </c>
      <c r="C108" s="202"/>
      <c r="D108" s="202"/>
      <c r="E108" s="202"/>
      <c r="F108" s="203" t="s">
        <v>23</v>
      </c>
      <c r="G108" s="203">
        <v>2019</v>
      </c>
      <c r="H108" s="204" t="s">
        <v>26</v>
      </c>
      <c r="I108" s="204" t="s">
        <v>543</v>
      </c>
      <c r="J108" s="204" t="s">
        <v>25</v>
      </c>
      <c r="K108" s="203"/>
      <c r="L108" s="203"/>
      <c r="M108" s="205" t="s">
        <v>653</v>
      </c>
      <c r="N108" s="205" t="str">
        <f>M108</f>
        <v>Vkm/MJ</v>
      </c>
      <c r="O108" s="205" t="str">
        <f>N108</f>
        <v>Vkm/MJ</v>
      </c>
      <c r="P108" s="205" t="str">
        <f>O108</f>
        <v>Vkm/MJ</v>
      </c>
      <c r="Q108" s="205" t="str">
        <f>P108</f>
        <v>Vkm/MJ</v>
      </c>
      <c r="R108" s="204" t="s">
        <v>658</v>
      </c>
      <c r="S108" s="204" t="s">
        <v>658</v>
      </c>
      <c r="T108" s="204" t="s">
        <v>658</v>
      </c>
      <c r="U108" s="204" t="s">
        <v>658</v>
      </c>
      <c r="V108" s="206" t="s">
        <v>662</v>
      </c>
      <c r="W108" s="206" t="s">
        <v>661</v>
      </c>
      <c r="X108" s="206" t="s">
        <v>657</v>
      </c>
      <c r="Y108" s="206" t="s">
        <v>657</v>
      </c>
      <c r="Z108" s="206" t="s">
        <v>657</v>
      </c>
      <c r="AA108" s="206" t="s">
        <v>657</v>
      </c>
      <c r="AB108" s="206" t="s">
        <v>657</v>
      </c>
      <c r="AC108" s="206" t="s">
        <v>657</v>
      </c>
      <c r="AD108" s="206" t="s">
        <v>657</v>
      </c>
      <c r="AE108" s="206" t="s">
        <v>657</v>
      </c>
    </row>
    <row r="109" spans="2:31" s="39" customFormat="1" x14ac:dyDescent="0.3">
      <c r="B109" s="209" t="s">
        <v>561</v>
      </c>
      <c r="C109" s="208" t="str">
        <f>LOOKUP(B109, TRA_COMM_PRO!$C$7:$C$189, TRA_COMM_PRO!$D$7:$D$189)</f>
        <v>Car.DST.Pool.01.</v>
      </c>
      <c r="D109" s="209" t="s">
        <v>48</v>
      </c>
      <c r="E109" s="209"/>
      <c r="F109" s="209"/>
      <c r="G109" s="10">
        <f>$G$108</f>
        <v>2019</v>
      </c>
      <c r="H109" s="40">
        <v>15</v>
      </c>
      <c r="I109" s="65">
        <f>10^-3</f>
        <v>1E-3</v>
      </c>
      <c r="J109" s="41">
        <v>3</v>
      </c>
      <c r="K109" s="42"/>
      <c r="L109" s="42"/>
      <c r="M109" s="43"/>
      <c r="N109" s="43"/>
      <c r="O109" s="43"/>
      <c r="P109" s="43"/>
      <c r="Q109" s="43"/>
      <c r="R109" s="40">
        <v>12</v>
      </c>
      <c r="S109" s="40"/>
      <c r="T109" s="40"/>
      <c r="U109" s="49"/>
      <c r="V109" s="42"/>
      <c r="W109" s="62">
        <f>LOOKUP(B109, FIXOM_VAROM!$C$8:$C$190, FIXOM_VAROM!$D$8:$D$190)</f>
        <v>50</v>
      </c>
      <c r="X109" s="40">
        <f>LOOKUP($B109, INVCOST!$C$8:$C$193, INVCOST!D$8:D$193)</f>
        <v>21.434999999999999</v>
      </c>
      <c r="Y109" s="40">
        <f>LOOKUP($B109, INVCOST!$C$8:$C$193, INVCOST!E$8:E$193)</f>
        <v>21.155000000000001</v>
      </c>
      <c r="Z109" s="40">
        <f>LOOKUP($B109, INVCOST!$C$8:$C$193, INVCOST!F$8:F$193)</f>
        <v>21.132000000000001</v>
      </c>
      <c r="AA109" s="40">
        <f>LOOKUP($B109, INVCOST!$C$8:$C$193, INVCOST!G$8:G$193)</f>
        <v>21.117999999999999</v>
      </c>
      <c r="AB109" s="40">
        <f>LOOKUP($B109, INVCOST!$C$8:$C$193, INVCOST!H$8:H$193)</f>
        <v>21.108000000000001</v>
      </c>
      <c r="AC109" s="40">
        <f>LOOKUP($B109, INVCOST!$C$8:$C$193, INVCOST!I$8:I$193)</f>
        <v>21.1</v>
      </c>
      <c r="AD109" s="40">
        <f>LOOKUP($B109, INVCOST!$C$8:$C$193, INVCOST!J$8:J$193)</f>
        <v>21.093</v>
      </c>
      <c r="AE109" s="40">
        <f>LOOKUP($B109, INVCOST!$C$8:$C$193, INVCOST!K$8:K$193)</f>
        <v>21.088000000000001</v>
      </c>
    </row>
    <row r="110" spans="2:31" s="39" customFormat="1" x14ac:dyDescent="0.3">
      <c r="B110" s="209"/>
      <c r="C110" s="208"/>
      <c r="D110" s="209" t="s">
        <v>44</v>
      </c>
      <c r="E110" s="209"/>
      <c r="F110" s="209"/>
      <c r="G110" s="10"/>
      <c r="H110" s="40"/>
      <c r="I110" s="41"/>
      <c r="J110" s="41"/>
      <c r="K110" s="42"/>
      <c r="L110" s="42"/>
      <c r="M110" s="43"/>
      <c r="N110" s="43"/>
      <c r="O110" s="43"/>
      <c r="P110" s="43"/>
      <c r="Q110" s="43"/>
      <c r="R110" s="40"/>
      <c r="S110" s="40"/>
      <c r="T110" s="40"/>
      <c r="U110" s="49"/>
      <c r="V110" s="42"/>
      <c r="W110" s="60"/>
      <c r="X110" s="40"/>
      <c r="Y110" s="40"/>
      <c r="Z110" s="40"/>
      <c r="AA110" s="40"/>
      <c r="AB110" s="40"/>
      <c r="AC110" s="40"/>
      <c r="AD110" s="40"/>
      <c r="AE110" s="40"/>
    </row>
    <row r="111" spans="2:31" s="39" customFormat="1" x14ac:dyDescent="0.3">
      <c r="B111" s="209"/>
      <c r="C111" s="209"/>
      <c r="D111" s="209"/>
      <c r="E111" s="209"/>
      <c r="F111" s="209" t="s">
        <v>442</v>
      </c>
      <c r="G111" s="50"/>
      <c r="H111" s="40"/>
      <c r="I111" s="41"/>
      <c r="J111" s="41"/>
      <c r="K111" s="42"/>
      <c r="L111" s="42"/>
      <c r="M111" s="164">
        <f>LOOKUP($B109, CEFF!$C$10:$C$156, CEFF!F$10:F$156)</f>
        <v>0.57471000000000005</v>
      </c>
      <c r="N111" s="164">
        <f>LOOKUP($B109, CEFF!$C$10:$C$156, CEFF!G$10:G$156)</f>
        <v>0.61350000000000005</v>
      </c>
      <c r="O111" s="164">
        <f>LOOKUP($B109, CEFF!$C$10:$C$156, CEFF!H$10:H$156)</f>
        <v>0.64515999999999996</v>
      </c>
      <c r="P111" s="164">
        <f>LOOKUP($B109, CEFF!$C$10:$C$156, CEFF!I$10:I$156)</f>
        <v>0.68027000000000004</v>
      </c>
      <c r="Q111" s="164">
        <f>LOOKUP($B109, CEFF!$C$10:$C$156, CEFF!J$10:J$156)</f>
        <v>0.71428999999999998</v>
      </c>
      <c r="R111" s="40"/>
      <c r="S111" s="40"/>
      <c r="T111" s="40"/>
      <c r="U111" s="49"/>
      <c r="V111" s="41"/>
      <c r="W111" s="60"/>
      <c r="X111" s="40"/>
      <c r="Y111" s="40"/>
      <c r="Z111" s="40"/>
      <c r="AA111" s="40"/>
      <c r="AB111" s="40"/>
      <c r="AC111" s="40"/>
      <c r="AD111" s="40"/>
      <c r="AE111" s="40"/>
    </row>
    <row r="112" spans="2:31" s="39" customFormat="1" x14ac:dyDescent="0.3">
      <c r="B112" s="210"/>
      <c r="C112" s="210"/>
      <c r="D112" s="210"/>
      <c r="E112" s="210"/>
      <c r="F112" s="210" t="s">
        <v>455</v>
      </c>
      <c r="G112" s="51"/>
      <c r="H112" s="45"/>
      <c r="I112" s="46"/>
      <c r="J112" s="46"/>
      <c r="K112" s="44"/>
      <c r="L112" s="44"/>
      <c r="M112" s="259">
        <f>LOOKUP($B109, CEFF!$C$163:$C$330, CEFF!F$163:F$330)</f>
        <v>0.50251000000000001</v>
      </c>
      <c r="N112" s="259">
        <f>LOOKUP($B109, CEFF!$C$163:$C$330, CEFF!G$163:G$330)</f>
        <v>0.53763000000000005</v>
      </c>
      <c r="O112" s="259">
        <f>LOOKUP($B109, CEFF!$C$163:$C$330, CEFF!H$163:H$330)</f>
        <v>0.56496999999999997</v>
      </c>
      <c r="P112" s="259">
        <f>LOOKUP($B109, CEFF!$C$163:$C$330, CEFF!I$163:I$330)</f>
        <v>0.59523999999999999</v>
      </c>
      <c r="Q112" s="259">
        <f>LOOKUP($B109, CEFF!$C$163:$C$330, CEFF!J$163:J$330)</f>
        <v>0.625</v>
      </c>
      <c r="R112" s="45"/>
      <c r="S112" s="45"/>
      <c r="T112" s="45"/>
      <c r="U112" s="53"/>
      <c r="V112" s="46"/>
      <c r="W112" s="60"/>
      <c r="X112" s="45"/>
      <c r="Y112" s="45"/>
      <c r="Z112" s="45"/>
      <c r="AA112" s="45"/>
      <c r="AB112" s="45"/>
      <c r="AC112" s="45"/>
      <c r="AD112" s="45"/>
      <c r="AE112" s="45"/>
    </row>
    <row r="113" spans="2:31" s="39" customFormat="1" x14ac:dyDescent="0.3">
      <c r="B113" s="212" t="s">
        <v>562</v>
      </c>
      <c r="C113" s="212" t="str">
        <f ca="1">LOOKUP(B113, TRA_COMM_PRO!$C$7:$C$189, TRA_COMM_PRO!$D$7:D244)</f>
        <v>Car.ELC.Pool.01.</v>
      </c>
      <c r="D113" s="212" t="s">
        <v>27</v>
      </c>
      <c r="E113" s="212"/>
      <c r="F113" s="212"/>
      <c r="G113" s="10">
        <f>$G$108</f>
        <v>2019</v>
      </c>
      <c r="H113" s="54">
        <v>10</v>
      </c>
      <c r="I113" s="155">
        <f>$I$109</f>
        <v>1E-3</v>
      </c>
      <c r="J113" s="41">
        <f>$J$109</f>
        <v>3</v>
      </c>
      <c r="K113" s="56"/>
      <c r="L113" s="56"/>
      <c r="M113" s="260"/>
      <c r="N113" s="260"/>
      <c r="O113" s="260"/>
      <c r="P113" s="260"/>
      <c r="Q113" s="260"/>
      <c r="R113" s="54">
        <f>$R$109</f>
        <v>12</v>
      </c>
      <c r="S113" s="40"/>
      <c r="T113" s="40"/>
      <c r="U113" s="49"/>
      <c r="V113" s="56"/>
      <c r="W113" s="62">
        <f>LOOKUP(B113, FIXOM_VAROM!$C$8:$C$190, FIXOM_VAROM!$D$8:$D$190)</f>
        <v>40.000000000000007</v>
      </c>
      <c r="X113" s="40">
        <f>LOOKUP($B113, INVCOST!$C$8:$C$193, INVCOST!D$8:D$193)</f>
        <v>41.054000000000002</v>
      </c>
      <c r="Y113" s="40">
        <f>LOOKUP($B113, INVCOST!$C$8:$C$193, INVCOST!E$8:E$193)</f>
        <v>35.389000000000003</v>
      </c>
      <c r="Z113" s="40">
        <f>LOOKUP($B113, INVCOST!$C$8:$C$193, INVCOST!F$8:F$193)</f>
        <v>31.187999999999999</v>
      </c>
      <c r="AA113" s="40">
        <f>LOOKUP($B113, INVCOST!$C$8:$C$193, INVCOST!G$8:G$193)</f>
        <v>29.695</v>
      </c>
      <c r="AB113" s="40">
        <f>LOOKUP($B113, INVCOST!$C$8:$C$193, INVCOST!H$8:H$193)</f>
        <v>28.536999999999999</v>
      </c>
      <c r="AC113" s="40">
        <f>LOOKUP($B113, INVCOST!$C$8:$C$193, INVCOST!I$8:I$193)</f>
        <v>27.753</v>
      </c>
      <c r="AD113" s="40">
        <f>LOOKUP($B113, INVCOST!$C$8:$C$193, INVCOST!J$8:J$193)</f>
        <v>27.114000000000001</v>
      </c>
      <c r="AE113" s="40">
        <f>LOOKUP($B113, INVCOST!$C$8:$C$193, INVCOST!K$8:K$193)</f>
        <v>26.594000000000001</v>
      </c>
    </row>
    <row r="114" spans="2:31" s="39" customFormat="1" x14ac:dyDescent="0.3">
      <c r="B114" s="209"/>
      <c r="C114" s="209"/>
      <c r="D114" s="209"/>
      <c r="E114" s="209"/>
      <c r="F114" s="209" t="s">
        <v>442</v>
      </c>
      <c r="G114" s="50"/>
      <c r="H114" s="50"/>
      <c r="I114" s="41"/>
      <c r="J114" s="41"/>
      <c r="K114" s="42"/>
      <c r="L114" s="42"/>
      <c r="M114" s="164">
        <f>LOOKUP($B113, CEFF!$C$10:$C$156, CEFF!F$10:F$156)</f>
        <v>1.2987</v>
      </c>
      <c r="N114" s="164">
        <f>LOOKUP($B113, CEFF!$C$10:$C$156, CEFF!G$10:G$156)</f>
        <v>1.2987</v>
      </c>
      <c r="O114" s="164">
        <f>LOOKUP($B113, CEFF!$C$10:$C$156, CEFF!H$10:H$156)</f>
        <v>1.3698600000000001</v>
      </c>
      <c r="P114" s="164">
        <f>LOOKUP($B113, CEFF!$C$10:$C$156, CEFF!I$10:I$156)</f>
        <v>1.4285699999999999</v>
      </c>
      <c r="Q114" s="164">
        <f>LOOKUP($B113, CEFF!$C$10:$C$156, CEFF!J$10:J$156)</f>
        <v>1.51515</v>
      </c>
      <c r="R114" s="40"/>
      <c r="S114" s="40"/>
      <c r="T114" s="40"/>
      <c r="U114" s="49"/>
      <c r="V114" s="41"/>
      <c r="W114" s="60"/>
      <c r="X114" s="40"/>
      <c r="Y114" s="40"/>
      <c r="Z114" s="40"/>
      <c r="AA114" s="40"/>
      <c r="AB114" s="40"/>
      <c r="AC114" s="40"/>
      <c r="AD114" s="40"/>
      <c r="AE114" s="40"/>
    </row>
    <row r="115" spans="2:31" s="39" customFormat="1" x14ac:dyDescent="0.3">
      <c r="B115" s="209"/>
      <c r="C115" s="209"/>
      <c r="D115" s="209"/>
      <c r="E115" s="209"/>
      <c r="F115" s="210" t="s">
        <v>455</v>
      </c>
      <c r="G115" s="51"/>
      <c r="H115" s="40"/>
      <c r="I115" s="41"/>
      <c r="J115" s="46"/>
      <c r="K115" s="42"/>
      <c r="L115" s="42"/>
      <c r="M115" s="259">
        <f>LOOKUP($B113, CEFF!$C$163:$C$330, CEFF!F$163:F$330)</f>
        <v>1.6129</v>
      </c>
      <c r="N115" s="259">
        <f>LOOKUP($B113, CEFF!$C$163:$C$330, CEFF!G$163:G$330)</f>
        <v>1.6129</v>
      </c>
      <c r="O115" s="259">
        <f>LOOKUP($B113, CEFF!$C$163:$C$330, CEFF!H$163:H$330)</f>
        <v>1.69492</v>
      </c>
      <c r="P115" s="259">
        <f>LOOKUP($B113, CEFF!$C$163:$C$330, CEFF!I$163:I$330)</f>
        <v>1.7857099999999999</v>
      </c>
      <c r="Q115" s="259">
        <f>LOOKUP($B113, CEFF!$C$163:$C$330, CEFF!J$163:J$330)</f>
        <v>1.88679</v>
      </c>
      <c r="R115" s="45"/>
      <c r="S115" s="45"/>
      <c r="T115" s="45"/>
      <c r="U115" s="53"/>
      <c r="V115" s="41"/>
      <c r="W115" s="60"/>
      <c r="X115" s="45"/>
      <c r="Y115" s="45"/>
      <c r="Z115" s="45"/>
      <c r="AA115" s="45"/>
      <c r="AB115" s="45"/>
      <c r="AC115" s="45"/>
      <c r="AD115" s="45"/>
      <c r="AE115" s="45"/>
    </row>
    <row r="116" spans="2:31" s="39" customFormat="1" x14ac:dyDescent="0.3">
      <c r="B116" s="212" t="s">
        <v>563</v>
      </c>
      <c r="C116" s="212" t="str">
        <f ca="1">LOOKUP(B116, TRA_COMM_PRO!$C$7:$C$189, TRA_COMM_PRO!$D$7:D247)</f>
        <v>Car.ETH.Pool.01.</v>
      </c>
      <c r="D116" s="212" t="s">
        <v>51</v>
      </c>
      <c r="E116" s="212"/>
      <c r="F116" s="212"/>
      <c r="G116" s="10">
        <f>$G$108</f>
        <v>2019</v>
      </c>
      <c r="H116" s="54">
        <f>$H$109</f>
        <v>15</v>
      </c>
      <c r="I116" s="155">
        <f>$I$109</f>
        <v>1E-3</v>
      </c>
      <c r="J116" s="41">
        <f>$J$109</f>
        <v>3</v>
      </c>
      <c r="K116" s="56"/>
      <c r="L116" s="56"/>
      <c r="M116" s="260"/>
      <c r="N116" s="260"/>
      <c r="O116" s="260"/>
      <c r="P116" s="260"/>
      <c r="Q116" s="260"/>
      <c r="R116" s="54">
        <f>$R$109</f>
        <v>12</v>
      </c>
      <c r="S116" s="40"/>
      <c r="T116" s="40"/>
      <c r="U116" s="49"/>
      <c r="V116" s="56"/>
      <c r="W116" s="62">
        <f>LOOKUP(B116, FIXOM_VAROM!$C$8:$C$190, FIXOM_VAROM!$D$8:$D$190)</f>
        <v>50</v>
      </c>
      <c r="X116" s="40">
        <f>LOOKUP($B116, INVCOST!$C$8:$C$193, INVCOST!D$8:D$193)</f>
        <v>19.734999999999999</v>
      </c>
      <c r="Y116" s="40">
        <f>LOOKUP($B116, INVCOST!$C$8:$C$193, INVCOST!E$8:E$193)</f>
        <v>19.452000000000002</v>
      </c>
      <c r="Z116" s="40">
        <f>LOOKUP($B116, INVCOST!$C$8:$C$193, INVCOST!F$8:F$193)</f>
        <v>19.43</v>
      </c>
      <c r="AA116" s="40">
        <f>LOOKUP($B116, INVCOST!$C$8:$C$193, INVCOST!G$8:G$193)</f>
        <v>19.414999999999999</v>
      </c>
      <c r="AB116" s="40">
        <f>LOOKUP($B116, INVCOST!$C$8:$C$193, INVCOST!H$8:H$193)</f>
        <v>19.402999999999999</v>
      </c>
      <c r="AC116" s="40">
        <f>LOOKUP($B116, INVCOST!$C$8:$C$193, INVCOST!I$8:I$193)</f>
        <v>19.393000000000001</v>
      </c>
      <c r="AD116" s="40">
        <f>LOOKUP($B116, INVCOST!$C$8:$C$193, INVCOST!J$8:J$193)</f>
        <v>19.385000000000002</v>
      </c>
      <c r="AE116" s="40">
        <f>LOOKUP($B116, INVCOST!$C$8:$C$193, INVCOST!K$8:K$193)</f>
        <v>19.378</v>
      </c>
    </row>
    <row r="117" spans="2:31" s="39" customFormat="1" x14ac:dyDescent="0.3">
      <c r="B117" s="209"/>
      <c r="C117" s="209"/>
      <c r="D117" s="209" t="s">
        <v>39</v>
      </c>
      <c r="E117" s="209"/>
      <c r="F117" s="209"/>
      <c r="G117" s="50"/>
      <c r="H117" s="40"/>
      <c r="I117" s="41"/>
      <c r="J117" s="41"/>
      <c r="K117" s="42">
        <v>0.15</v>
      </c>
      <c r="L117" s="42"/>
      <c r="M117" s="164"/>
      <c r="N117" s="164"/>
      <c r="O117" s="164"/>
      <c r="P117" s="164"/>
      <c r="Q117" s="164"/>
      <c r="R117" s="40"/>
      <c r="S117" s="40"/>
      <c r="T117" s="40"/>
      <c r="U117" s="49"/>
      <c r="V117" s="41"/>
      <c r="W117" s="60"/>
      <c r="X117" s="40"/>
      <c r="Y117" s="40"/>
      <c r="Z117" s="40"/>
      <c r="AA117" s="40"/>
      <c r="AB117" s="40"/>
      <c r="AC117" s="40"/>
      <c r="AD117" s="40"/>
      <c r="AE117" s="40"/>
    </row>
    <row r="118" spans="2:31" s="39" customFormat="1" x14ac:dyDescent="0.3">
      <c r="B118" s="209"/>
      <c r="C118" s="209"/>
      <c r="D118" s="209"/>
      <c r="E118" s="209"/>
      <c r="F118" s="209" t="s">
        <v>442</v>
      </c>
      <c r="G118" s="50"/>
      <c r="H118" s="40"/>
      <c r="I118" s="41"/>
      <c r="J118" s="41"/>
      <c r="K118" s="42"/>
      <c r="L118" s="42"/>
      <c r="M118" s="164">
        <f>LOOKUP($B116, CEFF!$C$10:$C$156, CEFF!F$10:F$156)</f>
        <v>0.51812999999999998</v>
      </c>
      <c r="N118" s="164">
        <f>LOOKUP($B116, CEFF!$C$10:$C$156, CEFF!G$10:G$156)</f>
        <v>0.55249000000000004</v>
      </c>
      <c r="O118" s="164">
        <f>LOOKUP($B116, CEFF!$C$10:$C$156, CEFF!H$10:H$156)</f>
        <v>0.58140000000000003</v>
      </c>
      <c r="P118" s="164">
        <f>LOOKUP($B116, CEFF!$C$10:$C$156, CEFF!I$10:I$156)</f>
        <v>0.61350000000000005</v>
      </c>
      <c r="Q118" s="164">
        <f>LOOKUP($B116, CEFF!$C$10:$C$156, CEFF!J$10:J$156)</f>
        <v>0.64515999999999996</v>
      </c>
      <c r="R118" s="40"/>
      <c r="S118" s="40"/>
      <c r="T118" s="40"/>
      <c r="U118" s="49"/>
      <c r="V118" s="42"/>
      <c r="W118" s="60"/>
      <c r="X118" s="40"/>
      <c r="Y118" s="40"/>
      <c r="Z118" s="40"/>
      <c r="AA118" s="40"/>
      <c r="AB118" s="40"/>
      <c r="AC118" s="40"/>
      <c r="AD118" s="40"/>
      <c r="AE118" s="40"/>
    </row>
    <row r="119" spans="2:31" s="39" customFormat="1" x14ac:dyDescent="0.3">
      <c r="B119" s="209"/>
      <c r="C119" s="209"/>
      <c r="D119" s="209"/>
      <c r="E119" s="209"/>
      <c r="F119" s="210" t="s">
        <v>455</v>
      </c>
      <c r="G119" s="51"/>
      <c r="H119" s="40"/>
      <c r="I119" s="41"/>
      <c r="J119" s="46"/>
      <c r="K119" s="42"/>
      <c r="L119" s="42"/>
      <c r="M119" s="259">
        <f>LOOKUP($B116, CEFF!$C$163:$C$330, CEFF!F$163:F$330)</f>
        <v>0.42553000000000002</v>
      </c>
      <c r="N119" s="259">
        <f>LOOKUP($B116, CEFF!$C$163:$C$330, CEFF!G$163:G$330)</f>
        <v>0.45455000000000001</v>
      </c>
      <c r="O119" s="259">
        <f>LOOKUP($B116, CEFF!$C$163:$C$330, CEFF!H$163:H$330)</f>
        <v>0.47847000000000001</v>
      </c>
      <c r="P119" s="259">
        <f>LOOKUP($B116, CEFF!$C$163:$C$330, CEFF!I$163:I$330)</f>
        <v>0.50251000000000001</v>
      </c>
      <c r="Q119" s="259">
        <f>LOOKUP($B116, CEFF!$C$163:$C$330, CEFF!J$163:J$330)</f>
        <v>0.52910000000000001</v>
      </c>
      <c r="R119" s="45"/>
      <c r="S119" s="45"/>
      <c r="T119" s="45"/>
      <c r="U119" s="53"/>
      <c r="V119" s="42"/>
      <c r="W119" s="60"/>
      <c r="X119" s="45"/>
      <c r="Y119" s="45"/>
      <c r="Z119" s="45"/>
      <c r="AA119" s="45"/>
      <c r="AB119" s="45"/>
      <c r="AC119" s="45"/>
      <c r="AD119" s="45"/>
      <c r="AE119" s="45"/>
    </row>
    <row r="120" spans="2:31" s="39" customFormat="1" x14ac:dyDescent="0.3">
      <c r="B120" s="212" t="s">
        <v>564</v>
      </c>
      <c r="C120" s="212" t="str">
        <f ca="1">LOOKUP(B120, TRA_COMM_PRO!$C$7:$C$189, TRA_COMM_PRO!$D$7:D251)</f>
        <v>Car.GAS.Pool.01.</v>
      </c>
      <c r="D120" s="212" t="s">
        <v>39</v>
      </c>
      <c r="E120" s="212"/>
      <c r="F120" s="212"/>
      <c r="G120" s="10">
        <f>$G$108</f>
        <v>2019</v>
      </c>
      <c r="H120" s="54">
        <f>$H$109</f>
        <v>15</v>
      </c>
      <c r="I120" s="155">
        <f>$I$109</f>
        <v>1E-3</v>
      </c>
      <c r="J120" s="41">
        <f>$J$109</f>
        <v>3</v>
      </c>
      <c r="K120" s="56"/>
      <c r="L120" s="56">
        <v>0.05</v>
      </c>
      <c r="M120" s="260"/>
      <c r="N120" s="260"/>
      <c r="O120" s="260"/>
      <c r="P120" s="260"/>
      <c r="Q120" s="260"/>
      <c r="R120" s="54">
        <f>$R$109</f>
        <v>12</v>
      </c>
      <c r="S120" s="40"/>
      <c r="T120" s="40"/>
      <c r="U120" s="49"/>
      <c r="V120" s="55"/>
      <c r="W120" s="62">
        <f>LOOKUP(B120, FIXOM_VAROM!$C$8:$C$190, FIXOM_VAROM!$D$8:$D$190)</f>
        <v>50</v>
      </c>
      <c r="X120" s="40">
        <f>LOOKUP($B120, INVCOST!$C$8:$C$193, INVCOST!D$8:D$193)</f>
        <v>19.734999999999999</v>
      </c>
      <c r="Y120" s="40">
        <f>LOOKUP($B120, INVCOST!$C$8:$C$193, INVCOST!E$8:E$193)</f>
        <v>19.452000000000002</v>
      </c>
      <c r="Z120" s="40">
        <f>LOOKUP($B120, INVCOST!$C$8:$C$193, INVCOST!F$8:F$193)</f>
        <v>19.43</v>
      </c>
      <c r="AA120" s="40">
        <f>LOOKUP($B120, INVCOST!$C$8:$C$193, INVCOST!G$8:G$193)</f>
        <v>19.414999999999999</v>
      </c>
      <c r="AB120" s="40">
        <f>LOOKUP($B120, INVCOST!$C$8:$C$193, INVCOST!H$8:H$193)</f>
        <v>19.402999999999999</v>
      </c>
      <c r="AC120" s="40">
        <f>LOOKUP($B120, INVCOST!$C$8:$C$193, INVCOST!I$8:I$193)</f>
        <v>19.393000000000001</v>
      </c>
      <c r="AD120" s="40">
        <f>LOOKUP($B120, INVCOST!$C$8:$C$193, INVCOST!J$8:J$193)</f>
        <v>19.385000000000002</v>
      </c>
      <c r="AE120" s="40">
        <f>LOOKUP($B120, INVCOST!$C$8:$C$193, INVCOST!K$8:K$193)</f>
        <v>19.378</v>
      </c>
    </row>
    <row r="121" spans="2:31" s="39" customFormat="1" x14ac:dyDescent="0.3">
      <c r="B121" s="209"/>
      <c r="C121" s="209"/>
      <c r="D121" s="209" t="s">
        <v>53</v>
      </c>
      <c r="E121" s="209"/>
      <c r="F121" s="209"/>
      <c r="G121" s="50"/>
      <c r="H121" s="40"/>
      <c r="I121" s="41"/>
      <c r="J121" s="41"/>
      <c r="K121" s="42"/>
      <c r="L121" s="42"/>
      <c r="M121" s="164"/>
      <c r="N121" s="164"/>
      <c r="O121" s="164"/>
      <c r="P121" s="164"/>
      <c r="Q121" s="164"/>
      <c r="R121" s="40"/>
      <c r="S121" s="40"/>
      <c r="T121" s="40"/>
      <c r="U121" s="49"/>
      <c r="V121" s="41"/>
      <c r="W121" s="60"/>
      <c r="X121" s="40"/>
      <c r="Y121" s="40"/>
      <c r="Z121" s="40"/>
      <c r="AA121" s="40"/>
      <c r="AB121" s="40"/>
      <c r="AC121" s="40"/>
      <c r="AD121" s="40"/>
      <c r="AE121" s="40"/>
    </row>
    <row r="122" spans="2:31" s="39" customFormat="1" x14ac:dyDescent="0.3">
      <c r="B122" s="209"/>
      <c r="C122" s="209"/>
      <c r="D122" s="209" t="s">
        <v>54</v>
      </c>
      <c r="E122" s="209"/>
      <c r="F122" s="209"/>
      <c r="G122" s="50"/>
      <c r="H122" s="40"/>
      <c r="I122" s="41"/>
      <c r="J122" s="41"/>
      <c r="K122" s="42"/>
      <c r="L122" s="42"/>
      <c r="M122" s="164"/>
      <c r="N122" s="164"/>
      <c r="O122" s="164"/>
      <c r="P122" s="164"/>
      <c r="Q122" s="164"/>
      <c r="R122" s="40"/>
      <c r="S122" s="40"/>
      <c r="T122" s="40"/>
      <c r="U122" s="49"/>
      <c r="V122" s="41"/>
      <c r="W122" s="60"/>
      <c r="X122" s="40"/>
      <c r="Y122" s="40"/>
      <c r="Z122" s="40"/>
      <c r="AA122" s="40"/>
      <c r="AB122" s="40"/>
      <c r="AC122" s="40"/>
      <c r="AD122" s="40"/>
      <c r="AE122" s="40"/>
    </row>
    <row r="123" spans="2:31" s="39" customFormat="1" x14ac:dyDescent="0.3">
      <c r="B123" s="209"/>
      <c r="C123" s="209"/>
      <c r="D123" s="209"/>
      <c r="E123" s="209"/>
      <c r="F123" s="209" t="s">
        <v>442</v>
      </c>
      <c r="G123" s="50"/>
      <c r="H123" s="40"/>
      <c r="I123" s="41"/>
      <c r="J123" s="41"/>
      <c r="K123" s="42"/>
      <c r="L123" s="42"/>
      <c r="M123" s="164">
        <f>LOOKUP($B120, CEFF!$C$10:$C$156, CEFF!F$10:F$156)</f>
        <v>0.51812999999999998</v>
      </c>
      <c r="N123" s="164">
        <f>LOOKUP($B120, CEFF!$C$10:$C$156, CEFF!G$10:G$156)</f>
        <v>0.55249000000000004</v>
      </c>
      <c r="O123" s="164">
        <f>LOOKUP($B120, CEFF!$C$10:$C$156, CEFF!H$10:H$156)</f>
        <v>0.58140000000000003</v>
      </c>
      <c r="P123" s="164">
        <f>LOOKUP($B120, CEFF!$C$10:$C$156, CEFF!I$10:I$156)</f>
        <v>0.61350000000000005</v>
      </c>
      <c r="Q123" s="164">
        <f>LOOKUP($B120, CEFF!$C$10:$C$156, CEFF!J$10:J$156)</f>
        <v>0.64515999999999996</v>
      </c>
      <c r="R123" s="40"/>
      <c r="S123" s="40"/>
      <c r="T123" s="40"/>
      <c r="U123" s="49"/>
      <c r="V123" s="42"/>
      <c r="W123" s="60"/>
      <c r="X123" s="40"/>
      <c r="Y123" s="40"/>
      <c r="Z123" s="40"/>
      <c r="AA123" s="40"/>
      <c r="AB123" s="40"/>
      <c r="AC123" s="40"/>
      <c r="AD123" s="40"/>
      <c r="AE123" s="40"/>
    </row>
    <row r="124" spans="2:31" s="39" customFormat="1" x14ac:dyDescent="0.3">
      <c r="B124" s="209"/>
      <c r="C124" s="209"/>
      <c r="D124" s="209"/>
      <c r="E124" s="209"/>
      <c r="F124" s="210" t="s">
        <v>455</v>
      </c>
      <c r="G124" s="51"/>
      <c r="H124" s="40"/>
      <c r="I124" s="41"/>
      <c r="J124" s="46"/>
      <c r="K124" s="42"/>
      <c r="L124" s="42"/>
      <c r="M124" s="259">
        <f>LOOKUP($B120, CEFF!$C$163:$C$330, CEFF!F$163:F$330)</f>
        <v>0.42553000000000002</v>
      </c>
      <c r="N124" s="259">
        <f>LOOKUP($B120, CEFF!$C$163:$C$330, CEFF!G$163:G$330)</f>
        <v>0.45455000000000001</v>
      </c>
      <c r="O124" s="259">
        <f>LOOKUP($B120, CEFF!$C$163:$C$330, CEFF!H$163:H$330)</f>
        <v>0.47847000000000001</v>
      </c>
      <c r="P124" s="259">
        <f>LOOKUP($B120, CEFF!$C$163:$C$330, CEFF!I$163:I$330)</f>
        <v>0.50251000000000001</v>
      </c>
      <c r="Q124" s="259">
        <f>LOOKUP($B120, CEFF!$C$163:$C$330, CEFF!J$163:J$330)</f>
        <v>0.52910000000000001</v>
      </c>
      <c r="R124" s="45"/>
      <c r="S124" s="45"/>
      <c r="T124" s="45"/>
      <c r="U124" s="53"/>
      <c r="V124" s="42"/>
      <c r="W124" s="60"/>
      <c r="X124" s="45"/>
      <c r="Y124" s="45"/>
      <c r="Z124" s="45"/>
      <c r="AA124" s="45"/>
      <c r="AB124" s="45"/>
      <c r="AC124" s="45"/>
      <c r="AD124" s="45"/>
      <c r="AE124" s="45"/>
    </row>
    <row r="125" spans="2:31" s="39" customFormat="1" x14ac:dyDescent="0.3">
      <c r="B125" s="212" t="s">
        <v>565</v>
      </c>
      <c r="C125" s="212" t="str">
        <f ca="1">LOOKUP(B125, TRA_COMM_PRO!$C$7:$C$189, TRA_COMM_PRO!$D$7:D260)</f>
        <v>Car.GSL.Pool.01.</v>
      </c>
      <c r="D125" s="212" t="s">
        <v>39</v>
      </c>
      <c r="E125" s="212"/>
      <c r="F125" s="212"/>
      <c r="G125" s="10">
        <f>$G$108</f>
        <v>2019</v>
      </c>
      <c r="H125" s="54">
        <f>$H$109</f>
        <v>15</v>
      </c>
      <c r="I125" s="155">
        <f>$I$109</f>
        <v>1E-3</v>
      </c>
      <c r="J125" s="41">
        <f>$J$109</f>
        <v>3</v>
      </c>
      <c r="K125" s="56"/>
      <c r="L125" s="56"/>
      <c r="M125" s="260"/>
      <c r="N125" s="260"/>
      <c r="O125" s="260"/>
      <c r="P125" s="260"/>
      <c r="Q125" s="260"/>
      <c r="R125" s="54">
        <f>$R$109</f>
        <v>12</v>
      </c>
      <c r="S125" s="40"/>
      <c r="T125" s="40"/>
      <c r="U125" s="49"/>
      <c r="V125" s="56"/>
      <c r="W125" s="62">
        <f>LOOKUP(B125, FIXOM_VAROM!$C$8:$C$190, FIXOM_VAROM!$D$8:$D$190)</f>
        <v>50</v>
      </c>
      <c r="X125" s="40">
        <f>LOOKUP($B125, INVCOST!$C$8:$C$193, INVCOST!D$8:D$193)</f>
        <v>19.734999999999999</v>
      </c>
      <c r="Y125" s="40">
        <f>LOOKUP($B125, INVCOST!$C$8:$C$193, INVCOST!E$8:E$193)</f>
        <v>19.452000000000002</v>
      </c>
      <c r="Z125" s="40">
        <f>LOOKUP($B125, INVCOST!$C$8:$C$193, INVCOST!F$8:F$193)</f>
        <v>19.43</v>
      </c>
      <c r="AA125" s="40">
        <f>LOOKUP($B125, INVCOST!$C$8:$C$193, INVCOST!G$8:G$193)</f>
        <v>19.414999999999999</v>
      </c>
      <c r="AB125" s="40">
        <f>LOOKUP($B125, INVCOST!$C$8:$C$193, INVCOST!H$8:H$193)</f>
        <v>19.402999999999999</v>
      </c>
      <c r="AC125" s="40">
        <f>LOOKUP($B125, INVCOST!$C$8:$C$193, INVCOST!I$8:I$193)</f>
        <v>19.393000000000001</v>
      </c>
      <c r="AD125" s="40">
        <f>LOOKUP($B125, INVCOST!$C$8:$C$193, INVCOST!J$8:J$193)</f>
        <v>19.385000000000002</v>
      </c>
      <c r="AE125" s="40">
        <f>LOOKUP($B125, INVCOST!$C$8:$C$193, INVCOST!K$8:K$193)</f>
        <v>19.378</v>
      </c>
    </row>
    <row r="126" spans="2:31" s="39" customFormat="1" x14ac:dyDescent="0.3">
      <c r="B126" s="209"/>
      <c r="C126" s="209"/>
      <c r="D126" s="209" t="s">
        <v>40</v>
      </c>
      <c r="E126" s="209"/>
      <c r="F126" s="209"/>
      <c r="G126" s="50"/>
      <c r="H126" s="40"/>
      <c r="I126" s="41"/>
      <c r="J126" s="41"/>
      <c r="K126" s="42"/>
      <c r="L126" s="42">
        <v>0.05</v>
      </c>
      <c r="M126" s="164"/>
      <c r="N126" s="164"/>
      <c r="O126" s="164"/>
      <c r="P126" s="164"/>
      <c r="Q126" s="164"/>
      <c r="R126" s="40"/>
      <c r="S126" s="40"/>
      <c r="T126" s="40"/>
      <c r="U126" s="49"/>
      <c r="V126" s="41"/>
      <c r="W126" s="60"/>
      <c r="X126" s="40"/>
      <c r="Y126" s="40"/>
      <c r="Z126" s="40"/>
      <c r="AA126" s="40"/>
      <c r="AB126" s="40"/>
      <c r="AC126" s="40"/>
      <c r="AD126" s="40"/>
      <c r="AE126" s="40"/>
    </row>
    <row r="127" spans="2:31" s="39" customFormat="1" x14ac:dyDescent="0.3">
      <c r="B127" s="209"/>
      <c r="C127" s="209"/>
      <c r="D127" s="209"/>
      <c r="E127" s="209"/>
      <c r="F127" s="209" t="s">
        <v>442</v>
      </c>
      <c r="G127" s="50"/>
      <c r="H127" s="40"/>
      <c r="I127" s="41"/>
      <c r="J127" s="41"/>
      <c r="K127" s="42"/>
      <c r="L127" s="42"/>
      <c r="M127" s="164">
        <f>LOOKUP($B125, CEFF!$C$10:$C$156, CEFF!F$10:F$156)</f>
        <v>0.51812999999999998</v>
      </c>
      <c r="N127" s="164">
        <f>LOOKUP($B125, CEFF!$C$10:$C$156, CEFF!G$10:G$156)</f>
        <v>0.55249000000000004</v>
      </c>
      <c r="O127" s="164">
        <f>LOOKUP($B125, CEFF!$C$10:$C$156, CEFF!H$10:H$156)</f>
        <v>0.58140000000000003</v>
      </c>
      <c r="P127" s="164">
        <f>LOOKUP($B125, CEFF!$C$10:$C$156, CEFF!I$10:I$156)</f>
        <v>0.61350000000000005</v>
      </c>
      <c r="Q127" s="164">
        <f>LOOKUP($B125, CEFF!$C$10:$C$156, CEFF!J$10:J$156)</f>
        <v>0.64515999999999996</v>
      </c>
      <c r="R127" s="40"/>
      <c r="S127" s="40"/>
      <c r="T127" s="40"/>
      <c r="U127" s="49"/>
      <c r="V127" s="41"/>
      <c r="W127" s="60"/>
      <c r="X127" s="40"/>
      <c r="Y127" s="40"/>
      <c r="Z127" s="40"/>
      <c r="AA127" s="40"/>
      <c r="AB127" s="40"/>
      <c r="AC127" s="40"/>
      <c r="AD127" s="40"/>
      <c r="AE127" s="40"/>
    </row>
    <row r="128" spans="2:31" s="39" customFormat="1" x14ac:dyDescent="0.3">
      <c r="B128" s="210"/>
      <c r="C128" s="210"/>
      <c r="D128" s="210"/>
      <c r="E128" s="210"/>
      <c r="F128" s="210" t="s">
        <v>455</v>
      </c>
      <c r="G128" s="51"/>
      <c r="H128" s="40"/>
      <c r="I128" s="41"/>
      <c r="J128" s="46"/>
      <c r="K128" s="42"/>
      <c r="L128" s="42"/>
      <c r="M128" s="259">
        <f>LOOKUP($B125, CEFF!$C$163:$C$330, CEFF!F$163:F$330)</f>
        <v>0.42553000000000002</v>
      </c>
      <c r="N128" s="259">
        <f>LOOKUP($B125, CEFF!$C$163:$C$330, CEFF!G$163:G$330)</f>
        <v>0.45455000000000001</v>
      </c>
      <c r="O128" s="259">
        <f>LOOKUP($B125, CEFF!$C$163:$C$330, CEFF!H$163:H$330)</f>
        <v>0.47847000000000001</v>
      </c>
      <c r="P128" s="259">
        <f>LOOKUP($B125, CEFF!$C$163:$C$330, CEFF!I$163:I$330)</f>
        <v>0.50251000000000001</v>
      </c>
      <c r="Q128" s="259">
        <f>LOOKUP($B125, CEFF!$C$163:$C$330, CEFF!J$163:J$330)</f>
        <v>0.52910000000000001</v>
      </c>
      <c r="R128" s="45"/>
      <c r="S128" s="45"/>
      <c r="T128" s="45"/>
      <c r="U128" s="53"/>
      <c r="V128" s="41"/>
      <c r="W128" s="60"/>
      <c r="X128" s="45"/>
      <c r="Y128" s="45"/>
      <c r="Z128" s="45"/>
      <c r="AA128" s="45"/>
      <c r="AB128" s="45"/>
      <c r="AC128" s="45"/>
      <c r="AD128" s="45"/>
      <c r="AE128" s="45"/>
    </row>
    <row r="129" spans="1:31" s="39" customFormat="1" x14ac:dyDescent="0.3">
      <c r="B129" s="209" t="s">
        <v>566</v>
      </c>
      <c r="C129" s="212" t="str">
        <f ca="1">LOOKUP(B129, TRA_COMM_PRO!$C$7:$C$189, TRA_COMM_PRO!$D$7:D268)</f>
        <v>Car.H2G.Pool.01.</v>
      </c>
      <c r="D129" s="209" t="s">
        <v>57</v>
      </c>
      <c r="E129" s="209"/>
      <c r="F129" s="209"/>
      <c r="G129" s="10">
        <f>G78</f>
        <v>2019</v>
      </c>
      <c r="H129" s="54">
        <f>$H$109</f>
        <v>15</v>
      </c>
      <c r="I129" s="155">
        <f>$I$109</f>
        <v>1E-3</v>
      </c>
      <c r="J129" s="41">
        <f>$J$109</f>
        <v>3</v>
      </c>
      <c r="K129" s="56"/>
      <c r="L129" s="56"/>
      <c r="M129" s="260"/>
      <c r="N129" s="260"/>
      <c r="O129" s="260"/>
      <c r="P129" s="260"/>
      <c r="Q129" s="260"/>
      <c r="R129" s="54">
        <f>$R$109</f>
        <v>12</v>
      </c>
      <c r="S129" s="40"/>
      <c r="T129" s="40"/>
      <c r="U129" s="49"/>
      <c r="V129" s="56"/>
      <c r="W129" s="62">
        <f>LOOKUP(B129, FIXOM_VAROM!$C$8:$C$190, FIXOM_VAROM!$D$8:$D$190)</f>
        <v>40.000000000000007</v>
      </c>
      <c r="X129" s="40">
        <f>LOOKUP($B129, INVCOST!$C$8:$C$193, INVCOST!D$8:D$193)</f>
        <v>35.097999999999999</v>
      </c>
      <c r="Y129" s="40">
        <f>LOOKUP($B129, INVCOST!$C$8:$C$193, INVCOST!E$8:E$193)</f>
        <v>33.204999999999998</v>
      </c>
      <c r="Z129" s="40">
        <f>LOOKUP($B129, INVCOST!$C$8:$C$193, INVCOST!F$8:F$193)</f>
        <v>30.501000000000001</v>
      </c>
      <c r="AA129" s="40">
        <f>LOOKUP($B129, INVCOST!$C$8:$C$193, INVCOST!G$8:G$193)</f>
        <v>29.122</v>
      </c>
      <c r="AB129" s="40">
        <f>LOOKUP($B129, INVCOST!$C$8:$C$193, INVCOST!H$8:H$193)</f>
        <v>28.056000000000001</v>
      </c>
      <c r="AC129" s="40">
        <f>LOOKUP($B129, INVCOST!$C$8:$C$193, INVCOST!I$8:I$193)</f>
        <v>27.158999999999999</v>
      </c>
      <c r="AD129" s="40">
        <f>LOOKUP($B129, INVCOST!$C$8:$C$193, INVCOST!J$8:J$193)</f>
        <v>26.395</v>
      </c>
      <c r="AE129" s="40">
        <f>LOOKUP($B129, INVCOST!$C$8:$C$193, INVCOST!K$8:K$193)</f>
        <v>25.727</v>
      </c>
    </row>
    <row r="130" spans="1:31" s="39" customFormat="1" x14ac:dyDescent="0.3">
      <c r="B130" s="209"/>
      <c r="C130" s="209"/>
      <c r="D130" s="209"/>
      <c r="E130" s="209"/>
      <c r="F130" s="209" t="s">
        <v>442</v>
      </c>
      <c r="G130" s="50"/>
      <c r="H130" s="40"/>
      <c r="I130" s="41"/>
      <c r="J130" s="41"/>
      <c r="K130" s="42"/>
      <c r="L130" s="42"/>
      <c r="M130" s="164">
        <f>LOOKUP($B129, CEFF!$C$10:$C$156, CEFF!F$10:F$156)</f>
        <v>0.98038999999999998</v>
      </c>
      <c r="N130" s="164">
        <f>LOOKUP($B129, CEFF!$C$10:$C$156, CEFF!G$10:G$156)</f>
        <v>0.98038999999999998</v>
      </c>
      <c r="O130" s="164">
        <f>LOOKUP($B129, CEFF!$C$10:$C$156, CEFF!H$10:H$156)</f>
        <v>1.0869599999999999</v>
      </c>
      <c r="P130" s="164">
        <f>LOOKUP($B129, CEFF!$C$10:$C$156, CEFF!I$10:I$156)</f>
        <v>1.20482</v>
      </c>
      <c r="Q130" s="164">
        <f>LOOKUP($B129, CEFF!$C$10:$C$156, CEFF!J$10:J$156)</f>
        <v>1.2658199999999999</v>
      </c>
      <c r="R130" s="40"/>
      <c r="S130" s="40"/>
      <c r="T130" s="40"/>
      <c r="U130" s="49"/>
      <c r="V130" s="42"/>
      <c r="W130" s="60"/>
      <c r="X130" s="40"/>
      <c r="Y130" s="40"/>
      <c r="Z130" s="40"/>
      <c r="AA130" s="40"/>
      <c r="AB130" s="40"/>
      <c r="AC130" s="40"/>
      <c r="AD130" s="40"/>
      <c r="AE130" s="40"/>
    </row>
    <row r="131" spans="1:31" s="39" customFormat="1" x14ac:dyDescent="0.3">
      <c r="B131" s="210"/>
      <c r="C131" s="210"/>
      <c r="D131" s="210"/>
      <c r="E131" s="210"/>
      <c r="F131" s="210" t="s">
        <v>455</v>
      </c>
      <c r="G131" s="51"/>
      <c r="H131" s="45"/>
      <c r="I131" s="46"/>
      <c r="J131" s="46"/>
      <c r="K131" s="44"/>
      <c r="L131" s="44"/>
      <c r="M131" s="259">
        <f>LOOKUP($B129, CEFF!$C$163:$C$330, CEFF!F$163:F$330)</f>
        <v>0.80645</v>
      </c>
      <c r="N131" s="259">
        <f>LOOKUP($B129, CEFF!$C$163:$C$330, CEFF!G$163:G$330)</f>
        <v>0.80645</v>
      </c>
      <c r="O131" s="259">
        <f>LOOKUP($B129, CEFF!$C$163:$C$330, CEFF!H$163:H$330)</f>
        <v>0.89285999999999999</v>
      </c>
      <c r="P131" s="259">
        <f>LOOKUP($B129, CEFF!$C$163:$C$330, CEFF!I$163:I$330)</f>
        <v>0.99009999999999998</v>
      </c>
      <c r="Q131" s="259">
        <f>LOOKUP($B129, CEFF!$C$163:$C$330, CEFF!J$163:J$330)</f>
        <v>1.0989</v>
      </c>
      <c r="R131" s="45"/>
      <c r="S131" s="45"/>
      <c r="T131" s="45"/>
      <c r="U131" s="53"/>
      <c r="V131" s="44"/>
      <c r="W131" s="60"/>
      <c r="X131" s="45"/>
      <c r="Y131" s="45"/>
      <c r="Z131" s="45"/>
      <c r="AA131" s="45"/>
      <c r="AB131" s="45"/>
      <c r="AC131" s="45"/>
      <c r="AD131" s="45"/>
      <c r="AE131" s="45"/>
    </row>
    <row r="132" spans="1:31" s="39" customFormat="1" x14ac:dyDescent="0.3">
      <c r="B132" s="209" t="s">
        <v>567</v>
      </c>
      <c r="C132" s="212" t="str">
        <f ca="1">LOOKUP(B132, TRA_COMM_PRO!$C$7:$C$189, TRA_COMM_PRO!$D$7:D271)</f>
        <v>Car.Hybrid.DST.Pool.01.</v>
      </c>
      <c r="D132" s="209" t="s">
        <v>44</v>
      </c>
      <c r="E132" s="209"/>
      <c r="F132" s="209"/>
      <c r="G132" s="10">
        <f>$G$108</f>
        <v>2019</v>
      </c>
      <c r="H132" s="54">
        <f>$H$109</f>
        <v>15</v>
      </c>
      <c r="I132" s="155">
        <f>$I$109</f>
        <v>1E-3</v>
      </c>
      <c r="J132" s="41">
        <f>$J$109</f>
        <v>3</v>
      </c>
      <c r="K132" s="42"/>
      <c r="L132" s="42"/>
      <c r="M132" s="164"/>
      <c r="N132" s="164"/>
      <c r="O132" s="164"/>
      <c r="P132" s="164"/>
      <c r="Q132" s="164"/>
      <c r="R132" s="54">
        <f>$R$109</f>
        <v>12</v>
      </c>
      <c r="S132" s="40"/>
      <c r="T132" s="40"/>
      <c r="U132" s="49"/>
      <c r="V132" s="42"/>
      <c r="W132" s="62">
        <f>LOOKUP(B132, FIXOM_VAROM!$C$8:$C$190, FIXOM_VAROM!$D$8:$D$190)</f>
        <v>50</v>
      </c>
      <c r="X132" s="40">
        <f>LOOKUP($B132, INVCOST!$C$8:$C$193, INVCOST!D$8:D$193)</f>
        <v>24.67</v>
      </c>
      <c r="Y132" s="40">
        <f>LOOKUP($B132, INVCOST!$C$8:$C$193, INVCOST!E$8:E$193)</f>
        <v>23.181999999999999</v>
      </c>
      <c r="Z132" s="40">
        <f>LOOKUP($B132, INVCOST!$C$8:$C$193, INVCOST!F$8:F$193)</f>
        <v>22.738</v>
      </c>
      <c r="AA132" s="40">
        <f>LOOKUP($B132, INVCOST!$C$8:$C$193, INVCOST!G$8:G$193)</f>
        <v>22.478000000000002</v>
      </c>
      <c r="AB132" s="40">
        <f>LOOKUP($B132, INVCOST!$C$8:$C$193, INVCOST!H$8:H$193)</f>
        <v>22.3</v>
      </c>
      <c r="AC132" s="40">
        <f>LOOKUP($B132, INVCOST!$C$8:$C$193, INVCOST!I$8:I$193)</f>
        <v>22.170999999999999</v>
      </c>
      <c r="AD132" s="40">
        <f>LOOKUP($B132, INVCOST!$C$8:$C$193, INVCOST!J$8:J$193)</f>
        <v>22.068999999999999</v>
      </c>
      <c r="AE132" s="40">
        <f>LOOKUP($B132, INVCOST!$C$8:$C$193, INVCOST!K$8:K$193)</f>
        <v>21.995000000000001</v>
      </c>
    </row>
    <row r="133" spans="1:31" s="39" customFormat="1" x14ac:dyDescent="0.3">
      <c r="B133" s="209"/>
      <c r="C133" s="209"/>
      <c r="D133" s="209" t="s">
        <v>48</v>
      </c>
      <c r="E133" s="209"/>
      <c r="F133" s="209"/>
      <c r="G133" s="50"/>
      <c r="H133" s="40"/>
      <c r="I133" s="41"/>
      <c r="J133" s="41"/>
      <c r="K133" s="42"/>
      <c r="L133" s="42"/>
      <c r="M133" s="164"/>
      <c r="N133" s="164"/>
      <c r="O133" s="164"/>
      <c r="P133" s="164"/>
      <c r="Q133" s="164"/>
      <c r="R133" s="40"/>
      <c r="S133" s="40"/>
      <c r="T133" s="40"/>
      <c r="U133" s="49"/>
      <c r="V133" s="42"/>
      <c r="W133" s="60"/>
      <c r="X133" s="40"/>
      <c r="Y133" s="40"/>
      <c r="Z133" s="40"/>
      <c r="AA133" s="40"/>
      <c r="AB133" s="40"/>
      <c r="AC133" s="40"/>
      <c r="AD133" s="40"/>
      <c r="AE133" s="40"/>
    </row>
    <row r="134" spans="1:31" s="39" customFormat="1" x14ac:dyDescent="0.3">
      <c r="B134" s="209"/>
      <c r="C134" s="209"/>
      <c r="D134" s="209"/>
      <c r="E134" s="209"/>
      <c r="F134" s="209" t="s">
        <v>442</v>
      </c>
      <c r="G134" s="50"/>
      <c r="H134" s="40"/>
      <c r="I134" s="41"/>
      <c r="J134" s="41"/>
      <c r="K134" s="42"/>
      <c r="L134" s="42"/>
      <c r="M134" s="164">
        <f>LOOKUP($B132, CEFF!$C$10:$C$156, CEFF!F$10:F$156)</f>
        <v>0.70921999999999996</v>
      </c>
      <c r="N134" s="164">
        <f>LOOKUP($B132, CEFF!$C$10:$C$156, CEFF!G$10:G$156)</f>
        <v>0.74626999999999999</v>
      </c>
      <c r="O134" s="164">
        <f>LOOKUP($B132, CEFF!$C$10:$C$156, CEFF!H$10:H$156)</f>
        <v>0.82645000000000002</v>
      </c>
      <c r="P134" s="164">
        <f>LOOKUP($B132, CEFF!$C$10:$C$156, CEFF!I$10:I$156)</f>
        <v>0.91742999999999997</v>
      </c>
      <c r="Q134" s="164">
        <f>LOOKUP($B132, CEFF!$C$10:$C$156, CEFF!J$10:J$156)</f>
        <v>1.02041</v>
      </c>
      <c r="R134" s="40"/>
      <c r="S134" s="40"/>
      <c r="T134" s="40"/>
      <c r="U134" s="49"/>
      <c r="V134" s="42"/>
      <c r="W134" s="60"/>
      <c r="X134" s="40"/>
      <c r="Y134" s="40"/>
      <c r="Z134" s="40"/>
      <c r="AA134" s="40"/>
      <c r="AB134" s="40"/>
      <c r="AC134" s="40"/>
      <c r="AD134" s="40"/>
      <c r="AE134" s="40"/>
    </row>
    <row r="135" spans="1:31" s="39" customFormat="1" x14ac:dyDescent="0.3">
      <c r="B135" s="210"/>
      <c r="C135" s="210"/>
      <c r="D135" s="210"/>
      <c r="E135" s="210"/>
      <c r="F135" s="210" t="s">
        <v>455</v>
      </c>
      <c r="G135" s="51"/>
      <c r="H135" s="45"/>
      <c r="I135" s="46"/>
      <c r="J135" s="46"/>
      <c r="K135" s="44"/>
      <c r="L135" s="44"/>
      <c r="M135" s="259">
        <f>LOOKUP($B132, CEFF!$C$163:$C$330, CEFF!F$163:F$330)</f>
        <v>0.62112000000000001</v>
      </c>
      <c r="N135" s="259">
        <f>LOOKUP($B132, CEFF!$C$163:$C$330, CEFF!G$163:G$330)</f>
        <v>0.65788999999999997</v>
      </c>
      <c r="O135" s="259">
        <f>LOOKUP($B132, CEFF!$C$163:$C$330, CEFF!H$163:H$330)</f>
        <v>0.72992999999999997</v>
      </c>
      <c r="P135" s="259">
        <f>LOOKUP($B132, CEFF!$C$163:$C$330, CEFF!I$163:I$330)</f>
        <v>0.80645</v>
      </c>
      <c r="Q135" s="259">
        <f>LOOKUP($B132, CEFF!$C$163:$C$330, CEFF!J$163:J$330)</f>
        <v>0.89285999999999999</v>
      </c>
      <c r="R135" s="45"/>
      <c r="S135" s="45"/>
      <c r="T135" s="45"/>
      <c r="U135" s="53"/>
      <c r="V135" s="44"/>
      <c r="W135" s="60"/>
      <c r="X135" s="45"/>
      <c r="Y135" s="45"/>
      <c r="Z135" s="45"/>
      <c r="AA135" s="45"/>
      <c r="AB135" s="45"/>
      <c r="AC135" s="45"/>
      <c r="AD135" s="45"/>
      <c r="AE135" s="45"/>
    </row>
    <row r="136" spans="1:31" s="39" customFormat="1" x14ac:dyDescent="0.3">
      <c r="B136" s="209" t="s">
        <v>568</v>
      </c>
      <c r="C136" s="209" t="str">
        <f ca="1">LOOKUP(B136, TRA_COMM_PRO!$C$7:$C$189, TRA_COMM_PRO!$D$7:D275)</f>
        <v>Car.Hybrid.GSL.Pool.01.</v>
      </c>
      <c r="D136" s="209" t="s">
        <v>40</v>
      </c>
      <c r="E136" s="209"/>
      <c r="F136" s="209"/>
      <c r="G136" s="10">
        <f>$G$108</f>
        <v>2019</v>
      </c>
      <c r="H136" s="54">
        <f>$H$109</f>
        <v>15</v>
      </c>
      <c r="I136" s="155">
        <f>$I$109</f>
        <v>1E-3</v>
      </c>
      <c r="J136" s="41">
        <f>$J$109</f>
        <v>3</v>
      </c>
      <c r="K136" s="42"/>
      <c r="L136" s="42">
        <v>0.05</v>
      </c>
      <c r="M136" s="261"/>
      <c r="N136" s="261"/>
      <c r="O136" s="261"/>
      <c r="P136" s="261"/>
      <c r="Q136" s="261"/>
      <c r="R136" s="54">
        <f>$R$109</f>
        <v>12</v>
      </c>
      <c r="S136" s="40"/>
      <c r="T136" s="40"/>
      <c r="U136" s="49"/>
      <c r="V136" s="42"/>
      <c r="W136" s="62">
        <f>LOOKUP(B136, FIXOM_VAROM!$C$8:$C$190, FIXOM_VAROM!$D$8:$D$190)</f>
        <v>50</v>
      </c>
      <c r="X136" s="40">
        <f>LOOKUP($B136, INVCOST!$C$8:$C$193, INVCOST!D$8:D$193)</f>
        <v>22.67</v>
      </c>
      <c r="Y136" s="40">
        <f>LOOKUP($B136, INVCOST!$C$8:$C$193, INVCOST!E$8:E$193)</f>
        <v>21.329000000000001</v>
      </c>
      <c r="Z136" s="40">
        <f>LOOKUP($B136, INVCOST!$C$8:$C$193, INVCOST!F$8:F$193)</f>
        <v>20.885999999999999</v>
      </c>
      <c r="AA136" s="40">
        <f>LOOKUP($B136, INVCOST!$C$8:$C$193, INVCOST!G$8:G$193)</f>
        <v>20.626000000000001</v>
      </c>
      <c r="AB136" s="40">
        <f>LOOKUP($B136, INVCOST!$C$8:$C$193, INVCOST!H$8:H$193)</f>
        <v>20.446000000000002</v>
      </c>
      <c r="AC136" s="40">
        <f>LOOKUP($B136, INVCOST!$C$8:$C$193, INVCOST!I$8:I$193)</f>
        <v>20.135999999999999</v>
      </c>
      <c r="AD136" s="40">
        <f>LOOKUP($B136, INVCOST!$C$8:$C$193, INVCOST!J$8:J$193)</f>
        <v>20.212</v>
      </c>
      <c r="AE136" s="40">
        <f>LOOKUP($B136, INVCOST!$C$8:$C$193, INVCOST!K$8:K$193)</f>
        <v>20.135999999999999</v>
      </c>
    </row>
    <row r="137" spans="1:31" s="39" customFormat="1" x14ac:dyDescent="0.3">
      <c r="B137" s="209"/>
      <c r="C137" s="209"/>
      <c r="D137" s="209" t="s">
        <v>39</v>
      </c>
      <c r="E137" s="209"/>
      <c r="F137" s="209"/>
      <c r="G137" s="50"/>
      <c r="H137" s="40"/>
      <c r="I137" s="41"/>
      <c r="J137" s="41"/>
      <c r="K137" s="42"/>
      <c r="L137" s="42"/>
      <c r="M137" s="261"/>
      <c r="N137" s="261"/>
      <c r="O137" s="261"/>
      <c r="P137" s="261"/>
      <c r="Q137" s="261"/>
      <c r="R137" s="40"/>
      <c r="S137" s="40"/>
      <c r="T137" s="40"/>
      <c r="U137" s="49"/>
      <c r="V137" s="42"/>
      <c r="W137" s="60"/>
      <c r="X137" s="40"/>
      <c r="Y137" s="40"/>
      <c r="Z137" s="40"/>
      <c r="AA137" s="40"/>
      <c r="AB137" s="40"/>
      <c r="AC137" s="40"/>
      <c r="AD137" s="40"/>
      <c r="AE137" s="40"/>
    </row>
    <row r="138" spans="1:31" s="39" customFormat="1" x14ac:dyDescent="0.3">
      <c r="B138" s="209"/>
      <c r="C138" s="209"/>
      <c r="D138" s="209"/>
      <c r="E138" s="209"/>
      <c r="F138" s="209" t="s">
        <v>442</v>
      </c>
      <c r="G138" s="50"/>
      <c r="H138" s="40"/>
      <c r="I138" s="41"/>
      <c r="J138" s="41"/>
      <c r="K138" s="42"/>
      <c r="L138" s="42"/>
      <c r="M138" s="164">
        <f>LOOKUP($B136, CEFF!$C$10:$C$156, CEFF!F$10:F$156)</f>
        <v>0.63693999999999995</v>
      </c>
      <c r="N138" s="164">
        <f>LOOKUP($B136, CEFF!$C$10:$C$156, CEFF!G$10:G$156)</f>
        <v>0.67113999999999996</v>
      </c>
      <c r="O138" s="164">
        <f>LOOKUP($B136, CEFF!$C$10:$C$156, CEFF!H$10:H$156)</f>
        <v>0.74626999999999999</v>
      </c>
      <c r="P138" s="164">
        <f>LOOKUP($B136, CEFF!$C$10:$C$156, CEFF!I$10:I$156)</f>
        <v>0.82645000000000002</v>
      </c>
      <c r="Q138" s="164">
        <f>LOOKUP($B136, CEFF!$C$10:$C$156, CEFF!J$10:J$156)</f>
        <v>0.91742999999999997</v>
      </c>
      <c r="R138" s="40"/>
      <c r="S138" s="40"/>
      <c r="T138" s="40"/>
      <c r="U138" s="49"/>
      <c r="V138" s="42"/>
      <c r="W138" s="60"/>
      <c r="X138" s="40"/>
      <c r="Y138" s="40"/>
      <c r="Z138" s="40"/>
      <c r="AA138" s="40"/>
      <c r="AB138" s="40"/>
      <c r="AC138" s="40"/>
      <c r="AD138" s="40"/>
      <c r="AE138" s="40"/>
    </row>
    <row r="139" spans="1:31" s="39" customFormat="1" x14ac:dyDescent="0.3">
      <c r="B139" s="210"/>
      <c r="C139" s="210"/>
      <c r="D139" s="210"/>
      <c r="E139" s="210"/>
      <c r="F139" s="210" t="s">
        <v>455</v>
      </c>
      <c r="G139" s="51"/>
      <c r="H139" s="45"/>
      <c r="I139" s="46"/>
      <c r="J139" s="46"/>
      <c r="K139" s="44"/>
      <c r="L139" s="44"/>
      <c r="M139" s="259">
        <f>LOOKUP($B136, CEFF!$C$163:$C$330, CEFF!F$163:F$330)</f>
        <v>0.52356000000000003</v>
      </c>
      <c r="N139" s="259">
        <f>LOOKUP($B136, CEFF!$C$163:$C$330, CEFF!G$163:G$330)</f>
        <v>0.55249000000000004</v>
      </c>
      <c r="O139" s="259">
        <f>LOOKUP($B136, CEFF!$C$163:$C$330, CEFF!H$163:H$330)</f>
        <v>0.61350000000000005</v>
      </c>
      <c r="P139" s="259">
        <f>LOOKUP($B136, CEFF!$C$163:$C$330, CEFF!I$163:I$330)</f>
        <v>0.68027000000000004</v>
      </c>
      <c r="Q139" s="259">
        <f>LOOKUP($B136, CEFF!$C$163:$C$330, CEFF!J$163:J$330)</f>
        <v>0.75187999999999999</v>
      </c>
      <c r="R139" s="45"/>
      <c r="S139" s="45"/>
      <c r="T139" s="45"/>
      <c r="U139" s="53"/>
      <c r="V139" s="44"/>
      <c r="W139" s="60"/>
      <c r="X139" s="45"/>
      <c r="Y139" s="45"/>
      <c r="Z139" s="45"/>
      <c r="AA139" s="45"/>
      <c r="AB139" s="45"/>
      <c r="AC139" s="45"/>
      <c r="AD139" s="45"/>
      <c r="AE139" s="45"/>
    </row>
    <row r="140" spans="1:31" s="39" customFormat="1" x14ac:dyDescent="0.3">
      <c r="A140"/>
      <c r="B140" s="212" t="s">
        <v>569</v>
      </c>
      <c r="C140" s="212" t="s">
        <v>61</v>
      </c>
      <c r="D140" s="212" t="s">
        <v>62</v>
      </c>
      <c r="E140" s="212"/>
      <c r="F140" s="212"/>
      <c r="G140" s="10">
        <f>$G$108</f>
        <v>2019</v>
      </c>
      <c r="H140" s="54">
        <f>$H$109</f>
        <v>15</v>
      </c>
      <c r="I140" s="155">
        <f>$I$109</f>
        <v>1E-3</v>
      </c>
      <c r="J140" s="41">
        <f>$J$109</f>
        <v>3</v>
      </c>
      <c r="K140" s="56"/>
      <c r="L140" s="56"/>
      <c r="M140" s="260"/>
      <c r="N140" s="260"/>
      <c r="O140" s="260"/>
      <c r="P140" s="260"/>
      <c r="Q140" s="260"/>
      <c r="R140" s="54">
        <f>$R$109</f>
        <v>12</v>
      </c>
      <c r="S140" s="54"/>
      <c r="T140" s="54"/>
      <c r="U140" s="54"/>
      <c r="V140" s="55"/>
      <c r="W140" s="62">
        <f>LOOKUP(B140, FIXOM_VAROM!$C$8:$C$190, FIXOM_VAROM!$D$8:$D$190)</f>
        <v>50</v>
      </c>
      <c r="X140" s="40">
        <f>LOOKUP($B140, INVCOST!$C$8:$C$193, INVCOST!D$8:D$193)</f>
        <v>19.734999999999999</v>
      </c>
      <c r="Y140" s="40">
        <f>LOOKUP($B140, INVCOST!$C$8:$C$193, INVCOST!E$8:E$193)</f>
        <v>19.452000000000002</v>
      </c>
      <c r="Z140" s="40">
        <f>LOOKUP($B140, INVCOST!$C$8:$C$193, INVCOST!F$8:F$193)</f>
        <v>19.43</v>
      </c>
      <c r="AA140" s="40">
        <f>LOOKUP($B140, INVCOST!$C$8:$C$193, INVCOST!G$8:G$193)</f>
        <v>19.414999999999999</v>
      </c>
      <c r="AB140" s="40">
        <f>LOOKUP($B140, INVCOST!$C$8:$C$193, INVCOST!H$8:H$193)</f>
        <v>19.402999999999999</v>
      </c>
      <c r="AC140" s="40">
        <f>LOOKUP($B140, INVCOST!$C$8:$C$193, INVCOST!I$8:I$193)</f>
        <v>19.393000000000001</v>
      </c>
      <c r="AD140" s="40">
        <f>LOOKUP($B140, INVCOST!$C$8:$C$193, INVCOST!J$8:J$193)</f>
        <v>19.385000000000002</v>
      </c>
      <c r="AE140" s="40">
        <f>LOOKUP($B140, INVCOST!$C$8:$C$193, INVCOST!K$8:K$193)</f>
        <v>19.378</v>
      </c>
    </row>
    <row r="141" spans="1:31" s="39" customFormat="1" x14ac:dyDescent="0.3">
      <c r="A141"/>
      <c r="B141" s="209"/>
      <c r="C141" s="209"/>
      <c r="D141" s="209" t="s">
        <v>39</v>
      </c>
      <c r="E141" s="209"/>
      <c r="F141" s="209"/>
      <c r="G141" s="10"/>
      <c r="H141" s="40"/>
      <c r="I141" s="41"/>
      <c r="J141" s="41"/>
      <c r="K141" s="42"/>
      <c r="L141" s="42"/>
      <c r="M141" s="164"/>
      <c r="N141" s="164"/>
      <c r="O141" s="164"/>
      <c r="P141" s="164"/>
      <c r="Q141" s="164"/>
      <c r="R141" s="40"/>
      <c r="S141" s="40"/>
      <c r="T141" s="40"/>
      <c r="U141" s="40"/>
      <c r="V141" s="41"/>
      <c r="W141" s="60"/>
      <c r="X141" s="40"/>
      <c r="Y141" s="40"/>
      <c r="Z141" s="40"/>
      <c r="AA141" s="40"/>
      <c r="AB141" s="40"/>
      <c r="AC141" s="40"/>
      <c r="AD141" s="40"/>
      <c r="AE141" s="40"/>
    </row>
    <row r="142" spans="1:31" s="39" customFormat="1" x14ac:dyDescent="0.3">
      <c r="A142"/>
      <c r="B142" s="209"/>
      <c r="C142" s="209"/>
      <c r="D142" s="209"/>
      <c r="E142" s="209"/>
      <c r="F142" s="209" t="s">
        <v>442</v>
      </c>
      <c r="G142" s="50"/>
      <c r="H142" s="40"/>
      <c r="I142" s="41"/>
      <c r="J142" s="41"/>
      <c r="K142" s="42"/>
      <c r="L142" s="42"/>
      <c r="M142" s="164">
        <f>LOOKUP($B140, CEFF!$C$10:$C$156, CEFF!F$10:F$156)</f>
        <v>0.51812999999999998</v>
      </c>
      <c r="N142" s="164">
        <f>LOOKUP($B140, CEFF!$C$10:$C$156, CEFF!G$10:G$156)</f>
        <v>0.55249000000000004</v>
      </c>
      <c r="O142" s="164">
        <f>LOOKUP($B140, CEFF!$C$10:$C$156, CEFF!H$10:H$156)</f>
        <v>0.58140000000000003</v>
      </c>
      <c r="P142" s="164">
        <f>LOOKUP($B140, CEFF!$C$10:$C$156, CEFF!I$10:I$156)</f>
        <v>0.61350000000000005</v>
      </c>
      <c r="Q142" s="164">
        <f>LOOKUP($B140, CEFF!$C$10:$C$156, CEFF!J$10:J$156)</f>
        <v>0.64515999999999996</v>
      </c>
      <c r="R142" s="40"/>
      <c r="S142" s="40"/>
      <c r="T142" s="40"/>
      <c r="U142" s="40"/>
      <c r="V142" s="42"/>
      <c r="W142" s="60"/>
      <c r="X142" s="40"/>
      <c r="Y142" s="40"/>
      <c r="Z142" s="40"/>
      <c r="AA142" s="40"/>
      <c r="AB142" s="40"/>
      <c r="AC142" s="40"/>
      <c r="AD142" s="40"/>
      <c r="AE142" s="40"/>
    </row>
    <row r="143" spans="1:31" s="39" customFormat="1" x14ac:dyDescent="0.3">
      <c r="A143"/>
      <c r="B143" s="209"/>
      <c r="C143" s="209"/>
      <c r="D143" s="209"/>
      <c r="E143" s="209"/>
      <c r="F143" s="210" t="s">
        <v>455</v>
      </c>
      <c r="G143" s="51"/>
      <c r="H143" s="40"/>
      <c r="I143" s="41"/>
      <c r="J143" s="41"/>
      <c r="K143" s="42"/>
      <c r="L143" s="42"/>
      <c r="M143" s="259">
        <f>LOOKUP($B140, CEFF!$C$163:$C$330, CEFF!F$163:F$330)</f>
        <v>0.42553000000000002</v>
      </c>
      <c r="N143" s="259">
        <f>LOOKUP($B140, CEFF!$C$163:$C$330, CEFF!G$163:G$330)</f>
        <v>0.45455000000000001</v>
      </c>
      <c r="O143" s="259">
        <f>LOOKUP($B140, CEFF!$C$163:$C$330, CEFF!H$163:H$330)</f>
        <v>0.47847000000000001</v>
      </c>
      <c r="P143" s="259">
        <f>LOOKUP($B140, CEFF!$C$163:$C$330, CEFF!I$163:I$330)</f>
        <v>0.50251000000000001</v>
      </c>
      <c r="Q143" s="259">
        <f>LOOKUP($B140, CEFF!$C$163:$C$330, CEFF!J$163:J$330)</f>
        <v>0.52910000000000001</v>
      </c>
      <c r="R143" s="42"/>
      <c r="S143" s="42"/>
      <c r="T143" s="42"/>
      <c r="U143" s="42"/>
      <c r="V143" s="42"/>
      <c r="W143" s="60"/>
      <c r="X143" s="45"/>
      <c r="Y143" s="45"/>
      <c r="Z143" s="45"/>
      <c r="AA143" s="45"/>
      <c r="AB143" s="45"/>
      <c r="AC143" s="45"/>
      <c r="AD143" s="45"/>
      <c r="AE143" s="45"/>
    </row>
    <row r="144" spans="1:31" s="39" customFormat="1" x14ac:dyDescent="0.3">
      <c r="B144" s="212" t="s">
        <v>586</v>
      </c>
      <c r="C144" s="212" t="str">
        <f ca="1">LOOKUP(B144, TRA_COMM_PRO!$C$7:$C$189, TRA_COMM_PRO!$D$7:D283)</f>
        <v>Car.MTH.Pool.01.</v>
      </c>
      <c r="D144" s="212" t="s">
        <v>582</v>
      </c>
      <c r="E144" s="212"/>
      <c r="F144" s="212"/>
      <c r="G144" s="10">
        <f>$G$108</f>
        <v>2019</v>
      </c>
      <c r="H144" s="54">
        <f>$H$109</f>
        <v>15</v>
      </c>
      <c r="I144" s="155">
        <f>$I$109</f>
        <v>1E-3</v>
      </c>
      <c r="J144" s="55">
        <f>$J$109</f>
        <v>3</v>
      </c>
      <c r="K144" s="56"/>
      <c r="L144" s="56"/>
      <c r="M144" s="260"/>
      <c r="N144" s="260"/>
      <c r="O144" s="260"/>
      <c r="P144" s="260"/>
      <c r="Q144" s="260"/>
      <c r="R144" s="54">
        <f>$R$109</f>
        <v>12</v>
      </c>
      <c r="S144" s="54"/>
      <c r="T144" s="55"/>
      <c r="U144" s="55"/>
      <c r="V144" s="55"/>
      <c r="W144" s="62">
        <f>LOOKUP(B144, FIXOM_VAROM!$C$8:$C$190, FIXOM_VAROM!$D$8:$D$190)</f>
        <v>50</v>
      </c>
      <c r="X144" s="40">
        <f>LOOKUP($B144, INVCOST!$C$8:$C$193, INVCOST!D$8:D$193)</f>
        <v>19.734999999999999</v>
      </c>
      <c r="Y144" s="40">
        <f>LOOKUP($B144, INVCOST!$C$8:$C$193, INVCOST!E$8:E$193)</f>
        <v>19.452000000000002</v>
      </c>
      <c r="Z144" s="40">
        <f>LOOKUP($B144, INVCOST!$C$8:$C$193, INVCOST!F$8:F$193)</f>
        <v>19.43</v>
      </c>
      <c r="AA144" s="40">
        <f>LOOKUP($B144, INVCOST!$C$8:$C$193, INVCOST!G$8:G$193)</f>
        <v>19.414999999999999</v>
      </c>
      <c r="AB144" s="40">
        <f>LOOKUP($B144, INVCOST!$C$8:$C$193, INVCOST!H$8:H$193)</f>
        <v>19.402999999999999</v>
      </c>
      <c r="AC144" s="40">
        <f>LOOKUP($B144, INVCOST!$C$8:$C$193, INVCOST!I$8:I$193)</f>
        <v>19.393000000000001</v>
      </c>
      <c r="AD144" s="40">
        <f>LOOKUP($B144, INVCOST!$C$8:$C$193, INVCOST!J$8:J$193)</f>
        <v>19.385000000000002</v>
      </c>
      <c r="AE144" s="40">
        <f>LOOKUP($B144, INVCOST!$C$8:$C$193, INVCOST!K$8:K$193)</f>
        <v>19.378</v>
      </c>
    </row>
    <row r="145" spans="2:31" s="39" customFormat="1" x14ac:dyDescent="0.3">
      <c r="B145" s="209"/>
      <c r="C145" s="209"/>
      <c r="D145" s="209"/>
      <c r="E145" s="209"/>
      <c r="F145" s="209" t="s">
        <v>442</v>
      </c>
      <c r="G145" s="50"/>
      <c r="H145" s="40"/>
      <c r="I145" s="41"/>
      <c r="J145" s="41"/>
      <c r="K145" s="42"/>
      <c r="L145" s="42"/>
      <c r="M145" s="164">
        <f>LOOKUP($B144, CEFF!$C$10:$C$156, CEFF!F$10:F$156)</f>
        <v>0.51812999999999998</v>
      </c>
      <c r="N145" s="164">
        <f>LOOKUP($B144, CEFF!$C$10:$C$156, CEFF!G$10:G$156)</f>
        <v>0.55249000000000004</v>
      </c>
      <c r="O145" s="164">
        <f>LOOKUP($B144, CEFF!$C$10:$C$156, CEFF!H$10:H$156)</f>
        <v>0.58140000000000003</v>
      </c>
      <c r="P145" s="164">
        <f>LOOKUP($B144, CEFF!$C$10:$C$156, CEFF!I$10:I$156)</f>
        <v>0.61350000000000005</v>
      </c>
      <c r="Q145" s="164">
        <f>LOOKUP($B144, CEFF!$C$10:$C$156, CEFF!J$10:J$156)</f>
        <v>0.64515999999999996</v>
      </c>
      <c r="R145" s="40"/>
      <c r="S145" s="40"/>
      <c r="T145" s="40"/>
      <c r="U145" s="49"/>
      <c r="V145" s="42"/>
      <c r="W145" s="60"/>
      <c r="X145" s="40"/>
      <c r="Y145" s="40"/>
      <c r="Z145" s="40"/>
      <c r="AA145" s="40"/>
      <c r="AB145" s="40"/>
      <c r="AC145" s="40"/>
      <c r="AD145" s="40"/>
      <c r="AE145" s="40"/>
    </row>
    <row r="146" spans="2:31" s="39" customFormat="1" x14ac:dyDescent="0.3">
      <c r="B146" s="210"/>
      <c r="C146" s="210"/>
      <c r="D146" s="210"/>
      <c r="E146" s="210"/>
      <c r="F146" s="210" t="s">
        <v>455</v>
      </c>
      <c r="G146" s="51"/>
      <c r="H146" s="45"/>
      <c r="I146" s="46"/>
      <c r="J146" s="46"/>
      <c r="K146" s="44"/>
      <c r="L146" s="44"/>
      <c r="M146" s="259">
        <f>LOOKUP($B144, CEFF!$C$163:$C$330, CEFF!F$163:F$330)</f>
        <v>0.42553000000000002</v>
      </c>
      <c r="N146" s="259">
        <f>LOOKUP($B144, CEFF!$C$163:$C$330, CEFF!G$163:G$330)</f>
        <v>0.45455000000000001</v>
      </c>
      <c r="O146" s="259">
        <f>LOOKUP($B144, CEFF!$C$163:$C$330, CEFF!H$163:H$330)</f>
        <v>0.47847000000000001</v>
      </c>
      <c r="P146" s="259">
        <f>LOOKUP($B144, CEFF!$C$163:$C$330, CEFF!I$163:I$330)</f>
        <v>0.50251000000000001</v>
      </c>
      <c r="Q146" s="259">
        <f>LOOKUP($B144, CEFF!$C$163:$C$330, CEFF!J$163:J$330)</f>
        <v>0.52910000000000001</v>
      </c>
      <c r="R146" s="45"/>
      <c r="S146" s="45"/>
      <c r="T146" s="45"/>
      <c r="U146" s="53"/>
      <c r="V146" s="44"/>
      <c r="W146" s="60"/>
      <c r="X146" s="45"/>
      <c r="Y146" s="45"/>
      <c r="Z146" s="45"/>
      <c r="AA146" s="45"/>
      <c r="AB146" s="45"/>
      <c r="AC146" s="45"/>
      <c r="AD146" s="45"/>
      <c r="AE146" s="45"/>
    </row>
    <row r="147" spans="2:31" s="39" customFormat="1" x14ac:dyDescent="0.3">
      <c r="B147" s="209" t="s">
        <v>570</v>
      </c>
      <c r="C147" s="212" t="str">
        <f ca="1">LOOKUP(B147, TRA_COMM_PRO!$C$7:$C$189, TRA_COMM_PRO!$D$7:D286)</f>
        <v>Car.Plugin-Hybrid.DST.Pool.01.</v>
      </c>
      <c r="D147" s="209" t="s">
        <v>44</v>
      </c>
      <c r="E147" s="209"/>
      <c r="F147" s="209"/>
      <c r="G147" s="10">
        <f>$G$108</f>
        <v>2019</v>
      </c>
      <c r="H147" s="54">
        <f>$H$109</f>
        <v>15</v>
      </c>
      <c r="I147" s="155">
        <f>$I$109</f>
        <v>1E-3</v>
      </c>
      <c r="J147" s="41">
        <f>$J$109</f>
        <v>3</v>
      </c>
      <c r="K147" s="42"/>
      <c r="L147" s="42"/>
      <c r="M147" s="164"/>
      <c r="N147" s="164"/>
      <c r="O147" s="164"/>
      <c r="P147" s="164"/>
      <c r="Q147" s="164"/>
      <c r="R147" s="54">
        <f>$R$109</f>
        <v>12</v>
      </c>
      <c r="S147" s="40"/>
      <c r="T147" s="40"/>
      <c r="U147" s="49"/>
      <c r="V147" s="42"/>
      <c r="W147" s="62">
        <f>LOOKUP(B147, FIXOM_VAROM!$C$8:$C$190, FIXOM_VAROM!$D$8:$D$190)</f>
        <v>50</v>
      </c>
      <c r="X147" s="40">
        <f>LOOKUP($B147, INVCOST!$C$8:$C$193, INVCOST!D$8:D$193)</f>
        <v>32.155000000000001</v>
      </c>
      <c r="Y147" s="40">
        <f>LOOKUP($B147, INVCOST!$C$8:$C$193, INVCOST!E$8:E$193)</f>
        <v>29.478999999999999</v>
      </c>
      <c r="Z147" s="40">
        <f>LOOKUP($B147, INVCOST!$C$8:$C$193, INVCOST!F$8:F$193)</f>
        <v>27.831</v>
      </c>
      <c r="AA147" s="40">
        <f>LOOKUP($B147, INVCOST!$C$8:$C$193, INVCOST!G$8:G$193)</f>
        <v>26.962</v>
      </c>
      <c r="AB147" s="40">
        <f>LOOKUP($B147, INVCOST!$C$8:$C$193, INVCOST!H$8:H$193)</f>
        <v>26.277000000000001</v>
      </c>
      <c r="AC147" s="40">
        <f>LOOKUP($B147, INVCOST!$C$8:$C$193, INVCOST!I$8:I$193)</f>
        <v>25.709</v>
      </c>
      <c r="AD147" s="40">
        <f>LOOKUP($B147, INVCOST!$C$8:$C$193, INVCOST!J$8:J$193)</f>
        <v>25.244</v>
      </c>
      <c r="AE147" s="40">
        <f>LOOKUP($B147, INVCOST!$C$8:$C$193, INVCOST!K$8:K$193)</f>
        <v>24.864000000000001</v>
      </c>
    </row>
    <row r="148" spans="2:31" s="39" customFormat="1" x14ac:dyDescent="0.3">
      <c r="B148" s="209"/>
      <c r="C148" s="209"/>
      <c r="D148" s="209" t="s">
        <v>48</v>
      </c>
      <c r="E148" s="209"/>
      <c r="F148" s="209"/>
      <c r="G148" s="50"/>
      <c r="H148" s="40"/>
      <c r="I148" s="41"/>
      <c r="J148" s="41"/>
      <c r="K148" s="42"/>
      <c r="L148" s="42"/>
      <c r="M148" s="164"/>
      <c r="N148" s="164"/>
      <c r="O148" s="164"/>
      <c r="P148" s="164"/>
      <c r="Q148" s="164"/>
      <c r="R148" s="40"/>
      <c r="S148" s="40"/>
      <c r="T148" s="40"/>
      <c r="U148" s="49"/>
      <c r="V148" s="42"/>
      <c r="W148" s="60"/>
      <c r="X148" s="40"/>
      <c r="Y148" s="40"/>
      <c r="Z148" s="40"/>
      <c r="AA148" s="40"/>
      <c r="AB148" s="40"/>
      <c r="AC148" s="40"/>
      <c r="AD148" s="40"/>
      <c r="AE148" s="40"/>
    </row>
    <row r="149" spans="2:31" s="39" customFormat="1" x14ac:dyDescent="0.3">
      <c r="B149" s="209"/>
      <c r="C149" s="209"/>
      <c r="D149" s="209"/>
      <c r="E149" s="209"/>
      <c r="F149" s="209" t="s">
        <v>442</v>
      </c>
      <c r="G149" s="50"/>
      <c r="H149" s="40"/>
      <c r="I149" s="41"/>
      <c r="J149" s="41"/>
      <c r="K149" s="42"/>
      <c r="L149" s="42"/>
      <c r="M149" s="164">
        <f>LOOKUP($B147, CEFF!$C$10:$C$156, CEFF!F$10:F$156)</f>
        <v>0.85470000000000002</v>
      </c>
      <c r="N149" s="164">
        <f>LOOKUP($B147, CEFF!$C$10:$C$156, CEFF!G$10:G$156)</f>
        <v>0.85470000000000002</v>
      </c>
      <c r="O149" s="164">
        <f>LOOKUP($B147, CEFF!$C$10:$C$156, CEFF!H$10:H$156)</f>
        <v>0.94340000000000002</v>
      </c>
      <c r="P149" s="164">
        <f>LOOKUP($B147, CEFF!$C$10:$C$156, CEFF!I$10:I$156)</f>
        <v>1.0416700000000001</v>
      </c>
      <c r="Q149" s="164">
        <f>LOOKUP($B147, CEFF!$C$10:$C$156, CEFF!J$10:J$156)</f>
        <v>1.16279</v>
      </c>
      <c r="R149" s="40"/>
      <c r="S149" s="40"/>
      <c r="T149" s="40"/>
      <c r="U149" s="49"/>
      <c r="V149" s="42"/>
      <c r="W149" s="60"/>
      <c r="X149" s="40"/>
      <c r="Y149" s="40"/>
      <c r="Z149" s="40"/>
      <c r="AA149" s="40"/>
      <c r="AB149" s="40"/>
      <c r="AC149" s="40"/>
      <c r="AD149" s="40"/>
      <c r="AE149" s="40"/>
    </row>
    <row r="150" spans="2:31" s="39" customFormat="1" x14ac:dyDescent="0.3">
      <c r="B150" s="210"/>
      <c r="C150" s="210"/>
      <c r="D150" s="210"/>
      <c r="E150" s="210"/>
      <c r="F150" s="210" t="s">
        <v>455</v>
      </c>
      <c r="G150" s="51"/>
      <c r="H150" s="45"/>
      <c r="I150" s="46"/>
      <c r="J150" s="46"/>
      <c r="K150" s="44"/>
      <c r="L150" s="44"/>
      <c r="M150" s="259">
        <f>LOOKUP($B147, CEFF!$C$163:$C$330, CEFF!F$163:F$330)</f>
        <v>1.0869599999999999</v>
      </c>
      <c r="N150" s="259">
        <f>LOOKUP($B147, CEFF!$C$163:$C$330, CEFF!G$163:G$330)</f>
        <v>1.0638300000000001</v>
      </c>
      <c r="O150" s="259">
        <f>LOOKUP($B147, CEFF!$C$163:$C$330, CEFF!H$163:H$330)</f>
        <v>1.13636</v>
      </c>
      <c r="P150" s="259">
        <f>LOOKUP($B147, CEFF!$C$163:$C$330, CEFF!I$163:I$330)</f>
        <v>1.2195100000000001</v>
      </c>
      <c r="Q150" s="259">
        <f>LOOKUP($B147, CEFF!$C$163:$C$330, CEFF!J$163:J$330)</f>
        <v>1.31579</v>
      </c>
      <c r="R150" s="45"/>
      <c r="S150" s="45"/>
      <c r="T150" s="45"/>
      <c r="U150" s="53"/>
      <c r="V150" s="44"/>
      <c r="W150" s="60"/>
      <c r="X150" s="45"/>
      <c r="Y150" s="45"/>
      <c r="Z150" s="45"/>
      <c r="AA150" s="45"/>
      <c r="AB150" s="45"/>
      <c r="AC150" s="45"/>
      <c r="AD150" s="45"/>
      <c r="AE150" s="45"/>
    </row>
    <row r="151" spans="2:31" s="39" customFormat="1" x14ac:dyDescent="0.3">
      <c r="B151" s="209" t="s">
        <v>571</v>
      </c>
      <c r="C151" s="209" t="str">
        <f ca="1">LOOKUP(B151, TRA_COMM_PRO!$C$7:$C$189, TRA_COMM_PRO!$D$7:D289)</f>
        <v>Car.Plugin-Hybrid.GSL.Pool.01.</v>
      </c>
      <c r="D151" s="209" t="s">
        <v>40</v>
      </c>
      <c r="E151" s="209"/>
      <c r="F151" s="209"/>
      <c r="G151" s="10">
        <f>$G$108</f>
        <v>2019</v>
      </c>
      <c r="H151" s="54">
        <f>$H$109</f>
        <v>15</v>
      </c>
      <c r="I151" s="155">
        <f>$I$109</f>
        <v>1E-3</v>
      </c>
      <c r="J151" s="41">
        <f>$J$109</f>
        <v>3</v>
      </c>
      <c r="K151" s="42"/>
      <c r="L151" s="42">
        <v>0.05</v>
      </c>
      <c r="M151" s="164"/>
      <c r="N151" s="164"/>
      <c r="O151" s="164"/>
      <c r="P151" s="164"/>
      <c r="Q151" s="164"/>
      <c r="R151" s="54">
        <f>$R$109</f>
        <v>12</v>
      </c>
      <c r="S151" s="40"/>
      <c r="T151" s="40"/>
      <c r="U151" s="49"/>
      <c r="V151" s="42"/>
      <c r="W151" s="62">
        <f>LOOKUP(B151, FIXOM_VAROM!$C$8:$C$190, FIXOM_VAROM!$D$8:$D$190)</f>
        <v>50</v>
      </c>
      <c r="X151" s="40">
        <f>LOOKUP($B151, INVCOST!$C$8:$C$193, INVCOST!D$8:D$193)</f>
        <v>30.745000000000001</v>
      </c>
      <c r="Y151" s="40">
        <f>LOOKUP($B151, INVCOST!$C$8:$C$193, INVCOST!E$8:E$193)</f>
        <v>28.067</v>
      </c>
      <c r="Z151" s="40">
        <f>LOOKUP($B151, INVCOST!$C$8:$C$193, INVCOST!F$8:F$193)</f>
        <v>26.41</v>
      </c>
      <c r="AA151" s="40">
        <f>LOOKUP($B151, INVCOST!$C$8:$C$193, INVCOST!G$8:G$193)</f>
        <v>25.536000000000001</v>
      </c>
      <c r="AB151" s="40">
        <f>LOOKUP($B151, INVCOST!$C$8:$C$193, INVCOST!H$8:H$193)</f>
        <v>24.844999999999999</v>
      </c>
      <c r="AC151" s="40">
        <f>LOOKUP($B151, INVCOST!$C$8:$C$193, INVCOST!I$8:I$193)</f>
        <v>24.273</v>
      </c>
      <c r="AD151" s="40">
        <f>LOOKUP($B151, INVCOST!$C$8:$C$193, INVCOST!J$8:J$193)</f>
        <v>23.803000000000001</v>
      </c>
      <c r="AE151" s="40">
        <f>LOOKUP($B151, INVCOST!$C$8:$C$193, INVCOST!K$8:K$193)</f>
        <v>23.42</v>
      </c>
    </row>
    <row r="152" spans="2:31" s="39" customFormat="1" x14ac:dyDescent="0.3">
      <c r="B152" s="209"/>
      <c r="C152" s="209"/>
      <c r="D152" s="209" t="s">
        <v>39</v>
      </c>
      <c r="E152" s="209"/>
      <c r="F152" s="209"/>
      <c r="G152" s="50"/>
      <c r="H152" s="40"/>
      <c r="I152" s="41"/>
      <c r="J152" s="41"/>
      <c r="K152" s="42"/>
      <c r="L152" s="42"/>
      <c r="M152" s="164"/>
      <c r="N152" s="164"/>
      <c r="O152" s="164"/>
      <c r="P152" s="164"/>
      <c r="Q152" s="164"/>
      <c r="R152" s="49"/>
      <c r="S152" s="49"/>
      <c r="T152" s="49"/>
      <c r="U152" s="49"/>
      <c r="V152" s="42"/>
      <c r="W152" s="41"/>
      <c r="X152" s="41"/>
      <c r="Y152" s="41"/>
      <c r="Z152" s="41"/>
      <c r="AA152" s="41"/>
      <c r="AB152" s="41"/>
      <c r="AC152" s="41"/>
      <c r="AD152" s="41"/>
      <c r="AE152" s="41"/>
    </row>
    <row r="153" spans="2:31" s="39" customFormat="1" x14ac:dyDescent="0.3">
      <c r="B153" s="209"/>
      <c r="C153" s="209"/>
      <c r="D153" s="209"/>
      <c r="E153" s="209"/>
      <c r="F153" s="209" t="s">
        <v>442</v>
      </c>
      <c r="G153" s="50"/>
      <c r="H153" s="40"/>
      <c r="I153" s="41"/>
      <c r="J153" s="41"/>
      <c r="K153" s="42"/>
      <c r="L153" s="42"/>
      <c r="M153" s="164">
        <f>LOOKUP($B151, CEFF!$C$10:$C$156, CEFF!F$10:F$156)</f>
        <v>0.90908999999999995</v>
      </c>
      <c r="N153" s="164">
        <f>LOOKUP($B151, CEFF!$C$10:$C$156, CEFF!G$10:G$156)</f>
        <v>0.90908999999999995</v>
      </c>
      <c r="O153" s="164">
        <f>LOOKUP($B151, CEFF!$C$10:$C$156, CEFF!H$10:H$156)</f>
        <v>1.0101</v>
      </c>
      <c r="P153" s="164">
        <f>LOOKUP($B151, CEFF!$C$10:$C$156, CEFF!I$10:I$156)</f>
        <v>1.11111</v>
      </c>
      <c r="Q153" s="164">
        <f>LOOKUP($B151, CEFF!$C$10:$C$156, CEFF!J$10:J$156)</f>
        <v>1.2345699999999999</v>
      </c>
      <c r="R153" s="49"/>
      <c r="S153" s="49"/>
      <c r="T153" s="49"/>
      <c r="U153" s="49"/>
      <c r="V153" s="42"/>
      <c r="W153" s="41"/>
      <c r="X153" s="41"/>
      <c r="Y153" s="41"/>
      <c r="Z153" s="41"/>
      <c r="AA153" s="41"/>
      <c r="AB153" s="41"/>
      <c r="AC153" s="41"/>
      <c r="AD153" s="41"/>
      <c r="AE153" s="41"/>
    </row>
    <row r="154" spans="2:31" s="39" customFormat="1" x14ac:dyDescent="0.3">
      <c r="B154" s="213"/>
      <c r="C154" s="213"/>
      <c r="D154" s="213"/>
      <c r="E154" s="213"/>
      <c r="F154" s="213" t="s">
        <v>455</v>
      </c>
      <c r="G154" s="180"/>
      <c r="H154" s="181"/>
      <c r="I154" s="179"/>
      <c r="J154" s="179"/>
      <c r="K154" s="177"/>
      <c r="L154" s="177"/>
      <c r="M154" s="262">
        <f>LOOKUP($B151, CEFF!$C$163:$C$330, CEFF!F$163:F$330)</f>
        <v>1.0101</v>
      </c>
      <c r="N154" s="262">
        <f>LOOKUP($B151, CEFF!$C$163:$C$330, CEFF!G$163:G$330)</f>
        <v>0.99009999999999998</v>
      </c>
      <c r="O154" s="262">
        <f>LOOKUP($B151, CEFF!$C$163:$C$330, CEFF!H$163:H$330)</f>
        <v>1.05263</v>
      </c>
      <c r="P154" s="262">
        <f>LOOKUP($B151, CEFF!$C$163:$C$330, CEFF!I$163:I$330)</f>
        <v>1.1235999999999999</v>
      </c>
      <c r="Q154" s="262">
        <f>LOOKUP($B151, CEFF!$C$163:$C$330, CEFF!J$163:J$330)</f>
        <v>1.19048</v>
      </c>
      <c r="R154" s="178"/>
      <c r="S154" s="178"/>
      <c r="T154" s="178"/>
      <c r="U154" s="178"/>
      <c r="V154" s="177"/>
      <c r="W154" s="179"/>
      <c r="X154" s="179"/>
      <c r="Y154" s="179"/>
      <c r="Z154" s="179"/>
      <c r="AA154" s="179"/>
      <c r="AB154" s="179"/>
      <c r="AC154" s="179"/>
      <c r="AD154" s="179"/>
      <c r="AE154" s="179"/>
    </row>
    <row r="155" spans="2:31" s="39" customFormat="1" x14ac:dyDescent="0.3">
      <c r="H155" s="36"/>
      <c r="I155" s="37"/>
      <c r="J155" s="38"/>
      <c r="K155" s="58"/>
      <c r="L155" s="58"/>
      <c r="M155" s="38"/>
      <c r="N155" s="38"/>
      <c r="O155" s="38"/>
      <c r="P155" s="38"/>
      <c r="Q155" s="38"/>
      <c r="R155" s="36"/>
      <c r="S155" s="36"/>
      <c r="T155" s="36"/>
      <c r="U155" s="38"/>
      <c r="V155" s="38"/>
      <c r="W155" s="38"/>
      <c r="X155" s="38"/>
      <c r="Y155" s="38"/>
      <c r="Z155" s="38"/>
      <c r="AA155" s="38"/>
      <c r="AB155" s="38"/>
      <c r="AC155" s="38"/>
    </row>
    <row r="271" spans="7:30" s="39" customFormat="1" x14ac:dyDescent="0.3">
      <c r="G271" s="58"/>
      <c r="H271" s="58"/>
      <c r="I271" s="58"/>
      <c r="J271" s="58"/>
      <c r="K271" s="58"/>
      <c r="L271" s="38"/>
      <c r="M271" s="37"/>
      <c r="N271" s="38"/>
      <c r="O271" s="36"/>
      <c r="P271" s="36"/>
      <c r="Q271" s="36"/>
      <c r="R271" s="36"/>
      <c r="S271" s="36"/>
      <c r="T271" s="36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</row>
    <row r="272" spans="7:30" s="39" customFormat="1" x14ac:dyDescent="0.3">
      <c r="G272" s="58"/>
      <c r="H272" s="58"/>
      <c r="I272" s="38"/>
      <c r="J272" s="38"/>
      <c r="K272" s="38"/>
      <c r="L272" s="38"/>
      <c r="M272" s="37"/>
      <c r="N272" s="38"/>
      <c r="O272" s="36"/>
      <c r="P272" s="36"/>
      <c r="Q272" s="36"/>
      <c r="R272" s="36"/>
      <c r="S272" s="36"/>
      <c r="T272" s="36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</row>
  </sheetData>
  <sortState ref="F60:F61">
    <sortCondition ref="F60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93"/>
  <sheetViews>
    <sheetView topLeftCell="D6" zoomScale="75" zoomScaleNormal="75" workbookViewId="0">
      <selection activeCell="O15" sqref="O15"/>
    </sheetView>
  </sheetViews>
  <sheetFormatPr defaultRowHeight="14.4" x14ac:dyDescent="0.3"/>
  <cols>
    <col min="2" max="3" width="14.44140625" bestFit="1" customWidth="1"/>
    <col min="4" max="11" width="13.5546875" customWidth="1"/>
    <col min="13" max="13" width="115.5546875" bestFit="1" customWidth="1"/>
    <col min="16" max="16" width="12.5546875" bestFit="1" customWidth="1"/>
  </cols>
  <sheetData>
    <row r="2" spans="2:13" x14ac:dyDescent="0.3">
      <c r="C2" s="149"/>
      <c r="D2" s="150"/>
      <c r="E2" s="150"/>
      <c r="F2" s="150"/>
      <c r="G2" s="150"/>
      <c r="H2" s="150"/>
      <c r="I2" s="150"/>
      <c r="J2" s="150"/>
      <c r="K2" s="150"/>
    </row>
    <row r="3" spans="2:13" x14ac:dyDescent="0.3">
      <c r="B3" s="87" t="s">
        <v>381</v>
      </c>
      <c r="C3" s="88"/>
      <c r="D3" s="88"/>
      <c r="E3" s="88"/>
      <c r="F3" s="88"/>
      <c r="G3" s="89"/>
      <c r="H3" s="88"/>
    </row>
    <row r="4" spans="2:13" x14ac:dyDescent="0.3">
      <c r="B4" s="214" t="s">
        <v>663</v>
      </c>
      <c r="C4" s="90"/>
      <c r="D4" s="90">
        <v>1000</v>
      </c>
      <c r="E4" s="90"/>
      <c r="F4" s="90"/>
      <c r="G4" s="91"/>
      <c r="H4" s="92"/>
      <c r="I4" s="92"/>
      <c r="J4" s="92"/>
    </row>
    <row r="5" spans="2:13" x14ac:dyDescent="0.3">
      <c r="B5" s="93"/>
    </row>
    <row r="6" spans="2:13" x14ac:dyDescent="0.3">
      <c r="B6" s="103" t="s">
        <v>443</v>
      </c>
      <c r="C6" s="103" t="s">
        <v>2</v>
      </c>
      <c r="D6" s="104">
        <v>2019</v>
      </c>
      <c r="E6" s="104">
        <v>2020</v>
      </c>
      <c r="F6" s="104">
        <v>2025</v>
      </c>
      <c r="G6" s="104">
        <v>2030</v>
      </c>
      <c r="H6" s="104">
        <v>2035</v>
      </c>
      <c r="I6" s="104">
        <v>2040</v>
      </c>
      <c r="J6" s="104">
        <v>2045</v>
      </c>
      <c r="K6" s="104">
        <v>2050</v>
      </c>
      <c r="M6" s="103" t="s">
        <v>494</v>
      </c>
    </row>
    <row r="7" spans="2:13" x14ac:dyDescent="0.3">
      <c r="B7" s="94"/>
      <c r="C7" s="94"/>
      <c r="D7" s="94"/>
      <c r="E7" s="94"/>
      <c r="F7" s="94"/>
      <c r="G7" s="94"/>
      <c r="H7" s="94"/>
      <c r="I7" s="94"/>
      <c r="J7" s="94"/>
      <c r="K7" s="94"/>
      <c r="M7" s="103"/>
    </row>
    <row r="8" spans="2:13" x14ac:dyDescent="0.3">
      <c r="B8" s="211" t="s">
        <v>444</v>
      </c>
      <c r="C8" s="211" t="s">
        <v>183</v>
      </c>
      <c r="D8" s="114">
        <v>7777</v>
      </c>
      <c r="E8" s="114">
        <f>D8</f>
        <v>7777</v>
      </c>
      <c r="F8" s="114">
        <f t="shared" ref="F8:K8" si="0">E8</f>
        <v>7777</v>
      </c>
      <c r="G8" s="114">
        <f t="shared" si="0"/>
        <v>7777</v>
      </c>
      <c r="H8" s="114">
        <f t="shared" si="0"/>
        <v>7777</v>
      </c>
      <c r="I8" s="114">
        <f t="shared" si="0"/>
        <v>7777</v>
      </c>
      <c r="J8" s="114">
        <f t="shared" si="0"/>
        <v>7777</v>
      </c>
      <c r="K8" s="114">
        <f t="shared" si="0"/>
        <v>7777</v>
      </c>
      <c r="M8" s="117" t="s">
        <v>615</v>
      </c>
    </row>
    <row r="9" spans="2:13" x14ac:dyDescent="0.3">
      <c r="B9" s="215" t="s">
        <v>444</v>
      </c>
      <c r="C9" s="215" t="s">
        <v>179</v>
      </c>
      <c r="D9" s="159">
        <v>7777</v>
      </c>
      <c r="E9" s="159">
        <f>D9</f>
        <v>7777</v>
      </c>
      <c r="F9" s="159">
        <f t="shared" ref="F9:K9" si="1">E9</f>
        <v>7777</v>
      </c>
      <c r="G9" s="159">
        <f t="shared" si="1"/>
        <v>7777</v>
      </c>
      <c r="H9" s="159">
        <f t="shared" si="1"/>
        <v>7777</v>
      </c>
      <c r="I9" s="159">
        <f t="shared" si="1"/>
        <v>7777</v>
      </c>
      <c r="J9" s="159">
        <f t="shared" si="1"/>
        <v>7777</v>
      </c>
      <c r="K9" s="159">
        <f t="shared" si="1"/>
        <v>7777</v>
      </c>
      <c r="M9" s="145" t="s">
        <v>615</v>
      </c>
    </row>
    <row r="10" spans="2:13" x14ac:dyDescent="0.3">
      <c r="B10" s="211" t="s">
        <v>445</v>
      </c>
      <c r="C10" s="211" t="s">
        <v>87</v>
      </c>
      <c r="D10" s="105">
        <v>260</v>
      </c>
      <c r="E10" s="105">
        <v>260</v>
      </c>
      <c r="F10" s="105">
        <v>260</v>
      </c>
      <c r="G10" s="105">
        <v>260</v>
      </c>
      <c r="H10" s="105">
        <v>260</v>
      </c>
      <c r="I10" s="105">
        <v>260</v>
      </c>
      <c r="J10" s="105">
        <v>260</v>
      </c>
      <c r="K10" s="105">
        <v>260</v>
      </c>
      <c r="M10" s="117" t="s">
        <v>296</v>
      </c>
    </row>
    <row r="11" spans="2:13" x14ac:dyDescent="0.3">
      <c r="B11" s="211" t="s">
        <v>445</v>
      </c>
      <c r="C11" s="211" t="s">
        <v>90</v>
      </c>
      <c r="D11" s="105">
        <v>312</v>
      </c>
      <c r="E11" s="105">
        <v>312</v>
      </c>
      <c r="F11" s="105">
        <v>312</v>
      </c>
      <c r="G11" s="105">
        <v>312</v>
      </c>
      <c r="H11" s="105">
        <v>312</v>
      </c>
      <c r="I11" s="105">
        <v>312</v>
      </c>
      <c r="J11" s="105">
        <v>312</v>
      </c>
      <c r="K11" s="105">
        <v>312</v>
      </c>
      <c r="M11" s="117" t="s">
        <v>441</v>
      </c>
    </row>
    <row r="12" spans="2:13" x14ac:dyDescent="0.3">
      <c r="B12" s="211" t="s">
        <v>445</v>
      </c>
      <c r="C12" s="211" t="s">
        <v>92</v>
      </c>
      <c r="D12" s="105">
        <v>260</v>
      </c>
      <c r="E12" s="105">
        <v>260</v>
      </c>
      <c r="F12" s="105">
        <v>260</v>
      </c>
      <c r="G12" s="105">
        <v>260</v>
      </c>
      <c r="H12" s="105">
        <v>260</v>
      </c>
      <c r="I12" s="105">
        <v>260</v>
      </c>
      <c r="J12" s="105">
        <v>260</v>
      </c>
      <c r="K12" s="105">
        <v>260</v>
      </c>
      <c r="M12" s="117" t="s">
        <v>296</v>
      </c>
    </row>
    <row r="13" spans="2:13" x14ac:dyDescent="0.3">
      <c r="B13" s="211" t="s">
        <v>445</v>
      </c>
      <c r="C13" s="211" t="s">
        <v>94</v>
      </c>
      <c r="D13" s="105">
        <v>260</v>
      </c>
      <c r="E13" s="105">
        <v>260</v>
      </c>
      <c r="F13" s="105">
        <v>260</v>
      </c>
      <c r="G13" s="105">
        <v>260</v>
      </c>
      <c r="H13" s="105">
        <v>260</v>
      </c>
      <c r="I13" s="105">
        <v>260</v>
      </c>
      <c r="J13" s="105">
        <v>260</v>
      </c>
      <c r="K13" s="105">
        <v>260</v>
      </c>
      <c r="M13" s="117" t="s">
        <v>296</v>
      </c>
    </row>
    <row r="14" spans="2:13" x14ac:dyDescent="0.3">
      <c r="B14" s="211" t="s">
        <v>445</v>
      </c>
      <c r="C14" s="211" t="s">
        <v>96</v>
      </c>
      <c r="D14" s="105">
        <v>260</v>
      </c>
      <c r="E14" s="105">
        <v>260</v>
      </c>
      <c r="F14" s="105">
        <v>260</v>
      </c>
      <c r="G14" s="105">
        <v>260</v>
      </c>
      <c r="H14" s="105">
        <v>260</v>
      </c>
      <c r="I14" s="105">
        <v>260</v>
      </c>
      <c r="J14" s="105">
        <v>260</v>
      </c>
      <c r="K14" s="105">
        <v>260</v>
      </c>
      <c r="M14" s="117" t="s">
        <v>296</v>
      </c>
    </row>
    <row r="15" spans="2:13" x14ac:dyDescent="0.3">
      <c r="B15" s="211" t="s">
        <v>445</v>
      </c>
      <c r="C15" s="211" t="s">
        <v>98</v>
      </c>
      <c r="D15" s="105">
        <v>260</v>
      </c>
      <c r="E15" s="105">
        <v>260</v>
      </c>
      <c r="F15" s="105">
        <v>260</v>
      </c>
      <c r="G15" s="105">
        <v>260</v>
      </c>
      <c r="H15" s="105">
        <v>260</v>
      </c>
      <c r="I15" s="105">
        <v>260</v>
      </c>
      <c r="J15" s="105">
        <v>260</v>
      </c>
      <c r="K15" s="105">
        <v>260</v>
      </c>
      <c r="M15" s="117" t="s">
        <v>296</v>
      </c>
    </row>
    <row r="16" spans="2:13" x14ac:dyDescent="0.3">
      <c r="B16" s="211" t="s">
        <v>445</v>
      </c>
      <c r="C16" s="211" t="s">
        <v>100</v>
      </c>
      <c r="D16" s="105">
        <v>1000</v>
      </c>
      <c r="E16" s="105">
        <v>1000</v>
      </c>
      <c r="F16" s="105">
        <v>1000</v>
      </c>
      <c r="G16" s="105">
        <v>1000</v>
      </c>
      <c r="H16" s="105">
        <v>1000</v>
      </c>
      <c r="I16" s="105">
        <v>1000</v>
      </c>
      <c r="J16" s="105">
        <v>1000</v>
      </c>
      <c r="K16" s="105">
        <v>1000</v>
      </c>
      <c r="M16" s="117" t="s">
        <v>623</v>
      </c>
    </row>
    <row r="17" spans="2:13" x14ac:dyDescent="0.3">
      <c r="B17" s="211" t="s">
        <v>445</v>
      </c>
      <c r="C17" s="211" t="s">
        <v>342</v>
      </c>
      <c r="D17" s="105">
        <v>602</v>
      </c>
      <c r="E17" s="105">
        <v>602</v>
      </c>
      <c r="F17" s="105">
        <v>602</v>
      </c>
      <c r="G17" s="105">
        <v>602</v>
      </c>
      <c r="H17" s="105">
        <v>602</v>
      </c>
      <c r="I17" s="105">
        <v>602</v>
      </c>
      <c r="J17" s="105">
        <v>602</v>
      </c>
      <c r="K17" s="105">
        <v>602</v>
      </c>
      <c r="M17" s="117" t="s">
        <v>624</v>
      </c>
    </row>
    <row r="18" spans="2:13" x14ac:dyDescent="0.3">
      <c r="B18" s="211" t="s">
        <v>445</v>
      </c>
      <c r="C18" s="211" t="s">
        <v>404</v>
      </c>
      <c r="D18" s="105">
        <v>602</v>
      </c>
      <c r="E18" s="105">
        <v>602</v>
      </c>
      <c r="F18" s="105">
        <v>602</v>
      </c>
      <c r="G18" s="105">
        <v>602</v>
      </c>
      <c r="H18" s="105">
        <v>602</v>
      </c>
      <c r="I18" s="105">
        <v>602</v>
      </c>
      <c r="J18" s="105">
        <v>602</v>
      </c>
      <c r="K18" s="105">
        <v>602</v>
      </c>
      <c r="M18" s="117" t="s">
        <v>558</v>
      </c>
    </row>
    <row r="19" spans="2:13" x14ac:dyDescent="0.3">
      <c r="B19" s="211" t="s">
        <v>445</v>
      </c>
      <c r="C19" s="211" t="s">
        <v>102</v>
      </c>
      <c r="D19" s="105">
        <v>260</v>
      </c>
      <c r="E19" s="105">
        <v>260</v>
      </c>
      <c r="F19" s="105">
        <v>260</v>
      </c>
      <c r="G19" s="105">
        <v>260</v>
      </c>
      <c r="H19" s="105">
        <v>260</v>
      </c>
      <c r="I19" s="105">
        <v>260</v>
      </c>
      <c r="J19" s="105">
        <v>260</v>
      </c>
      <c r="K19" s="105">
        <v>260</v>
      </c>
      <c r="M19" s="117" t="s">
        <v>296</v>
      </c>
    </row>
    <row r="20" spans="2:13" x14ac:dyDescent="0.3">
      <c r="B20" s="211" t="s">
        <v>445</v>
      </c>
      <c r="C20" s="211" t="s">
        <v>588</v>
      </c>
      <c r="D20" s="105">
        <v>312</v>
      </c>
      <c r="E20" s="105">
        <v>312</v>
      </c>
      <c r="F20" s="105">
        <v>312</v>
      </c>
      <c r="G20" s="105">
        <v>312</v>
      </c>
      <c r="H20" s="105">
        <v>312</v>
      </c>
      <c r="I20" s="105">
        <v>312</v>
      </c>
      <c r="J20" s="105">
        <v>312</v>
      </c>
      <c r="K20" s="105">
        <v>312</v>
      </c>
      <c r="M20" s="117" t="s">
        <v>560</v>
      </c>
    </row>
    <row r="21" spans="2:13" x14ac:dyDescent="0.3">
      <c r="B21" s="211" t="s">
        <v>445</v>
      </c>
      <c r="C21" s="211" t="s">
        <v>405</v>
      </c>
      <c r="D21" s="105">
        <v>722.4</v>
      </c>
      <c r="E21" s="105">
        <v>722.4</v>
      </c>
      <c r="F21" s="105">
        <v>722.4</v>
      </c>
      <c r="G21" s="105">
        <v>722.4</v>
      </c>
      <c r="H21" s="105">
        <v>722.4</v>
      </c>
      <c r="I21" s="105">
        <v>722.4</v>
      </c>
      <c r="J21" s="105">
        <v>722.4</v>
      </c>
      <c r="K21" s="105">
        <v>722.4</v>
      </c>
      <c r="M21" s="117" t="s">
        <v>559</v>
      </c>
    </row>
    <row r="22" spans="2:13" x14ac:dyDescent="0.3">
      <c r="B22" s="215" t="s">
        <v>445</v>
      </c>
      <c r="C22" s="215" t="s">
        <v>406</v>
      </c>
      <c r="D22" s="159">
        <v>722.4</v>
      </c>
      <c r="E22" s="159">
        <v>722.4</v>
      </c>
      <c r="F22" s="159">
        <v>722.4</v>
      </c>
      <c r="G22" s="159">
        <v>722.4</v>
      </c>
      <c r="H22" s="159">
        <v>722.4</v>
      </c>
      <c r="I22" s="159">
        <v>722.4</v>
      </c>
      <c r="J22" s="159">
        <v>722.4</v>
      </c>
      <c r="K22" s="159">
        <v>722.4</v>
      </c>
      <c r="M22" s="145" t="s">
        <v>559</v>
      </c>
    </row>
    <row r="23" spans="2:13" x14ac:dyDescent="0.3">
      <c r="B23" s="211" t="s">
        <v>445</v>
      </c>
      <c r="C23" s="211" t="s">
        <v>66</v>
      </c>
      <c r="D23" s="268">
        <v>260</v>
      </c>
      <c r="E23" s="268">
        <v>260</v>
      </c>
      <c r="F23" s="268">
        <v>260</v>
      </c>
      <c r="G23" s="268">
        <v>260</v>
      </c>
      <c r="H23" s="268">
        <v>260</v>
      </c>
      <c r="I23" s="268">
        <v>260</v>
      </c>
      <c r="J23" s="268">
        <v>260</v>
      </c>
      <c r="K23" s="268">
        <v>260</v>
      </c>
      <c r="M23" s="117" t="s">
        <v>296</v>
      </c>
    </row>
    <row r="24" spans="2:13" x14ac:dyDescent="0.3">
      <c r="B24" s="211" t="s">
        <v>445</v>
      </c>
      <c r="C24" s="211" t="s">
        <v>69</v>
      </c>
      <c r="D24" s="268">
        <v>312</v>
      </c>
      <c r="E24" s="268">
        <v>312</v>
      </c>
      <c r="F24" s="268">
        <v>312</v>
      </c>
      <c r="G24" s="268">
        <v>312</v>
      </c>
      <c r="H24" s="268">
        <v>312</v>
      </c>
      <c r="I24" s="268">
        <v>312</v>
      </c>
      <c r="J24" s="268">
        <v>312</v>
      </c>
      <c r="K24" s="268">
        <v>312</v>
      </c>
      <c r="M24" s="117" t="s">
        <v>441</v>
      </c>
    </row>
    <row r="25" spans="2:13" x14ac:dyDescent="0.3">
      <c r="B25" s="211" t="s">
        <v>445</v>
      </c>
      <c r="C25" s="211" t="s">
        <v>72</v>
      </c>
      <c r="D25" s="268">
        <v>260</v>
      </c>
      <c r="E25" s="268">
        <v>260</v>
      </c>
      <c r="F25" s="268">
        <v>260</v>
      </c>
      <c r="G25" s="268">
        <v>260</v>
      </c>
      <c r="H25" s="268">
        <v>260</v>
      </c>
      <c r="I25" s="268">
        <v>260</v>
      </c>
      <c r="J25" s="268">
        <v>260</v>
      </c>
      <c r="K25" s="268">
        <v>260</v>
      </c>
      <c r="M25" s="117" t="s">
        <v>296</v>
      </c>
    </row>
    <row r="26" spans="2:13" x14ac:dyDescent="0.3">
      <c r="B26" s="211" t="s">
        <v>445</v>
      </c>
      <c r="C26" s="211" t="s">
        <v>74</v>
      </c>
      <c r="D26" s="268">
        <v>430</v>
      </c>
      <c r="E26" s="268">
        <v>430</v>
      </c>
      <c r="F26" s="268">
        <v>430</v>
      </c>
      <c r="G26" s="268">
        <v>430</v>
      </c>
      <c r="H26" s="268">
        <v>430</v>
      </c>
      <c r="I26" s="268">
        <v>430</v>
      </c>
      <c r="J26" s="268">
        <v>430</v>
      </c>
      <c r="K26" s="268">
        <v>430</v>
      </c>
      <c r="M26" s="117" t="s">
        <v>624</v>
      </c>
    </row>
    <row r="27" spans="2:13" x14ac:dyDescent="0.3">
      <c r="B27" s="211" t="s">
        <v>445</v>
      </c>
      <c r="C27" s="211" t="s">
        <v>76</v>
      </c>
      <c r="D27" s="268">
        <v>260</v>
      </c>
      <c r="E27" s="268">
        <v>260</v>
      </c>
      <c r="F27" s="268">
        <v>260</v>
      </c>
      <c r="G27" s="268">
        <v>260</v>
      </c>
      <c r="H27" s="268">
        <v>260</v>
      </c>
      <c r="I27" s="268">
        <v>260</v>
      </c>
      <c r="J27" s="268">
        <v>260</v>
      </c>
      <c r="K27" s="268">
        <v>260</v>
      </c>
      <c r="M27" s="117" t="s">
        <v>296</v>
      </c>
    </row>
    <row r="28" spans="2:13" x14ac:dyDescent="0.3">
      <c r="B28" s="211" t="s">
        <v>445</v>
      </c>
      <c r="C28" s="211" t="s">
        <v>78</v>
      </c>
      <c r="D28" s="268">
        <v>260</v>
      </c>
      <c r="E28" s="268">
        <v>260</v>
      </c>
      <c r="F28" s="268">
        <v>260</v>
      </c>
      <c r="G28" s="268">
        <v>260</v>
      </c>
      <c r="H28" s="268">
        <v>260</v>
      </c>
      <c r="I28" s="268">
        <v>260</v>
      </c>
      <c r="J28" s="268">
        <v>260</v>
      </c>
      <c r="K28" s="268">
        <v>260</v>
      </c>
      <c r="M28" s="117" t="s">
        <v>296</v>
      </c>
    </row>
    <row r="29" spans="2:13" x14ac:dyDescent="0.3">
      <c r="B29" s="211" t="s">
        <v>445</v>
      </c>
      <c r="C29" s="211" t="s">
        <v>80</v>
      </c>
      <c r="D29" s="268">
        <v>260</v>
      </c>
      <c r="E29" s="268">
        <v>260</v>
      </c>
      <c r="F29" s="268">
        <v>260</v>
      </c>
      <c r="G29" s="268">
        <v>260</v>
      </c>
      <c r="H29" s="268">
        <v>260</v>
      </c>
      <c r="I29" s="268">
        <v>260</v>
      </c>
      <c r="J29" s="268">
        <v>260</v>
      </c>
      <c r="K29" s="268">
        <v>260</v>
      </c>
      <c r="M29" s="117" t="s">
        <v>296</v>
      </c>
    </row>
    <row r="30" spans="2:13" x14ac:dyDescent="0.3">
      <c r="B30" s="211" t="s">
        <v>445</v>
      </c>
      <c r="C30" s="211" t="s">
        <v>82</v>
      </c>
      <c r="D30" s="268">
        <v>1000</v>
      </c>
      <c r="E30" s="268">
        <v>1000</v>
      </c>
      <c r="F30" s="268">
        <v>1000</v>
      </c>
      <c r="G30" s="268">
        <v>1000</v>
      </c>
      <c r="H30" s="268">
        <v>1000</v>
      </c>
      <c r="I30" s="268">
        <v>1000</v>
      </c>
      <c r="J30" s="268">
        <v>1000</v>
      </c>
      <c r="K30" s="268">
        <v>1000</v>
      </c>
      <c r="M30" s="117" t="s">
        <v>623</v>
      </c>
    </row>
    <row r="31" spans="2:13" x14ac:dyDescent="0.3">
      <c r="B31" s="211" t="s">
        <v>445</v>
      </c>
      <c r="C31" s="211" t="s">
        <v>338</v>
      </c>
      <c r="D31" s="268">
        <v>602</v>
      </c>
      <c r="E31" s="268">
        <v>602</v>
      </c>
      <c r="F31" s="268">
        <v>602</v>
      </c>
      <c r="G31" s="268">
        <v>602</v>
      </c>
      <c r="H31" s="268">
        <v>602</v>
      </c>
      <c r="I31" s="268">
        <v>602</v>
      </c>
      <c r="J31" s="268">
        <v>602</v>
      </c>
      <c r="K31" s="268">
        <v>602</v>
      </c>
      <c r="M31" s="117" t="s">
        <v>624</v>
      </c>
    </row>
    <row r="32" spans="2:13" x14ac:dyDescent="0.3">
      <c r="B32" s="211" t="s">
        <v>445</v>
      </c>
      <c r="C32" s="211" t="s">
        <v>375</v>
      </c>
      <c r="D32" s="268">
        <v>602</v>
      </c>
      <c r="E32" s="268">
        <v>602</v>
      </c>
      <c r="F32" s="268">
        <v>602</v>
      </c>
      <c r="G32" s="268">
        <v>602</v>
      </c>
      <c r="H32" s="268">
        <v>602</v>
      </c>
      <c r="I32" s="268">
        <v>602</v>
      </c>
      <c r="J32" s="268">
        <v>602</v>
      </c>
      <c r="K32" s="268">
        <v>602</v>
      </c>
      <c r="M32" s="117" t="s">
        <v>558</v>
      </c>
    </row>
    <row r="33" spans="2:24" x14ac:dyDescent="0.3">
      <c r="B33" s="211" t="s">
        <v>445</v>
      </c>
      <c r="C33" s="211" t="s">
        <v>84</v>
      </c>
      <c r="D33" s="268">
        <v>260</v>
      </c>
      <c r="E33" s="268">
        <v>260</v>
      </c>
      <c r="F33" s="268">
        <v>260</v>
      </c>
      <c r="G33" s="268">
        <v>260</v>
      </c>
      <c r="H33" s="268">
        <v>260</v>
      </c>
      <c r="I33" s="268">
        <v>260</v>
      </c>
      <c r="J33" s="268">
        <v>260</v>
      </c>
      <c r="K33" s="268">
        <v>260</v>
      </c>
      <c r="M33" s="117" t="s">
        <v>296</v>
      </c>
    </row>
    <row r="34" spans="2:24" x14ac:dyDescent="0.3">
      <c r="B34" s="211" t="s">
        <v>445</v>
      </c>
      <c r="C34" s="211" t="s">
        <v>587</v>
      </c>
      <c r="D34" s="268">
        <v>312</v>
      </c>
      <c r="E34" s="268">
        <v>312</v>
      </c>
      <c r="F34" s="268">
        <v>312</v>
      </c>
      <c r="G34" s="268">
        <v>312</v>
      </c>
      <c r="H34" s="268">
        <v>312</v>
      </c>
      <c r="I34" s="268">
        <v>312</v>
      </c>
      <c r="J34" s="268">
        <v>312</v>
      </c>
      <c r="K34" s="268">
        <v>312</v>
      </c>
      <c r="M34" s="117" t="s">
        <v>560</v>
      </c>
    </row>
    <row r="35" spans="2:24" x14ac:dyDescent="0.3">
      <c r="B35" s="211" t="s">
        <v>445</v>
      </c>
      <c r="C35" s="211" t="s">
        <v>340</v>
      </c>
      <c r="D35" s="268">
        <v>722.4</v>
      </c>
      <c r="E35" s="268">
        <v>722.4</v>
      </c>
      <c r="F35" s="268">
        <v>722.4</v>
      </c>
      <c r="G35" s="268">
        <v>722.4</v>
      </c>
      <c r="H35" s="268">
        <v>722.4</v>
      </c>
      <c r="I35" s="268">
        <v>722.4</v>
      </c>
      <c r="J35" s="268">
        <v>722.4</v>
      </c>
      <c r="K35" s="268">
        <v>722.4</v>
      </c>
      <c r="M35" s="117" t="s">
        <v>559</v>
      </c>
    </row>
    <row r="36" spans="2:24" x14ac:dyDescent="0.3">
      <c r="B36" s="215" t="s">
        <v>445</v>
      </c>
      <c r="C36" s="215" t="s">
        <v>378</v>
      </c>
      <c r="D36" s="159">
        <v>722.4</v>
      </c>
      <c r="E36" s="159">
        <v>722.4</v>
      </c>
      <c r="F36" s="159">
        <v>722.4</v>
      </c>
      <c r="G36" s="159">
        <v>722.4</v>
      </c>
      <c r="H36" s="159">
        <v>722.4</v>
      </c>
      <c r="I36" s="159">
        <v>722.4</v>
      </c>
      <c r="J36" s="159">
        <v>722.4</v>
      </c>
      <c r="K36" s="159">
        <v>722.4</v>
      </c>
      <c r="M36" s="145" t="s">
        <v>559</v>
      </c>
      <c r="Q36">
        <v>-6.4147110707221895</v>
      </c>
      <c r="R36">
        <v>-6.4147110707221895</v>
      </c>
      <c r="S36">
        <v>-6.4147110707221895</v>
      </c>
      <c r="T36">
        <v>-6.4147110707221895</v>
      </c>
      <c r="U36">
        <v>-6.4147110707221895</v>
      </c>
      <c r="V36">
        <v>-6.4147110707221895</v>
      </c>
      <c r="W36">
        <v>-6.4147110707221895</v>
      </c>
      <c r="X36">
        <v>-6.4147110707221895</v>
      </c>
    </row>
    <row r="37" spans="2:24" x14ac:dyDescent="0.3">
      <c r="B37" s="211" t="s">
        <v>541</v>
      </c>
      <c r="C37" s="211" t="s">
        <v>47</v>
      </c>
      <c r="D37" s="270">
        <v>21.434999999999999</v>
      </c>
      <c r="E37" s="270">
        <v>21.155000000000001</v>
      </c>
      <c r="F37" s="270">
        <v>21.132000000000001</v>
      </c>
      <c r="G37" s="270">
        <v>21.117999999999999</v>
      </c>
      <c r="H37" s="270">
        <v>21.108000000000001</v>
      </c>
      <c r="I37" s="270">
        <v>21.1</v>
      </c>
      <c r="J37" s="270">
        <v>21.093</v>
      </c>
      <c r="K37" s="270">
        <v>21.088000000000001</v>
      </c>
      <c r="M37" s="117" t="s">
        <v>295</v>
      </c>
    </row>
    <row r="38" spans="2:24" x14ac:dyDescent="0.3">
      <c r="B38" s="211" t="s">
        <v>541</v>
      </c>
      <c r="C38" s="211" t="s">
        <v>561</v>
      </c>
      <c r="D38" s="270">
        <v>21.434999999999999</v>
      </c>
      <c r="E38" s="270">
        <v>21.155000000000001</v>
      </c>
      <c r="F38" s="270">
        <v>21.132000000000001</v>
      </c>
      <c r="G38" s="270">
        <v>21.117999999999999</v>
      </c>
      <c r="H38" s="270">
        <v>21.108000000000001</v>
      </c>
      <c r="I38" s="270">
        <v>21.1</v>
      </c>
      <c r="J38" s="270">
        <v>21.093</v>
      </c>
      <c r="K38" s="270">
        <v>21.088000000000001</v>
      </c>
      <c r="M38" s="117" t="s">
        <v>295</v>
      </c>
      <c r="Q38">
        <v>2018</v>
      </c>
      <c r="R38">
        <v>2020</v>
      </c>
      <c r="S38">
        <v>2025</v>
      </c>
      <c r="T38">
        <v>2030</v>
      </c>
      <c r="U38">
        <v>2035</v>
      </c>
      <c r="V38">
        <v>2040</v>
      </c>
      <c r="W38">
        <v>2045</v>
      </c>
      <c r="X38">
        <v>2050</v>
      </c>
    </row>
    <row r="39" spans="2:24" x14ac:dyDescent="0.3">
      <c r="B39" s="211" t="s">
        <v>541</v>
      </c>
      <c r="C39" s="211" t="s">
        <v>214</v>
      </c>
      <c r="D39" s="270">
        <v>21.434999999999999</v>
      </c>
      <c r="E39" s="270">
        <v>21.155000000000001</v>
      </c>
      <c r="F39" s="270">
        <v>21.132000000000001</v>
      </c>
      <c r="G39" s="270">
        <v>21.117999999999999</v>
      </c>
      <c r="H39" s="270">
        <v>21.108000000000001</v>
      </c>
      <c r="I39" s="270">
        <v>21.1</v>
      </c>
      <c r="J39" s="270">
        <v>21.093</v>
      </c>
      <c r="K39" s="270">
        <v>21.088000000000001</v>
      </c>
      <c r="M39" s="117" t="s">
        <v>295</v>
      </c>
      <c r="P39" s="211" t="s">
        <v>665</v>
      </c>
      <c r="Q39" s="270">
        <v>21.434999999999999</v>
      </c>
      <c r="R39" s="270">
        <v>21.155000000000001</v>
      </c>
      <c r="S39" s="270">
        <v>21.132000000000001</v>
      </c>
      <c r="T39" s="270">
        <v>21.117999999999999</v>
      </c>
      <c r="U39" s="270">
        <v>21.108000000000001</v>
      </c>
      <c r="V39" s="270">
        <v>21.1</v>
      </c>
      <c r="W39" s="270">
        <v>21.093</v>
      </c>
      <c r="X39" s="270">
        <v>21.088000000000001</v>
      </c>
    </row>
    <row r="40" spans="2:24" x14ac:dyDescent="0.3">
      <c r="B40" s="211" t="s">
        <v>541</v>
      </c>
      <c r="C40" s="211" t="s">
        <v>49</v>
      </c>
      <c r="D40" s="270">
        <v>41.054000000000002</v>
      </c>
      <c r="E40" s="270">
        <v>35.389000000000003</v>
      </c>
      <c r="F40" s="270">
        <v>31.187999999999999</v>
      </c>
      <c r="G40" s="270">
        <v>29.695</v>
      </c>
      <c r="H40" s="270">
        <v>28.536999999999999</v>
      </c>
      <c r="I40" s="270">
        <v>27.753</v>
      </c>
      <c r="J40" s="270">
        <v>27.114000000000001</v>
      </c>
      <c r="K40" s="270">
        <v>26.594000000000001</v>
      </c>
      <c r="M40" s="117" t="s">
        <v>417</v>
      </c>
      <c r="P40" s="211" t="s">
        <v>666</v>
      </c>
      <c r="Q40" s="270">
        <v>41.054000000000002</v>
      </c>
      <c r="R40" s="270">
        <v>35.389000000000003</v>
      </c>
      <c r="S40" s="270">
        <v>31.187999999999999</v>
      </c>
      <c r="T40" s="270">
        <v>29.695</v>
      </c>
      <c r="U40" s="270">
        <v>28.536999999999999</v>
      </c>
      <c r="V40" s="270">
        <v>27.753</v>
      </c>
      <c r="W40" s="270">
        <v>27.114000000000001</v>
      </c>
      <c r="X40" s="270">
        <v>26.594000000000001</v>
      </c>
    </row>
    <row r="41" spans="2:24" x14ac:dyDescent="0.3">
      <c r="B41" s="211" t="s">
        <v>541</v>
      </c>
      <c r="C41" s="211" t="s">
        <v>562</v>
      </c>
      <c r="D41" s="270">
        <v>41.054000000000002</v>
      </c>
      <c r="E41" s="270">
        <v>35.389000000000003</v>
      </c>
      <c r="F41" s="270">
        <v>31.187999999999999</v>
      </c>
      <c r="G41" s="270">
        <v>29.695</v>
      </c>
      <c r="H41" s="270">
        <v>28.536999999999999</v>
      </c>
      <c r="I41" s="270">
        <v>27.753</v>
      </c>
      <c r="J41" s="270">
        <v>27.114000000000001</v>
      </c>
      <c r="K41" s="270">
        <v>26.594000000000001</v>
      </c>
      <c r="M41" s="117" t="s">
        <v>295</v>
      </c>
      <c r="P41" s="211" t="s">
        <v>667</v>
      </c>
      <c r="Q41" s="270"/>
      <c r="R41" s="270"/>
      <c r="S41" s="270"/>
      <c r="T41" s="270"/>
      <c r="U41" s="270"/>
      <c r="V41" s="270"/>
      <c r="W41" s="270"/>
      <c r="X41" s="270"/>
    </row>
    <row r="42" spans="2:24" x14ac:dyDescent="0.3">
      <c r="B42" s="211" t="s">
        <v>541</v>
      </c>
      <c r="C42" s="211" t="s">
        <v>216</v>
      </c>
      <c r="D42" s="270">
        <v>41.054000000000002</v>
      </c>
      <c r="E42" s="270">
        <v>35.389000000000003</v>
      </c>
      <c r="F42" s="270">
        <v>31.187999999999999</v>
      </c>
      <c r="G42" s="270">
        <v>29.695</v>
      </c>
      <c r="H42" s="270">
        <v>28.536999999999999</v>
      </c>
      <c r="I42" s="270">
        <v>27.753</v>
      </c>
      <c r="J42" s="270">
        <v>27.114000000000001</v>
      </c>
      <c r="K42" s="270">
        <v>26.594000000000001</v>
      </c>
      <c r="M42" s="117" t="s">
        <v>295</v>
      </c>
      <c r="P42" s="211" t="s">
        <v>670</v>
      </c>
      <c r="Q42" s="275">
        <f t="shared" ref="Q42:X42" si="2">Q40+Q36</f>
        <v>34.639288929277811</v>
      </c>
      <c r="R42" s="275">
        <f t="shared" si="2"/>
        <v>28.974288929277812</v>
      </c>
      <c r="S42" s="275">
        <f t="shared" si="2"/>
        <v>24.773288929277811</v>
      </c>
      <c r="T42" s="275">
        <f t="shared" si="2"/>
        <v>23.280288929277809</v>
      </c>
      <c r="U42" s="275">
        <f t="shared" si="2"/>
        <v>22.122288929277808</v>
      </c>
      <c r="V42" s="275">
        <f t="shared" si="2"/>
        <v>21.338288929277809</v>
      </c>
      <c r="W42" s="275">
        <f t="shared" si="2"/>
        <v>20.699288929277813</v>
      </c>
      <c r="X42" s="275">
        <f t="shared" si="2"/>
        <v>20.17928892927781</v>
      </c>
    </row>
    <row r="43" spans="2:24" x14ac:dyDescent="0.3">
      <c r="B43" s="211" t="s">
        <v>541</v>
      </c>
      <c r="C43" s="211" t="s">
        <v>50</v>
      </c>
      <c r="D43" s="270">
        <v>19.734999999999999</v>
      </c>
      <c r="E43" s="270">
        <v>19.452000000000002</v>
      </c>
      <c r="F43" s="270">
        <v>19.43</v>
      </c>
      <c r="G43" s="270">
        <v>19.414999999999999</v>
      </c>
      <c r="H43" s="270">
        <v>19.402999999999999</v>
      </c>
      <c r="I43" s="270">
        <v>19.393000000000001</v>
      </c>
      <c r="J43" s="270">
        <v>19.385000000000002</v>
      </c>
      <c r="K43" s="270">
        <v>19.378</v>
      </c>
      <c r="M43" s="117" t="s">
        <v>416</v>
      </c>
      <c r="P43" s="211" t="s">
        <v>668</v>
      </c>
      <c r="Q43" s="270">
        <v>35.097999999999999</v>
      </c>
      <c r="R43" s="270">
        <v>33.204999999999998</v>
      </c>
      <c r="S43" s="270">
        <v>30.501000000000001</v>
      </c>
      <c r="T43" s="270">
        <v>29.122</v>
      </c>
      <c r="U43" s="270">
        <v>28.056000000000001</v>
      </c>
      <c r="V43" s="270">
        <v>27.158999999999999</v>
      </c>
      <c r="W43" s="270">
        <v>26.395</v>
      </c>
      <c r="X43" s="270">
        <v>25.727</v>
      </c>
    </row>
    <row r="44" spans="2:24" x14ac:dyDescent="0.3">
      <c r="B44" s="211" t="s">
        <v>541</v>
      </c>
      <c r="C44" s="211" t="s">
        <v>563</v>
      </c>
      <c r="D44" s="270">
        <v>19.734999999999999</v>
      </c>
      <c r="E44" s="270">
        <v>19.452000000000002</v>
      </c>
      <c r="F44" s="270">
        <v>19.43</v>
      </c>
      <c r="G44" s="270">
        <v>19.414999999999999</v>
      </c>
      <c r="H44" s="270">
        <v>19.402999999999999</v>
      </c>
      <c r="I44" s="270">
        <v>19.393000000000001</v>
      </c>
      <c r="J44" s="270">
        <v>19.385000000000002</v>
      </c>
      <c r="K44" s="270">
        <v>19.378</v>
      </c>
      <c r="M44" s="117" t="s">
        <v>416</v>
      </c>
      <c r="P44" s="211" t="s">
        <v>669</v>
      </c>
      <c r="Q44" s="276"/>
      <c r="R44" s="276"/>
      <c r="S44" s="276"/>
      <c r="T44" s="276"/>
      <c r="U44" s="276"/>
      <c r="V44" s="276"/>
      <c r="W44" s="276"/>
      <c r="X44" s="276"/>
    </row>
    <row r="45" spans="2:24" x14ac:dyDescent="0.3">
      <c r="B45" s="211" t="s">
        <v>541</v>
      </c>
      <c r="C45" s="211" t="s">
        <v>218</v>
      </c>
      <c r="D45" s="270">
        <v>19.734999999999999</v>
      </c>
      <c r="E45" s="270">
        <v>19.452000000000002</v>
      </c>
      <c r="F45" s="270">
        <v>19.43</v>
      </c>
      <c r="G45" s="270">
        <v>19.414999999999999</v>
      </c>
      <c r="H45" s="270">
        <v>19.402999999999999</v>
      </c>
      <c r="I45" s="270">
        <v>19.393000000000001</v>
      </c>
      <c r="J45" s="270">
        <v>19.385000000000002</v>
      </c>
      <c r="K45" s="270">
        <v>19.378</v>
      </c>
      <c r="M45" s="117" t="s">
        <v>416</v>
      </c>
      <c r="P45" s="211" t="s">
        <v>671</v>
      </c>
      <c r="Q45" s="275">
        <f>Q43+Q36</f>
        <v>28.683288929277808</v>
      </c>
      <c r="R45" s="275">
        <f t="shared" ref="R45:X45" si="3">R43+R36</f>
        <v>26.790288929277807</v>
      </c>
      <c r="S45" s="275">
        <f t="shared" si="3"/>
        <v>24.086288929277814</v>
      </c>
      <c r="T45" s="275">
        <f t="shared" si="3"/>
        <v>22.707288929277809</v>
      </c>
      <c r="U45" s="275">
        <f t="shared" si="3"/>
        <v>21.641288929277813</v>
      </c>
      <c r="V45" s="275">
        <f t="shared" si="3"/>
        <v>20.744288929277808</v>
      </c>
      <c r="W45" s="275">
        <f t="shared" si="3"/>
        <v>19.980288929277812</v>
      </c>
      <c r="X45" s="275">
        <f t="shared" si="3"/>
        <v>19.312288929277813</v>
      </c>
    </row>
    <row r="46" spans="2:24" x14ac:dyDescent="0.3">
      <c r="B46" s="211" t="s">
        <v>541</v>
      </c>
      <c r="C46" s="211" t="s">
        <v>52</v>
      </c>
      <c r="D46" s="270">
        <v>19.734999999999999</v>
      </c>
      <c r="E46" s="270">
        <v>19.452000000000002</v>
      </c>
      <c r="F46" s="270">
        <v>19.43</v>
      </c>
      <c r="G46" s="270">
        <v>19.414999999999999</v>
      </c>
      <c r="H46" s="270">
        <v>19.402999999999999</v>
      </c>
      <c r="I46" s="270">
        <v>19.393000000000001</v>
      </c>
      <c r="J46" s="270">
        <v>19.385000000000002</v>
      </c>
      <c r="K46" s="270">
        <v>19.378</v>
      </c>
      <c r="M46" s="117" t="s">
        <v>416</v>
      </c>
    </row>
    <row r="47" spans="2:24" x14ac:dyDescent="0.3">
      <c r="B47" s="211" t="s">
        <v>541</v>
      </c>
      <c r="C47" s="211" t="s">
        <v>564</v>
      </c>
      <c r="D47" s="270">
        <v>19.734999999999999</v>
      </c>
      <c r="E47" s="270">
        <v>19.452000000000002</v>
      </c>
      <c r="F47" s="270">
        <v>19.43</v>
      </c>
      <c r="G47" s="270">
        <v>19.414999999999999</v>
      </c>
      <c r="H47" s="270">
        <v>19.402999999999999</v>
      </c>
      <c r="I47" s="270">
        <v>19.393000000000001</v>
      </c>
      <c r="J47" s="270">
        <v>19.385000000000002</v>
      </c>
      <c r="K47" s="270">
        <v>19.378</v>
      </c>
      <c r="M47" s="117" t="s">
        <v>416</v>
      </c>
    </row>
    <row r="48" spans="2:24" x14ac:dyDescent="0.3">
      <c r="B48" s="211" t="s">
        <v>541</v>
      </c>
      <c r="C48" s="211" t="s">
        <v>220</v>
      </c>
      <c r="D48" s="270">
        <v>19.734999999999999</v>
      </c>
      <c r="E48" s="270">
        <v>19.452000000000002</v>
      </c>
      <c r="F48" s="270">
        <v>19.43</v>
      </c>
      <c r="G48" s="270">
        <v>19.414999999999999</v>
      </c>
      <c r="H48" s="270">
        <v>19.402999999999999</v>
      </c>
      <c r="I48" s="270">
        <v>19.393000000000001</v>
      </c>
      <c r="J48" s="270">
        <v>19.385000000000002</v>
      </c>
      <c r="K48" s="270">
        <v>19.378</v>
      </c>
      <c r="M48" s="117" t="s">
        <v>416</v>
      </c>
    </row>
    <row r="49" spans="2:13" x14ac:dyDescent="0.3">
      <c r="B49" s="211" t="s">
        <v>541</v>
      </c>
      <c r="C49" s="211" t="s">
        <v>55</v>
      </c>
      <c r="D49" s="270">
        <v>19.734999999999999</v>
      </c>
      <c r="E49" s="270">
        <v>19.452000000000002</v>
      </c>
      <c r="F49" s="270">
        <v>19.43</v>
      </c>
      <c r="G49" s="270">
        <v>19.414999999999999</v>
      </c>
      <c r="H49" s="270">
        <v>19.402999999999999</v>
      </c>
      <c r="I49" s="270">
        <v>19.393000000000001</v>
      </c>
      <c r="J49" s="270">
        <v>19.385000000000002</v>
      </c>
      <c r="K49" s="270">
        <v>19.378</v>
      </c>
      <c r="M49" s="117" t="s">
        <v>295</v>
      </c>
    </row>
    <row r="50" spans="2:13" x14ac:dyDescent="0.3">
      <c r="B50" s="211" t="s">
        <v>541</v>
      </c>
      <c r="C50" s="211" t="s">
        <v>565</v>
      </c>
      <c r="D50" s="270">
        <v>19.734999999999999</v>
      </c>
      <c r="E50" s="270">
        <v>19.452000000000002</v>
      </c>
      <c r="F50" s="270">
        <v>19.43</v>
      </c>
      <c r="G50" s="270">
        <v>19.414999999999999</v>
      </c>
      <c r="H50" s="270">
        <v>19.402999999999999</v>
      </c>
      <c r="I50" s="270">
        <v>19.393000000000001</v>
      </c>
      <c r="J50" s="270">
        <v>19.385000000000002</v>
      </c>
      <c r="K50" s="270">
        <v>19.378</v>
      </c>
      <c r="M50" s="117" t="s">
        <v>295</v>
      </c>
    </row>
    <row r="51" spans="2:13" x14ac:dyDescent="0.3">
      <c r="B51" s="211" t="s">
        <v>541</v>
      </c>
      <c r="C51" s="211" t="s">
        <v>222</v>
      </c>
      <c r="D51" s="270">
        <v>19.734999999999999</v>
      </c>
      <c r="E51" s="270">
        <v>19.452000000000002</v>
      </c>
      <c r="F51" s="270">
        <v>19.43</v>
      </c>
      <c r="G51" s="270">
        <v>19.414999999999999</v>
      </c>
      <c r="H51" s="270">
        <v>19.402999999999999</v>
      </c>
      <c r="I51" s="270">
        <v>19.393000000000001</v>
      </c>
      <c r="J51" s="270">
        <v>19.385000000000002</v>
      </c>
      <c r="K51" s="270">
        <v>19.378</v>
      </c>
      <c r="M51" s="117" t="s">
        <v>295</v>
      </c>
    </row>
    <row r="52" spans="2:13" x14ac:dyDescent="0.3">
      <c r="B52" s="211" t="s">
        <v>541</v>
      </c>
      <c r="C52" s="211" t="s">
        <v>56</v>
      </c>
      <c r="D52" s="270">
        <v>35.097999999999999</v>
      </c>
      <c r="E52" s="270">
        <v>33.204999999999998</v>
      </c>
      <c r="F52" s="270">
        <v>30.501000000000001</v>
      </c>
      <c r="G52" s="270">
        <v>29.122</v>
      </c>
      <c r="H52" s="270">
        <v>28.056000000000001</v>
      </c>
      <c r="I52" s="270">
        <v>27.158999999999999</v>
      </c>
      <c r="J52" s="270">
        <v>26.395</v>
      </c>
      <c r="K52" s="270">
        <v>25.727</v>
      </c>
      <c r="M52" s="117" t="s">
        <v>295</v>
      </c>
    </row>
    <row r="53" spans="2:13" x14ac:dyDescent="0.3">
      <c r="B53" s="211" t="s">
        <v>541</v>
      </c>
      <c r="C53" s="211" t="s">
        <v>566</v>
      </c>
      <c r="D53" s="270">
        <v>35.097999999999999</v>
      </c>
      <c r="E53" s="270">
        <v>33.204999999999998</v>
      </c>
      <c r="F53" s="270">
        <v>30.501000000000001</v>
      </c>
      <c r="G53" s="270">
        <v>29.122</v>
      </c>
      <c r="H53" s="270">
        <v>28.056000000000001</v>
      </c>
      <c r="I53" s="270">
        <v>27.158999999999999</v>
      </c>
      <c r="J53" s="270">
        <v>26.395</v>
      </c>
      <c r="K53" s="270">
        <v>25.727</v>
      </c>
      <c r="M53" s="117" t="s">
        <v>295</v>
      </c>
    </row>
    <row r="54" spans="2:13" x14ac:dyDescent="0.3">
      <c r="B54" s="211" t="s">
        <v>541</v>
      </c>
      <c r="C54" s="211" t="s">
        <v>224</v>
      </c>
      <c r="D54" s="270">
        <v>35.097999999999999</v>
      </c>
      <c r="E54" s="270">
        <v>33.204999999999998</v>
      </c>
      <c r="F54" s="270">
        <v>30.501000000000001</v>
      </c>
      <c r="G54" s="270">
        <v>29.122</v>
      </c>
      <c r="H54" s="270">
        <v>28.056000000000001</v>
      </c>
      <c r="I54" s="270">
        <v>27.158999999999999</v>
      </c>
      <c r="J54" s="270">
        <v>26.395</v>
      </c>
      <c r="K54" s="270">
        <v>25.727</v>
      </c>
      <c r="M54" s="117" t="s">
        <v>295</v>
      </c>
    </row>
    <row r="55" spans="2:13" x14ac:dyDescent="0.3">
      <c r="B55" s="211" t="s">
        <v>541</v>
      </c>
      <c r="C55" s="211" t="s">
        <v>58</v>
      </c>
      <c r="D55" s="270">
        <v>24.67</v>
      </c>
      <c r="E55" s="270">
        <v>23.181999999999999</v>
      </c>
      <c r="F55" s="270">
        <v>22.738</v>
      </c>
      <c r="G55" s="270">
        <v>22.478000000000002</v>
      </c>
      <c r="H55" s="270">
        <v>22.3</v>
      </c>
      <c r="I55" s="270">
        <v>22.170999999999999</v>
      </c>
      <c r="J55" s="270">
        <v>22.068999999999999</v>
      </c>
      <c r="K55" s="270">
        <v>21.995000000000001</v>
      </c>
      <c r="M55" s="117" t="s">
        <v>295</v>
      </c>
    </row>
    <row r="56" spans="2:13" x14ac:dyDescent="0.3">
      <c r="B56" s="211" t="s">
        <v>541</v>
      </c>
      <c r="C56" s="211" t="s">
        <v>567</v>
      </c>
      <c r="D56" s="270">
        <v>24.67</v>
      </c>
      <c r="E56" s="270">
        <v>23.181999999999999</v>
      </c>
      <c r="F56" s="270">
        <v>22.738</v>
      </c>
      <c r="G56" s="270">
        <v>22.478000000000002</v>
      </c>
      <c r="H56" s="270">
        <v>22.3</v>
      </c>
      <c r="I56" s="270">
        <v>22.170999999999999</v>
      </c>
      <c r="J56" s="270">
        <v>22.068999999999999</v>
      </c>
      <c r="K56" s="270">
        <v>21.995000000000001</v>
      </c>
      <c r="M56" s="117" t="s">
        <v>295</v>
      </c>
    </row>
    <row r="57" spans="2:13" x14ac:dyDescent="0.3">
      <c r="B57" s="211" t="s">
        <v>541</v>
      </c>
      <c r="C57" s="211" t="s">
        <v>226</v>
      </c>
      <c r="D57" s="270">
        <v>24.67</v>
      </c>
      <c r="E57" s="270">
        <v>23.181999999999999</v>
      </c>
      <c r="F57" s="270">
        <v>22.738</v>
      </c>
      <c r="G57" s="270">
        <v>22.478000000000002</v>
      </c>
      <c r="H57" s="270">
        <v>22.3</v>
      </c>
      <c r="I57" s="270">
        <v>22.170999999999999</v>
      </c>
      <c r="J57" s="270">
        <v>22.068999999999999</v>
      </c>
      <c r="K57" s="270">
        <v>21.995000000000001</v>
      </c>
      <c r="M57" s="117" t="s">
        <v>295</v>
      </c>
    </row>
    <row r="58" spans="2:13" x14ac:dyDescent="0.3">
      <c r="B58" s="211" t="s">
        <v>541</v>
      </c>
      <c r="C58" s="211" t="s">
        <v>59</v>
      </c>
      <c r="D58" s="270">
        <v>22.67</v>
      </c>
      <c r="E58" s="270">
        <v>21.329000000000001</v>
      </c>
      <c r="F58" s="270">
        <v>20.885999999999999</v>
      </c>
      <c r="G58" s="270">
        <v>20.626000000000001</v>
      </c>
      <c r="H58" s="270">
        <v>20.446000000000002</v>
      </c>
      <c r="I58" s="270">
        <v>20.135999999999999</v>
      </c>
      <c r="J58" s="270">
        <v>20.212</v>
      </c>
      <c r="K58" s="270">
        <v>20.135999999999999</v>
      </c>
      <c r="M58" s="117" t="s">
        <v>295</v>
      </c>
    </row>
    <row r="59" spans="2:13" x14ac:dyDescent="0.3">
      <c r="B59" s="211" t="s">
        <v>541</v>
      </c>
      <c r="C59" s="211" t="s">
        <v>568</v>
      </c>
      <c r="D59" s="270">
        <v>22.67</v>
      </c>
      <c r="E59" s="270">
        <v>21.329000000000001</v>
      </c>
      <c r="F59" s="270">
        <v>20.885999999999999</v>
      </c>
      <c r="G59" s="270">
        <v>20.626000000000001</v>
      </c>
      <c r="H59" s="270">
        <v>20.446000000000002</v>
      </c>
      <c r="I59" s="270">
        <v>20.135999999999999</v>
      </c>
      <c r="J59" s="270">
        <v>20.212</v>
      </c>
      <c r="K59" s="270">
        <v>20.135999999999999</v>
      </c>
      <c r="M59" s="117" t="s">
        <v>295</v>
      </c>
    </row>
    <row r="60" spans="2:13" x14ac:dyDescent="0.3">
      <c r="B60" s="211" t="s">
        <v>541</v>
      </c>
      <c r="C60" s="211" t="s">
        <v>228</v>
      </c>
      <c r="D60" s="270">
        <v>22.67</v>
      </c>
      <c r="E60" s="270">
        <v>21.329000000000001</v>
      </c>
      <c r="F60" s="270">
        <v>20.885999999999999</v>
      </c>
      <c r="G60" s="270">
        <v>20.626000000000001</v>
      </c>
      <c r="H60" s="270">
        <v>20.446000000000002</v>
      </c>
      <c r="I60" s="270">
        <v>20.135999999999999</v>
      </c>
      <c r="J60" s="270">
        <v>20.212</v>
      </c>
      <c r="K60" s="270">
        <v>20.135999999999999</v>
      </c>
      <c r="M60" s="117" t="s">
        <v>295</v>
      </c>
    </row>
    <row r="61" spans="2:13" x14ac:dyDescent="0.3">
      <c r="B61" s="211" t="s">
        <v>541</v>
      </c>
      <c r="C61" s="211" t="s">
        <v>60</v>
      </c>
      <c r="D61" s="270">
        <v>19.734999999999999</v>
      </c>
      <c r="E61" s="270">
        <v>19.452000000000002</v>
      </c>
      <c r="F61" s="270">
        <v>19.43</v>
      </c>
      <c r="G61" s="270">
        <v>19.414999999999999</v>
      </c>
      <c r="H61" s="270">
        <v>19.402999999999999</v>
      </c>
      <c r="I61" s="270">
        <v>19.393000000000001</v>
      </c>
      <c r="J61" s="270">
        <v>19.385000000000002</v>
      </c>
      <c r="K61" s="270">
        <v>19.378</v>
      </c>
      <c r="M61" s="117" t="s">
        <v>416</v>
      </c>
    </row>
    <row r="62" spans="2:13" x14ac:dyDescent="0.3">
      <c r="B62" s="211" t="s">
        <v>541</v>
      </c>
      <c r="C62" s="211" t="s">
        <v>569</v>
      </c>
      <c r="D62" s="270">
        <v>19.734999999999999</v>
      </c>
      <c r="E62" s="270">
        <v>19.452000000000002</v>
      </c>
      <c r="F62" s="270">
        <v>19.43</v>
      </c>
      <c r="G62" s="270">
        <v>19.414999999999999</v>
      </c>
      <c r="H62" s="270">
        <v>19.402999999999999</v>
      </c>
      <c r="I62" s="270">
        <v>19.393000000000001</v>
      </c>
      <c r="J62" s="270">
        <v>19.385000000000002</v>
      </c>
      <c r="K62" s="270">
        <v>19.378</v>
      </c>
      <c r="M62" s="117" t="s">
        <v>416</v>
      </c>
    </row>
    <row r="63" spans="2:13" x14ac:dyDescent="0.3">
      <c r="B63" s="211" t="s">
        <v>541</v>
      </c>
      <c r="C63" s="211" t="s">
        <v>230</v>
      </c>
      <c r="D63" s="270">
        <v>19.734999999999999</v>
      </c>
      <c r="E63" s="270">
        <v>19.452000000000002</v>
      </c>
      <c r="F63" s="270">
        <v>19.43</v>
      </c>
      <c r="G63" s="270">
        <v>19.414999999999999</v>
      </c>
      <c r="H63" s="270">
        <v>19.402999999999999</v>
      </c>
      <c r="I63" s="270">
        <v>19.393000000000001</v>
      </c>
      <c r="J63" s="270">
        <v>19.385000000000002</v>
      </c>
      <c r="K63" s="270">
        <v>19.378</v>
      </c>
      <c r="M63" s="117" t="s">
        <v>416</v>
      </c>
    </row>
    <row r="64" spans="2:13" x14ac:dyDescent="0.3">
      <c r="B64" s="211" t="s">
        <v>541</v>
      </c>
      <c r="C64" s="211" t="s">
        <v>583</v>
      </c>
      <c r="D64" s="270">
        <v>19.734999999999999</v>
      </c>
      <c r="E64" s="270">
        <v>19.452000000000002</v>
      </c>
      <c r="F64" s="270">
        <v>19.43</v>
      </c>
      <c r="G64" s="270">
        <v>19.414999999999999</v>
      </c>
      <c r="H64" s="270">
        <v>19.402999999999999</v>
      </c>
      <c r="I64" s="270">
        <v>19.393000000000001</v>
      </c>
      <c r="J64" s="270">
        <v>19.385000000000002</v>
      </c>
      <c r="K64" s="270">
        <v>19.378</v>
      </c>
      <c r="M64" s="117" t="s">
        <v>416</v>
      </c>
    </row>
    <row r="65" spans="2:13" x14ac:dyDescent="0.3">
      <c r="B65" s="211" t="s">
        <v>541</v>
      </c>
      <c r="C65" s="211" t="s">
        <v>586</v>
      </c>
      <c r="D65" s="270">
        <v>19.734999999999999</v>
      </c>
      <c r="E65" s="270">
        <v>19.452000000000002</v>
      </c>
      <c r="F65" s="270">
        <v>19.43</v>
      </c>
      <c r="G65" s="270">
        <v>19.414999999999999</v>
      </c>
      <c r="H65" s="270">
        <v>19.402999999999999</v>
      </c>
      <c r="I65" s="270">
        <v>19.393000000000001</v>
      </c>
      <c r="J65" s="270">
        <v>19.385000000000002</v>
      </c>
      <c r="K65" s="270">
        <v>19.378</v>
      </c>
      <c r="M65" s="117" t="s">
        <v>416</v>
      </c>
    </row>
    <row r="66" spans="2:13" x14ac:dyDescent="0.3">
      <c r="B66" s="211" t="s">
        <v>541</v>
      </c>
      <c r="C66" s="211" t="s">
        <v>584</v>
      </c>
      <c r="D66" s="270">
        <v>19.734999999999999</v>
      </c>
      <c r="E66" s="270">
        <v>19.452000000000002</v>
      </c>
      <c r="F66" s="270">
        <v>19.43</v>
      </c>
      <c r="G66" s="270">
        <v>19.414999999999999</v>
      </c>
      <c r="H66" s="270">
        <v>19.402999999999999</v>
      </c>
      <c r="I66" s="270">
        <v>19.393000000000001</v>
      </c>
      <c r="J66" s="270">
        <v>19.385000000000002</v>
      </c>
      <c r="K66" s="270">
        <v>19.378</v>
      </c>
      <c r="M66" s="117" t="s">
        <v>416</v>
      </c>
    </row>
    <row r="67" spans="2:13" x14ac:dyDescent="0.3">
      <c r="B67" s="211" t="s">
        <v>541</v>
      </c>
      <c r="C67" s="211" t="s">
        <v>63</v>
      </c>
      <c r="D67" s="270">
        <v>32.155000000000001</v>
      </c>
      <c r="E67" s="270">
        <v>29.478999999999999</v>
      </c>
      <c r="F67" s="270">
        <v>27.831</v>
      </c>
      <c r="G67" s="270">
        <v>26.962</v>
      </c>
      <c r="H67" s="270">
        <v>26.277000000000001</v>
      </c>
      <c r="I67" s="270">
        <v>25.709</v>
      </c>
      <c r="J67" s="270">
        <v>25.244</v>
      </c>
      <c r="K67" s="270">
        <v>24.864000000000001</v>
      </c>
      <c r="M67" s="117" t="s">
        <v>295</v>
      </c>
    </row>
    <row r="68" spans="2:13" x14ac:dyDescent="0.3">
      <c r="B68" s="211" t="s">
        <v>541</v>
      </c>
      <c r="C68" s="211" t="s">
        <v>570</v>
      </c>
      <c r="D68" s="270">
        <v>32.155000000000001</v>
      </c>
      <c r="E68" s="270">
        <v>29.478999999999999</v>
      </c>
      <c r="F68" s="270">
        <v>27.831</v>
      </c>
      <c r="G68" s="270">
        <v>26.962</v>
      </c>
      <c r="H68" s="270">
        <v>26.277000000000001</v>
      </c>
      <c r="I68" s="270">
        <v>25.709</v>
      </c>
      <c r="J68" s="270">
        <v>25.244</v>
      </c>
      <c r="K68" s="270">
        <v>24.864000000000001</v>
      </c>
      <c r="M68" s="117" t="s">
        <v>295</v>
      </c>
    </row>
    <row r="69" spans="2:13" x14ac:dyDescent="0.3">
      <c r="B69" s="211" t="s">
        <v>541</v>
      </c>
      <c r="C69" s="211" t="s">
        <v>232</v>
      </c>
      <c r="D69" s="270">
        <v>32.155000000000001</v>
      </c>
      <c r="E69" s="270">
        <v>29.478999999999999</v>
      </c>
      <c r="F69" s="270">
        <v>27.831</v>
      </c>
      <c r="G69" s="270">
        <v>26.962</v>
      </c>
      <c r="H69" s="270">
        <v>26.277000000000001</v>
      </c>
      <c r="I69" s="270">
        <v>25.709</v>
      </c>
      <c r="J69" s="270">
        <v>25.244</v>
      </c>
      <c r="K69" s="270">
        <v>24.864000000000001</v>
      </c>
      <c r="M69" s="117" t="s">
        <v>295</v>
      </c>
    </row>
    <row r="70" spans="2:13" x14ac:dyDescent="0.3">
      <c r="B70" s="211" t="s">
        <v>541</v>
      </c>
      <c r="C70" s="211" t="s">
        <v>64</v>
      </c>
      <c r="D70" s="270">
        <v>30.745000000000001</v>
      </c>
      <c r="E70" s="270">
        <v>28.067</v>
      </c>
      <c r="F70" s="270">
        <v>26.41</v>
      </c>
      <c r="G70" s="270">
        <v>25.536000000000001</v>
      </c>
      <c r="H70" s="270">
        <v>24.844999999999999</v>
      </c>
      <c r="I70" s="270">
        <v>24.273</v>
      </c>
      <c r="J70" s="270">
        <v>23.803000000000001</v>
      </c>
      <c r="K70" s="270">
        <v>23.42</v>
      </c>
      <c r="M70" s="117" t="s">
        <v>295</v>
      </c>
    </row>
    <row r="71" spans="2:13" x14ac:dyDescent="0.3">
      <c r="B71" s="211" t="s">
        <v>541</v>
      </c>
      <c r="C71" s="211" t="s">
        <v>571</v>
      </c>
      <c r="D71" s="270">
        <v>30.745000000000001</v>
      </c>
      <c r="E71" s="270">
        <v>28.067</v>
      </c>
      <c r="F71" s="270">
        <v>26.41</v>
      </c>
      <c r="G71" s="270">
        <v>25.536000000000001</v>
      </c>
      <c r="H71" s="270">
        <v>24.844999999999999</v>
      </c>
      <c r="I71" s="270">
        <v>24.273</v>
      </c>
      <c r="J71" s="270">
        <v>23.803000000000001</v>
      </c>
      <c r="K71" s="270">
        <v>23.42</v>
      </c>
      <c r="M71" s="117" t="s">
        <v>295</v>
      </c>
    </row>
    <row r="72" spans="2:13" x14ac:dyDescent="0.3">
      <c r="B72" s="215" t="s">
        <v>541</v>
      </c>
      <c r="C72" s="215" t="s">
        <v>234</v>
      </c>
      <c r="D72" s="115">
        <v>30.745000000000001</v>
      </c>
      <c r="E72" s="115">
        <v>28.067</v>
      </c>
      <c r="F72" s="115">
        <v>26.41</v>
      </c>
      <c r="G72" s="115">
        <v>25.536000000000001</v>
      </c>
      <c r="H72" s="115">
        <v>24.844999999999999</v>
      </c>
      <c r="I72" s="115">
        <v>24.273</v>
      </c>
      <c r="J72" s="115">
        <v>23.803000000000001</v>
      </c>
      <c r="K72" s="115">
        <v>23.42</v>
      </c>
      <c r="M72" s="145" t="s">
        <v>295</v>
      </c>
    </row>
    <row r="73" spans="2:13" x14ac:dyDescent="0.3">
      <c r="B73" s="211" t="s">
        <v>452</v>
      </c>
      <c r="C73" s="211" t="s">
        <v>132</v>
      </c>
      <c r="D73" s="270">
        <v>21.434999999999999</v>
      </c>
      <c r="E73" s="270">
        <v>21.155000000000001</v>
      </c>
      <c r="F73" s="270">
        <v>21.132000000000001</v>
      </c>
      <c r="G73" s="270">
        <v>21.117999999999999</v>
      </c>
      <c r="H73" s="270">
        <v>21.108000000000001</v>
      </c>
      <c r="I73" s="270">
        <v>21.1</v>
      </c>
      <c r="J73" s="270">
        <v>21.093</v>
      </c>
      <c r="K73" s="270">
        <v>21.088000000000001</v>
      </c>
      <c r="M73" s="117" t="s">
        <v>415</v>
      </c>
    </row>
    <row r="74" spans="2:13" x14ac:dyDescent="0.3">
      <c r="B74" s="211" t="s">
        <v>452</v>
      </c>
      <c r="C74" s="211" t="s">
        <v>236</v>
      </c>
      <c r="D74" s="270">
        <v>21.434999999999999</v>
      </c>
      <c r="E74" s="270">
        <v>21.155000000000001</v>
      </c>
      <c r="F74" s="270">
        <v>21.132000000000001</v>
      </c>
      <c r="G74" s="270">
        <v>21.117999999999999</v>
      </c>
      <c r="H74" s="270">
        <v>21.108000000000001</v>
      </c>
      <c r="I74" s="270">
        <v>21.1</v>
      </c>
      <c r="J74" s="270">
        <v>21.093</v>
      </c>
      <c r="K74" s="270">
        <v>21.088000000000001</v>
      </c>
      <c r="M74" s="117"/>
    </row>
    <row r="75" spans="2:13" x14ac:dyDescent="0.3">
      <c r="B75" s="211" t="s">
        <v>452</v>
      </c>
      <c r="C75" s="211" t="s">
        <v>134</v>
      </c>
      <c r="D75" s="270">
        <v>23.578499999999998</v>
      </c>
      <c r="E75" s="270">
        <v>23.270500000000002</v>
      </c>
      <c r="F75" s="270">
        <v>23.245200000000004</v>
      </c>
      <c r="G75" s="270">
        <v>23.229800000000001</v>
      </c>
      <c r="H75" s="270">
        <v>23.218800000000002</v>
      </c>
      <c r="I75" s="270">
        <v>23.210000000000004</v>
      </c>
      <c r="J75" s="270">
        <v>23.202300000000001</v>
      </c>
      <c r="K75" s="270">
        <v>23.196800000000003</v>
      </c>
      <c r="M75" s="117" t="s">
        <v>579</v>
      </c>
    </row>
    <row r="76" spans="2:13" x14ac:dyDescent="0.3">
      <c r="B76" s="211" t="s">
        <v>452</v>
      </c>
      <c r="C76" s="211" t="s">
        <v>238</v>
      </c>
      <c r="D76" s="270">
        <v>23.578499999999998</v>
      </c>
      <c r="E76" s="270">
        <v>23.270500000000002</v>
      </c>
      <c r="F76" s="270">
        <v>23.245200000000004</v>
      </c>
      <c r="G76" s="270">
        <v>23.229800000000001</v>
      </c>
      <c r="H76" s="270">
        <v>23.218800000000002</v>
      </c>
      <c r="I76" s="270">
        <v>23.210000000000004</v>
      </c>
      <c r="J76" s="270">
        <v>23.202300000000001</v>
      </c>
      <c r="K76" s="270">
        <v>23.196800000000003</v>
      </c>
      <c r="M76" s="117" t="s">
        <v>579</v>
      </c>
    </row>
    <row r="77" spans="2:13" x14ac:dyDescent="0.3">
      <c r="B77" s="211" t="s">
        <v>452</v>
      </c>
      <c r="C77" s="211" t="s">
        <v>136</v>
      </c>
      <c r="D77" s="270">
        <v>21.434999999999999</v>
      </c>
      <c r="E77" s="270">
        <v>21.155000000000001</v>
      </c>
      <c r="F77" s="270">
        <v>21.132000000000001</v>
      </c>
      <c r="G77" s="270">
        <v>21.117999999999999</v>
      </c>
      <c r="H77" s="270">
        <v>21.108000000000001</v>
      </c>
      <c r="I77" s="270">
        <v>21.1</v>
      </c>
      <c r="J77" s="270">
        <v>21.093</v>
      </c>
      <c r="K77" s="270">
        <v>21.088000000000001</v>
      </c>
      <c r="M77" s="117" t="s">
        <v>295</v>
      </c>
    </row>
    <row r="78" spans="2:13" x14ac:dyDescent="0.3">
      <c r="B78" s="211" t="s">
        <v>452</v>
      </c>
      <c r="C78" s="211" t="s">
        <v>240</v>
      </c>
      <c r="D78" s="270">
        <v>21.434999999999999</v>
      </c>
      <c r="E78" s="270">
        <v>21.155000000000001</v>
      </c>
      <c r="F78" s="270">
        <v>21.132000000000001</v>
      </c>
      <c r="G78" s="270">
        <v>21.117999999999999</v>
      </c>
      <c r="H78" s="270">
        <v>21.108000000000001</v>
      </c>
      <c r="I78" s="270">
        <v>21.1</v>
      </c>
      <c r="J78" s="270">
        <v>21.093</v>
      </c>
      <c r="K78" s="270">
        <v>21.088000000000001</v>
      </c>
      <c r="M78" s="117"/>
    </row>
    <row r="79" spans="2:13" x14ac:dyDescent="0.3">
      <c r="B79" s="211" t="s">
        <v>452</v>
      </c>
      <c r="C79" s="211" t="s">
        <v>138</v>
      </c>
      <c r="D79" s="270">
        <v>41.054000000000002</v>
      </c>
      <c r="E79" s="270">
        <v>35.389000000000003</v>
      </c>
      <c r="F79" s="270">
        <v>31.187999999999999</v>
      </c>
      <c r="G79" s="270">
        <v>29.695</v>
      </c>
      <c r="H79" s="270">
        <v>28.536999999999999</v>
      </c>
      <c r="I79" s="270">
        <v>27.753</v>
      </c>
      <c r="J79" s="270">
        <v>27.114000000000001</v>
      </c>
      <c r="K79" s="270">
        <v>26.594000000000001</v>
      </c>
      <c r="M79" s="117" t="s">
        <v>295</v>
      </c>
    </row>
    <row r="80" spans="2:13" x14ac:dyDescent="0.3">
      <c r="B80" s="211" t="s">
        <v>452</v>
      </c>
      <c r="C80" s="211" t="s">
        <v>242</v>
      </c>
      <c r="D80" s="270">
        <v>41.054000000000002</v>
      </c>
      <c r="E80" s="270">
        <v>35.389000000000003</v>
      </c>
      <c r="F80" s="270">
        <v>31.187999999999999</v>
      </c>
      <c r="G80" s="270">
        <v>29.695</v>
      </c>
      <c r="H80" s="270">
        <v>28.536999999999999</v>
      </c>
      <c r="I80" s="270">
        <v>27.753</v>
      </c>
      <c r="J80" s="270">
        <v>27.114000000000001</v>
      </c>
      <c r="K80" s="270">
        <v>26.594000000000001</v>
      </c>
      <c r="M80" s="117"/>
    </row>
    <row r="81" spans="2:13" x14ac:dyDescent="0.3">
      <c r="B81" s="211" t="s">
        <v>452</v>
      </c>
      <c r="C81" s="211" t="s">
        <v>140</v>
      </c>
      <c r="D81" s="270">
        <v>19.734999999999999</v>
      </c>
      <c r="E81" s="270">
        <v>19.452000000000002</v>
      </c>
      <c r="F81" s="270">
        <v>19.43</v>
      </c>
      <c r="G81" s="270">
        <v>19.414999999999999</v>
      </c>
      <c r="H81" s="270">
        <v>19.402999999999999</v>
      </c>
      <c r="I81" s="270">
        <v>19.393000000000001</v>
      </c>
      <c r="J81" s="270">
        <v>19.385000000000002</v>
      </c>
      <c r="K81" s="270">
        <v>19.378</v>
      </c>
      <c r="M81" s="117" t="s">
        <v>296</v>
      </c>
    </row>
    <row r="82" spans="2:13" x14ac:dyDescent="0.3">
      <c r="B82" s="211" t="s">
        <v>452</v>
      </c>
      <c r="C82" s="211" t="s">
        <v>244</v>
      </c>
      <c r="D82" s="270">
        <v>19.734999999999999</v>
      </c>
      <c r="E82" s="270">
        <v>19.452000000000002</v>
      </c>
      <c r="F82" s="270">
        <v>19.43</v>
      </c>
      <c r="G82" s="270">
        <v>19.414999999999999</v>
      </c>
      <c r="H82" s="270">
        <v>19.402999999999999</v>
      </c>
      <c r="I82" s="270">
        <v>19.393000000000001</v>
      </c>
      <c r="J82" s="270">
        <v>19.385000000000002</v>
      </c>
      <c r="K82" s="270">
        <v>19.378</v>
      </c>
      <c r="M82" s="117"/>
    </row>
    <row r="83" spans="2:13" x14ac:dyDescent="0.3">
      <c r="B83" s="211" t="s">
        <v>452</v>
      </c>
      <c r="C83" s="211" t="s">
        <v>142</v>
      </c>
      <c r="D83" s="270">
        <v>19.734999999999999</v>
      </c>
      <c r="E83" s="270">
        <v>19.452000000000002</v>
      </c>
      <c r="F83" s="270">
        <v>19.43</v>
      </c>
      <c r="G83" s="270">
        <v>19.414999999999999</v>
      </c>
      <c r="H83" s="270">
        <v>19.402999999999999</v>
      </c>
      <c r="I83" s="270">
        <v>19.393000000000001</v>
      </c>
      <c r="J83" s="270">
        <v>19.385000000000002</v>
      </c>
      <c r="K83" s="270">
        <v>19.378</v>
      </c>
      <c r="M83" s="117" t="s">
        <v>296</v>
      </c>
    </row>
    <row r="84" spans="2:13" x14ac:dyDescent="0.3">
      <c r="B84" s="211" t="s">
        <v>452</v>
      </c>
      <c r="C84" s="211" t="s">
        <v>246</v>
      </c>
      <c r="D84" s="270">
        <v>19.734999999999999</v>
      </c>
      <c r="E84" s="270">
        <v>19.452000000000002</v>
      </c>
      <c r="F84" s="270">
        <v>19.43</v>
      </c>
      <c r="G84" s="270">
        <v>19.414999999999999</v>
      </c>
      <c r="H84" s="270">
        <v>19.402999999999999</v>
      </c>
      <c r="I84" s="270">
        <v>19.393000000000001</v>
      </c>
      <c r="J84" s="270">
        <v>19.385000000000002</v>
      </c>
      <c r="K84" s="270">
        <v>19.378</v>
      </c>
      <c r="M84" s="117"/>
    </row>
    <row r="85" spans="2:13" x14ac:dyDescent="0.3">
      <c r="B85" s="211" t="s">
        <v>452</v>
      </c>
      <c r="C85" s="211" t="s">
        <v>144</v>
      </c>
      <c r="D85" s="270">
        <v>19.734999999999999</v>
      </c>
      <c r="E85" s="270">
        <v>19.452000000000002</v>
      </c>
      <c r="F85" s="270">
        <v>19.43</v>
      </c>
      <c r="G85" s="270">
        <v>19.414999999999999</v>
      </c>
      <c r="H85" s="270">
        <v>19.402999999999999</v>
      </c>
      <c r="I85" s="270">
        <v>19.393000000000001</v>
      </c>
      <c r="J85" s="270">
        <v>19.385000000000002</v>
      </c>
      <c r="K85" s="270">
        <v>19.378</v>
      </c>
      <c r="M85" s="117" t="s">
        <v>295</v>
      </c>
    </row>
    <row r="86" spans="2:13" x14ac:dyDescent="0.3">
      <c r="B86" s="211" t="s">
        <v>452</v>
      </c>
      <c r="C86" s="211" t="s">
        <v>248</v>
      </c>
      <c r="D86" s="270">
        <v>19.734999999999999</v>
      </c>
      <c r="E86" s="270">
        <v>19.452000000000002</v>
      </c>
      <c r="F86" s="270">
        <v>19.43</v>
      </c>
      <c r="G86" s="270">
        <v>19.414999999999999</v>
      </c>
      <c r="H86" s="270">
        <v>19.402999999999999</v>
      </c>
      <c r="I86" s="270">
        <v>19.393000000000001</v>
      </c>
      <c r="J86" s="270">
        <v>19.385000000000002</v>
      </c>
      <c r="K86" s="270">
        <v>19.378</v>
      </c>
      <c r="M86" s="117"/>
    </row>
    <row r="87" spans="2:13" x14ac:dyDescent="0.3">
      <c r="B87" s="211" t="s">
        <v>452</v>
      </c>
      <c r="C87" s="211" t="s">
        <v>146</v>
      </c>
      <c r="D87" s="270">
        <v>35.097999999999999</v>
      </c>
      <c r="E87" s="270">
        <v>33.204999999999998</v>
      </c>
      <c r="F87" s="270">
        <v>30.501000000000001</v>
      </c>
      <c r="G87" s="270">
        <v>29.122</v>
      </c>
      <c r="H87" s="270">
        <v>28.056000000000001</v>
      </c>
      <c r="I87" s="270">
        <v>27.158999999999999</v>
      </c>
      <c r="J87" s="270">
        <v>26.395</v>
      </c>
      <c r="K87" s="270">
        <v>25.727</v>
      </c>
      <c r="M87" s="117" t="s">
        <v>295</v>
      </c>
    </row>
    <row r="88" spans="2:13" x14ac:dyDescent="0.3">
      <c r="B88" s="211" t="s">
        <v>452</v>
      </c>
      <c r="C88" s="211" t="s">
        <v>250</v>
      </c>
      <c r="D88" s="270">
        <v>35.097999999999999</v>
      </c>
      <c r="E88" s="270">
        <v>33.204999999999998</v>
      </c>
      <c r="F88" s="270">
        <v>30.501000000000001</v>
      </c>
      <c r="G88" s="270">
        <v>29.122</v>
      </c>
      <c r="H88" s="270">
        <v>28.056000000000001</v>
      </c>
      <c r="I88" s="270">
        <v>27.158999999999999</v>
      </c>
      <c r="J88" s="270">
        <v>26.395</v>
      </c>
      <c r="K88" s="270">
        <v>25.727</v>
      </c>
      <c r="M88" s="117"/>
    </row>
    <row r="89" spans="2:13" x14ac:dyDescent="0.3">
      <c r="B89" s="211" t="s">
        <v>452</v>
      </c>
      <c r="C89" s="211" t="s">
        <v>149</v>
      </c>
      <c r="D89" s="270">
        <v>24.67</v>
      </c>
      <c r="E89" s="270">
        <v>23.181999999999999</v>
      </c>
      <c r="F89" s="270">
        <v>22.738</v>
      </c>
      <c r="G89" s="270">
        <v>22.478000000000002</v>
      </c>
      <c r="H89" s="270">
        <v>22.3</v>
      </c>
      <c r="I89" s="270">
        <v>22.170999999999999</v>
      </c>
      <c r="J89" s="270">
        <v>22.068999999999999</v>
      </c>
      <c r="K89" s="270">
        <v>21.995000000000001</v>
      </c>
      <c r="M89" s="117" t="s">
        <v>295</v>
      </c>
    </row>
    <row r="90" spans="2:13" x14ac:dyDescent="0.3">
      <c r="B90" s="211" t="s">
        <v>452</v>
      </c>
      <c r="C90" s="211" t="s">
        <v>297</v>
      </c>
      <c r="D90" s="270">
        <v>24.67</v>
      </c>
      <c r="E90" s="270">
        <v>23.181999999999999</v>
      </c>
      <c r="F90" s="270">
        <v>22.738</v>
      </c>
      <c r="G90" s="270">
        <v>22.478000000000002</v>
      </c>
      <c r="H90" s="270">
        <v>22.3</v>
      </c>
      <c r="I90" s="270">
        <v>22.170999999999999</v>
      </c>
      <c r="J90" s="270">
        <v>22.068999999999999</v>
      </c>
      <c r="K90" s="270">
        <v>21.995000000000001</v>
      </c>
      <c r="M90" s="117"/>
    </row>
    <row r="91" spans="2:13" x14ac:dyDescent="0.3">
      <c r="B91" s="211" t="s">
        <v>452</v>
      </c>
      <c r="C91" s="211" t="s">
        <v>151</v>
      </c>
      <c r="D91" s="270">
        <v>22.67</v>
      </c>
      <c r="E91" s="270">
        <v>21.329000000000001</v>
      </c>
      <c r="F91" s="270">
        <v>20.885999999999999</v>
      </c>
      <c r="G91" s="270">
        <v>20.626000000000001</v>
      </c>
      <c r="H91" s="270">
        <v>20.446000000000002</v>
      </c>
      <c r="I91" s="270">
        <v>20.135999999999999</v>
      </c>
      <c r="J91" s="270">
        <v>20.212</v>
      </c>
      <c r="K91" s="270">
        <v>20.135999999999999</v>
      </c>
      <c r="M91" s="117" t="s">
        <v>295</v>
      </c>
    </row>
    <row r="92" spans="2:13" x14ac:dyDescent="0.3">
      <c r="B92" s="211" t="s">
        <v>452</v>
      </c>
      <c r="C92" s="211" t="s">
        <v>298</v>
      </c>
      <c r="D92" s="270">
        <v>22.67</v>
      </c>
      <c r="E92" s="270">
        <v>21.329000000000001</v>
      </c>
      <c r="F92" s="270">
        <v>20.885999999999999</v>
      </c>
      <c r="G92" s="270">
        <v>20.626000000000001</v>
      </c>
      <c r="H92" s="270">
        <v>20.446000000000002</v>
      </c>
      <c r="I92" s="270">
        <v>20.135999999999999</v>
      </c>
      <c r="J92" s="270">
        <v>20.212</v>
      </c>
      <c r="K92" s="270">
        <v>20.135999999999999</v>
      </c>
      <c r="M92" s="117"/>
    </row>
    <row r="93" spans="2:13" x14ac:dyDescent="0.3">
      <c r="B93" s="211" t="s">
        <v>452</v>
      </c>
      <c r="C93" s="211" t="s">
        <v>148</v>
      </c>
      <c r="D93" s="270">
        <v>19.734999999999999</v>
      </c>
      <c r="E93" s="270">
        <v>19.452000000000002</v>
      </c>
      <c r="F93" s="270">
        <v>19.43</v>
      </c>
      <c r="G93" s="270">
        <v>19.414999999999999</v>
      </c>
      <c r="H93" s="270">
        <v>19.402999999999999</v>
      </c>
      <c r="I93" s="270">
        <v>19.393000000000001</v>
      </c>
      <c r="J93" s="270">
        <v>19.385000000000002</v>
      </c>
      <c r="K93" s="270">
        <v>19.378</v>
      </c>
      <c r="M93" s="117" t="s">
        <v>296</v>
      </c>
    </row>
    <row r="94" spans="2:13" x14ac:dyDescent="0.3">
      <c r="B94" s="211" t="s">
        <v>452</v>
      </c>
      <c r="C94" s="211" t="s">
        <v>252</v>
      </c>
      <c r="D94" s="270">
        <v>19.734999999999999</v>
      </c>
      <c r="E94" s="270">
        <v>19.452000000000002</v>
      </c>
      <c r="F94" s="270">
        <v>19.43</v>
      </c>
      <c r="G94" s="270">
        <v>19.414999999999999</v>
      </c>
      <c r="H94" s="270">
        <v>19.402999999999999</v>
      </c>
      <c r="I94" s="270">
        <v>19.393000000000001</v>
      </c>
      <c r="J94" s="270">
        <v>19.385000000000002</v>
      </c>
      <c r="K94" s="270">
        <v>19.378</v>
      </c>
      <c r="M94" s="117"/>
    </row>
    <row r="95" spans="2:13" x14ac:dyDescent="0.3">
      <c r="B95" s="211" t="s">
        <v>452</v>
      </c>
      <c r="C95" s="211" t="s">
        <v>592</v>
      </c>
      <c r="D95" s="270">
        <v>19.734999999999999</v>
      </c>
      <c r="E95" s="270">
        <v>19.452000000000002</v>
      </c>
      <c r="F95" s="270">
        <v>19.43</v>
      </c>
      <c r="G95" s="270">
        <v>19.414999999999999</v>
      </c>
      <c r="H95" s="270">
        <v>19.402999999999999</v>
      </c>
      <c r="I95" s="270">
        <v>19.393000000000001</v>
      </c>
      <c r="J95" s="270">
        <v>19.385000000000002</v>
      </c>
      <c r="K95" s="270">
        <v>19.378</v>
      </c>
      <c r="M95" s="117" t="s">
        <v>296</v>
      </c>
    </row>
    <row r="96" spans="2:13" x14ac:dyDescent="0.3">
      <c r="B96" s="211" t="s">
        <v>452</v>
      </c>
      <c r="C96" s="211" t="s">
        <v>593</v>
      </c>
      <c r="D96" s="270">
        <v>19.734999999999999</v>
      </c>
      <c r="E96" s="270">
        <v>19.452000000000002</v>
      </c>
      <c r="F96" s="270">
        <v>19.43</v>
      </c>
      <c r="G96" s="270">
        <v>19.414999999999999</v>
      </c>
      <c r="H96" s="270">
        <v>19.402999999999999</v>
      </c>
      <c r="I96" s="270">
        <v>19.393000000000001</v>
      </c>
      <c r="J96" s="270">
        <v>19.385000000000002</v>
      </c>
      <c r="K96" s="270">
        <v>19.378</v>
      </c>
      <c r="M96" s="117"/>
    </row>
    <row r="97" spans="2:13" x14ac:dyDescent="0.3">
      <c r="B97" s="211" t="s">
        <v>452</v>
      </c>
      <c r="C97" s="211" t="s">
        <v>152</v>
      </c>
      <c r="D97" s="270">
        <v>32.155000000000001</v>
      </c>
      <c r="E97" s="270">
        <v>29.478999999999999</v>
      </c>
      <c r="F97" s="270">
        <v>27.831</v>
      </c>
      <c r="G97" s="270">
        <v>26.962</v>
      </c>
      <c r="H97" s="270">
        <v>26.277000000000001</v>
      </c>
      <c r="I97" s="270">
        <v>25.709</v>
      </c>
      <c r="J97" s="270">
        <v>25.244</v>
      </c>
      <c r="K97" s="270">
        <v>24.864000000000001</v>
      </c>
      <c r="M97" s="117" t="s">
        <v>295</v>
      </c>
    </row>
    <row r="98" spans="2:13" x14ac:dyDescent="0.3">
      <c r="B98" s="211" t="s">
        <v>452</v>
      </c>
      <c r="C98" s="211" t="s">
        <v>299</v>
      </c>
      <c r="D98" s="270">
        <v>32.155000000000001</v>
      </c>
      <c r="E98" s="270">
        <v>29.478999999999999</v>
      </c>
      <c r="F98" s="270">
        <v>27.831</v>
      </c>
      <c r="G98" s="270">
        <v>26.962</v>
      </c>
      <c r="H98" s="270">
        <v>26.277000000000001</v>
      </c>
      <c r="I98" s="270">
        <v>25.709</v>
      </c>
      <c r="J98" s="270">
        <v>25.244</v>
      </c>
      <c r="K98" s="270">
        <v>24.864000000000001</v>
      </c>
      <c r="M98" s="117"/>
    </row>
    <row r="99" spans="2:13" x14ac:dyDescent="0.3">
      <c r="B99" s="211" t="s">
        <v>452</v>
      </c>
      <c r="C99" s="211" t="s">
        <v>154</v>
      </c>
      <c r="D99" s="270">
        <v>30.745000000000001</v>
      </c>
      <c r="E99" s="270">
        <v>28.067</v>
      </c>
      <c r="F99" s="270">
        <v>26.41</v>
      </c>
      <c r="G99" s="270">
        <v>25.536000000000001</v>
      </c>
      <c r="H99" s="270">
        <v>24.844999999999999</v>
      </c>
      <c r="I99" s="270">
        <v>24.273</v>
      </c>
      <c r="J99" s="270">
        <v>23.803000000000001</v>
      </c>
      <c r="K99" s="270">
        <v>23.42</v>
      </c>
      <c r="M99" s="117" t="s">
        <v>295</v>
      </c>
    </row>
    <row r="100" spans="2:13" x14ac:dyDescent="0.3">
      <c r="B100" s="215" t="s">
        <v>452</v>
      </c>
      <c r="C100" s="215" t="s">
        <v>300</v>
      </c>
      <c r="D100" s="115">
        <v>30.745000000000001</v>
      </c>
      <c r="E100" s="115">
        <v>28.067</v>
      </c>
      <c r="F100" s="115">
        <v>26.41</v>
      </c>
      <c r="G100" s="115">
        <v>25.536000000000001</v>
      </c>
      <c r="H100" s="115">
        <v>24.844999999999999</v>
      </c>
      <c r="I100" s="115">
        <v>24.273</v>
      </c>
      <c r="J100" s="115">
        <v>23.803000000000001</v>
      </c>
      <c r="K100" s="115">
        <v>23.42</v>
      </c>
      <c r="M100" s="145"/>
    </row>
    <row r="101" spans="2:13" x14ac:dyDescent="0.3">
      <c r="B101" s="211" t="s">
        <v>452</v>
      </c>
      <c r="C101" s="211" t="s">
        <v>345</v>
      </c>
      <c r="D101" s="268">
        <v>141</v>
      </c>
      <c r="E101" s="268">
        <v>141</v>
      </c>
      <c r="F101" s="268">
        <v>141</v>
      </c>
      <c r="G101" s="268">
        <v>141</v>
      </c>
      <c r="H101" s="268">
        <v>141</v>
      </c>
      <c r="I101" s="268">
        <v>141</v>
      </c>
      <c r="J101" s="268">
        <v>141</v>
      </c>
      <c r="K101" s="268">
        <v>141</v>
      </c>
      <c r="M101" s="117" t="s">
        <v>420</v>
      </c>
    </row>
    <row r="102" spans="2:13" x14ac:dyDescent="0.3">
      <c r="B102" s="211" t="s">
        <v>452</v>
      </c>
      <c r="C102" s="211" t="s">
        <v>427</v>
      </c>
      <c r="D102" s="268">
        <v>141</v>
      </c>
      <c r="E102" s="268">
        <v>141</v>
      </c>
      <c r="F102" s="268">
        <v>141</v>
      </c>
      <c r="G102" s="268">
        <v>141</v>
      </c>
      <c r="H102" s="268">
        <v>141</v>
      </c>
      <c r="I102" s="268">
        <v>141</v>
      </c>
      <c r="J102" s="268">
        <v>141</v>
      </c>
      <c r="K102" s="268">
        <v>141</v>
      </c>
      <c r="M102" s="117" t="s">
        <v>420</v>
      </c>
    </row>
    <row r="103" spans="2:13" x14ac:dyDescent="0.3">
      <c r="B103" s="211" t="s">
        <v>452</v>
      </c>
      <c r="C103" s="211" t="s">
        <v>346</v>
      </c>
      <c r="D103" s="268">
        <v>169</v>
      </c>
      <c r="E103" s="268">
        <v>169</v>
      </c>
      <c r="F103" s="268">
        <v>169</v>
      </c>
      <c r="G103" s="268">
        <v>169</v>
      </c>
      <c r="H103" s="268">
        <v>169</v>
      </c>
      <c r="I103" s="268">
        <v>169</v>
      </c>
      <c r="J103" s="268">
        <v>169</v>
      </c>
      <c r="K103" s="268">
        <v>169</v>
      </c>
      <c r="M103" s="117" t="s">
        <v>420</v>
      </c>
    </row>
    <row r="104" spans="2:13" x14ac:dyDescent="0.3">
      <c r="B104" s="211" t="s">
        <v>452</v>
      </c>
      <c r="C104" s="211" t="s">
        <v>428</v>
      </c>
      <c r="D104" s="268">
        <v>169</v>
      </c>
      <c r="E104" s="268">
        <v>169</v>
      </c>
      <c r="F104" s="268">
        <v>169</v>
      </c>
      <c r="G104" s="268">
        <v>169</v>
      </c>
      <c r="H104" s="268">
        <v>169</v>
      </c>
      <c r="I104" s="268">
        <v>169</v>
      </c>
      <c r="J104" s="268">
        <v>169</v>
      </c>
      <c r="K104" s="268">
        <v>169</v>
      </c>
      <c r="M104" s="117" t="s">
        <v>420</v>
      </c>
    </row>
    <row r="105" spans="2:13" x14ac:dyDescent="0.3">
      <c r="B105" s="211" t="s">
        <v>452</v>
      </c>
      <c r="C105" s="211" t="s">
        <v>347</v>
      </c>
      <c r="D105" s="268">
        <v>141</v>
      </c>
      <c r="E105" s="268">
        <v>141</v>
      </c>
      <c r="F105" s="268">
        <v>141</v>
      </c>
      <c r="G105" s="268">
        <v>141</v>
      </c>
      <c r="H105" s="268">
        <v>141</v>
      </c>
      <c r="I105" s="268">
        <v>141</v>
      </c>
      <c r="J105" s="268">
        <v>141</v>
      </c>
      <c r="K105" s="268">
        <v>141</v>
      </c>
      <c r="M105" s="117" t="s">
        <v>420</v>
      </c>
    </row>
    <row r="106" spans="2:13" x14ac:dyDescent="0.3">
      <c r="B106" s="211" t="s">
        <v>452</v>
      </c>
      <c r="C106" s="211" t="s">
        <v>429</v>
      </c>
      <c r="D106" s="268">
        <v>141</v>
      </c>
      <c r="E106" s="268">
        <v>141</v>
      </c>
      <c r="F106" s="268">
        <v>141</v>
      </c>
      <c r="G106" s="268">
        <v>141</v>
      </c>
      <c r="H106" s="268">
        <v>141</v>
      </c>
      <c r="I106" s="268">
        <v>141</v>
      </c>
      <c r="J106" s="268">
        <v>141</v>
      </c>
      <c r="K106" s="268">
        <v>141</v>
      </c>
      <c r="M106" s="117" t="s">
        <v>420</v>
      </c>
    </row>
    <row r="107" spans="2:13" x14ac:dyDescent="0.3">
      <c r="B107" s="211" t="s">
        <v>452</v>
      </c>
      <c r="C107" s="211" t="s">
        <v>348</v>
      </c>
      <c r="D107" s="268">
        <v>219</v>
      </c>
      <c r="E107" s="268">
        <v>216</v>
      </c>
      <c r="F107" s="268">
        <v>213</v>
      </c>
      <c r="G107" s="268">
        <v>210</v>
      </c>
      <c r="H107" s="268">
        <v>206</v>
      </c>
      <c r="I107" s="268">
        <v>203</v>
      </c>
      <c r="J107" s="268">
        <v>200</v>
      </c>
      <c r="K107" s="268">
        <v>197</v>
      </c>
      <c r="M107" s="117" t="s">
        <v>420</v>
      </c>
    </row>
    <row r="108" spans="2:13" x14ac:dyDescent="0.3">
      <c r="B108" s="211" t="s">
        <v>452</v>
      </c>
      <c r="C108" s="211" t="s">
        <v>430</v>
      </c>
      <c r="D108" s="268">
        <v>219</v>
      </c>
      <c r="E108" s="268">
        <v>216</v>
      </c>
      <c r="F108" s="268">
        <v>213</v>
      </c>
      <c r="G108" s="268">
        <v>210</v>
      </c>
      <c r="H108" s="268">
        <v>206</v>
      </c>
      <c r="I108" s="268">
        <v>203</v>
      </c>
      <c r="J108" s="268">
        <v>200</v>
      </c>
      <c r="K108" s="268">
        <v>197</v>
      </c>
      <c r="M108" s="117" t="s">
        <v>420</v>
      </c>
    </row>
    <row r="109" spans="2:13" x14ac:dyDescent="0.3">
      <c r="B109" s="211" t="s">
        <v>452</v>
      </c>
      <c r="C109" s="211" t="s">
        <v>349</v>
      </c>
      <c r="D109" s="268">
        <v>169</v>
      </c>
      <c r="E109" s="268">
        <v>169</v>
      </c>
      <c r="F109" s="268">
        <v>169</v>
      </c>
      <c r="G109" s="268">
        <v>169</v>
      </c>
      <c r="H109" s="268">
        <v>169</v>
      </c>
      <c r="I109" s="268">
        <v>169</v>
      </c>
      <c r="J109" s="268">
        <v>169</v>
      </c>
      <c r="K109" s="268">
        <v>169</v>
      </c>
      <c r="M109" s="117" t="s">
        <v>420</v>
      </c>
    </row>
    <row r="110" spans="2:13" x14ac:dyDescent="0.3">
      <c r="B110" s="211" t="s">
        <v>452</v>
      </c>
      <c r="C110" s="211" t="s">
        <v>431</v>
      </c>
      <c r="D110" s="268">
        <v>169</v>
      </c>
      <c r="E110" s="268">
        <v>169</v>
      </c>
      <c r="F110" s="268">
        <v>169</v>
      </c>
      <c r="G110" s="268">
        <v>169</v>
      </c>
      <c r="H110" s="268">
        <v>169</v>
      </c>
      <c r="I110" s="268">
        <v>169</v>
      </c>
      <c r="J110" s="268">
        <v>169</v>
      </c>
      <c r="K110" s="268">
        <v>169</v>
      </c>
      <c r="M110" s="117" t="s">
        <v>420</v>
      </c>
    </row>
    <row r="111" spans="2:13" x14ac:dyDescent="0.3">
      <c r="B111" s="211" t="s">
        <v>452</v>
      </c>
      <c r="C111" s="211" t="s">
        <v>350</v>
      </c>
      <c r="D111" s="268">
        <v>169</v>
      </c>
      <c r="E111" s="268">
        <v>169</v>
      </c>
      <c r="F111" s="268">
        <v>169</v>
      </c>
      <c r="G111" s="268">
        <v>169</v>
      </c>
      <c r="H111" s="268">
        <v>169</v>
      </c>
      <c r="I111" s="268">
        <v>169</v>
      </c>
      <c r="J111" s="268">
        <v>169</v>
      </c>
      <c r="K111" s="268">
        <v>169</v>
      </c>
      <c r="M111" s="117" t="s">
        <v>420</v>
      </c>
    </row>
    <row r="112" spans="2:13" x14ac:dyDescent="0.3">
      <c r="B112" s="211" t="s">
        <v>452</v>
      </c>
      <c r="C112" s="211" t="s">
        <v>432</v>
      </c>
      <c r="D112" s="268">
        <v>169</v>
      </c>
      <c r="E112" s="268">
        <v>169</v>
      </c>
      <c r="F112" s="268">
        <v>169</v>
      </c>
      <c r="G112" s="268">
        <v>169</v>
      </c>
      <c r="H112" s="268">
        <v>169</v>
      </c>
      <c r="I112" s="268">
        <v>169</v>
      </c>
      <c r="J112" s="268">
        <v>169</v>
      </c>
      <c r="K112" s="268">
        <v>169</v>
      </c>
      <c r="M112" s="117" t="s">
        <v>420</v>
      </c>
    </row>
    <row r="113" spans="2:13" x14ac:dyDescent="0.3">
      <c r="B113" s="211" t="s">
        <v>452</v>
      </c>
      <c r="C113" s="211" t="s">
        <v>351</v>
      </c>
      <c r="D113" s="268">
        <v>141</v>
      </c>
      <c r="E113" s="268">
        <v>141</v>
      </c>
      <c r="F113" s="268">
        <v>141</v>
      </c>
      <c r="G113" s="268">
        <v>141</v>
      </c>
      <c r="H113" s="268">
        <v>141</v>
      </c>
      <c r="I113" s="268">
        <v>141</v>
      </c>
      <c r="J113" s="268">
        <v>141</v>
      </c>
      <c r="K113" s="268">
        <v>141</v>
      </c>
      <c r="M113" s="117" t="s">
        <v>420</v>
      </c>
    </row>
    <row r="114" spans="2:13" x14ac:dyDescent="0.3">
      <c r="B114" s="211" t="s">
        <v>452</v>
      </c>
      <c r="C114" s="211" t="s">
        <v>433</v>
      </c>
      <c r="D114" s="268">
        <v>141</v>
      </c>
      <c r="E114" s="268">
        <v>141</v>
      </c>
      <c r="F114" s="268">
        <v>141</v>
      </c>
      <c r="G114" s="268">
        <v>141</v>
      </c>
      <c r="H114" s="268">
        <v>141</v>
      </c>
      <c r="I114" s="268">
        <v>141</v>
      </c>
      <c r="J114" s="268">
        <v>141</v>
      </c>
      <c r="K114" s="268">
        <v>141</v>
      </c>
      <c r="M114" s="117" t="s">
        <v>420</v>
      </c>
    </row>
    <row r="115" spans="2:13" x14ac:dyDescent="0.3">
      <c r="B115" s="211" t="s">
        <v>452</v>
      </c>
      <c r="C115" s="211" t="s">
        <v>353</v>
      </c>
      <c r="D115" s="268">
        <v>219</v>
      </c>
      <c r="E115" s="268">
        <v>216</v>
      </c>
      <c r="F115" s="268">
        <v>213</v>
      </c>
      <c r="G115" s="268">
        <v>210</v>
      </c>
      <c r="H115" s="268">
        <v>206</v>
      </c>
      <c r="I115" s="268">
        <v>203</v>
      </c>
      <c r="J115" s="268">
        <v>200</v>
      </c>
      <c r="K115" s="268">
        <v>197</v>
      </c>
      <c r="M115" s="117" t="s">
        <v>420</v>
      </c>
    </row>
    <row r="116" spans="2:13" x14ac:dyDescent="0.3">
      <c r="B116" s="211" t="s">
        <v>452</v>
      </c>
      <c r="C116" s="211" t="s">
        <v>436</v>
      </c>
      <c r="D116" s="268">
        <v>219</v>
      </c>
      <c r="E116" s="268">
        <v>216</v>
      </c>
      <c r="F116" s="268">
        <v>213</v>
      </c>
      <c r="G116" s="268">
        <v>210</v>
      </c>
      <c r="H116" s="268">
        <v>206</v>
      </c>
      <c r="I116" s="268">
        <v>203</v>
      </c>
      <c r="J116" s="268">
        <v>200</v>
      </c>
      <c r="K116" s="268">
        <v>197</v>
      </c>
      <c r="M116" s="117" t="s">
        <v>420</v>
      </c>
    </row>
    <row r="117" spans="2:13" x14ac:dyDescent="0.3">
      <c r="B117" s="211" t="s">
        <v>452</v>
      </c>
      <c r="C117" s="211" t="s">
        <v>352</v>
      </c>
      <c r="D117" s="268">
        <v>169</v>
      </c>
      <c r="E117" s="268">
        <v>169</v>
      </c>
      <c r="F117" s="268">
        <v>169</v>
      </c>
      <c r="G117" s="268">
        <v>169</v>
      </c>
      <c r="H117" s="268">
        <v>169</v>
      </c>
      <c r="I117" s="268">
        <v>169</v>
      </c>
      <c r="J117" s="268">
        <v>169</v>
      </c>
      <c r="K117" s="268">
        <v>169</v>
      </c>
      <c r="M117" s="117" t="s">
        <v>420</v>
      </c>
    </row>
    <row r="118" spans="2:13" x14ac:dyDescent="0.3">
      <c r="B118" s="211" t="s">
        <v>452</v>
      </c>
      <c r="C118" s="211" t="s">
        <v>434</v>
      </c>
      <c r="D118" s="268">
        <v>169</v>
      </c>
      <c r="E118" s="268">
        <v>169</v>
      </c>
      <c r="F118" s="268">
        <v>169</v>
      </c>
      <c r="G118" s="268">
        <v>169</v>
      </c>
      <c r="H118" s="268">
        <v>169</v>
      </c>
      <c r="I118" s="268">
        <v>169</v>
      </c>
      <c r="J118" s="268">
        <v>169</v>
      </c>
      <c r="K118" s="268">
        <v>169</v>
      </c>
      <c r="M118" s="117" t="s">
        <v>420</v>
      </c>
    </row>
    <row r="119" spans="2:13" x14ac:dyDescent="0.3">
      <c r="B119" s="211" t="s">
        <v>452</v>
      </c>
      <c r="C119" s="211" t="s">
        <v>408</v>
      </c>
      <c r="D119" s="268">
        <v>169</v>
      </c>
      <c r="E119" s="268">
        <v>169</v>
      </c>
      <c r="F119" s="268">
        <v>169</v>
      </c>
      <c r="G119" s="268">
        <v>169</v>
      </c>
      <c r="H119" s="268">
        <v>169</v>
      </c>
      <c r="I119" s="268">
        <v>169</v>
      </c>
      <c r="J119" s="268">
        <v>169</v>
      </c>
      <c r="K119" s="268">
        <v>169</v>
      </c>
      <c r="M119" s="117" t="s">
        <v>420</v>
      </c>
    </row>
    <row r="120" spans="2:13" x14ac:dyDescent="0.3">
      <c r="B120" s="211" t="s">
        <v>452</v>
      </c>
      <c r="C120" s="211" t="s">
        <v>435</v>
      </c>
      <c r="D120" s="268">
        <v>169</v>
      </c>
      <c r="E120" s="268">
        <v>169</v>
      </c>
      <c r="F120" s="268">
        <v>169</v>
      </c>
      <c r="G120" s="268">
        <v>169</v>
      </c>
      <c r="H120" s="268">
        <v>169</v>
      </c>
      <c r="I120" s="268">
        <v>169</v>
      </c>
      <c r="J120" s="268">
        <v>169</v>
      </c>
      <c r="K120" s="268">
        <v>169</v>
      </c>
      <c r="M120" s="117" t="s">
        <v>420</v>
      </c>
    </row>
    <row r="121" spans="2:13" x14ac:dyDescent="0.3">
      <c r="B121" s="211" t="s">
        <v>452</v>
      </c>
      <c r="C121" s="211" t="s">
        <v>410</v>
      </c>
      <c r="D121" s="268">
        <v>169</v>
      </c>
      <c r="E121" s="268">
        <v>169</v>
      </c>
      <c r="F121" s="268">
        <v>169</v>
      </c>
      <c r="G121" s="268">
        <v>169</v>
      </c>
      <c r="H121" s="268">
        <v>169</v>
      </c>
      <c r="I121" s="268">
        <v>169</v>
      </c>
      <c r="J121" s="268">
        <v>169</v>
      </c>
      <c r="K121" s="268">
        <v>169</v>
      </c>
      <c r="M121" s="117" t="s">
        <v>420</v>
      </c>
    </row>
    <row r="122" spans="2:13" x14ac:dyDescent="0.3">
      <c r="B122" s="211" t="s">
        <v>452</v>
      </c>
      <c r="C122" s="211" t="s">
        <v>437</v>
      </c>
      <c r="D122" s="268">
        <v>169</v>
      </c>
      <c r="E122" s="268">
        <v>169</v>
      </c>
      <c r="F122" s="268">
        <v>169</v>
      </c>
      <c r="G122" s="268">
        <v>169</v>
      </c>
      <c r="H122" s="268">
        <v>169</v>
      </c>
      <c r="I122" s="268">
        <v>169</v>
      </c>
      <c r="J122" s="268">
        <v>169</v>
      </c>
      <c r="K122" s="268">
        <v>169</v>
      </c>
      <c r="M122" s="117" t="s">
        <v>420</v>
      </c>
    </row>
    <row r="123" spans="2:13" x14ac:dyDescent="0.3">
      <c r="B123" s="211" t="s">
        <v>452</v>
      </c>
      <c r="C123" s="211" t="s">
        <v>354</v>
      </c>
      <c r="D123" s="268">
        <v>0</v>
      </c>
      <c r="E123" s="268">
        <v>0</v>
      </c>
      <c r="F123" s="268">
        <v>0</v>
      </c>
      <c r="G123" s="268">
        <v>0</v>
      </c>
      <c r="H123" s="268">
        <v>0</v>
      </c>
      <c r="I123" s="268">
        <v>0</v>
      </c>
      <c r="J123" s="268">
        <v>0</v>
      </c>
      <c r="K123" s="268">
        <v>0</v>
      </c>
      <c r="M123" s="117" t="s">
        <v>420</v>
      </c>
    </row>
    <row r="124" spans="2:13" x14ac:dyDescent="0.3">
      <c r="B124" s="211" t="s">
        <v>452</v>
      </c>
      <c r="C124" s="211" t="s">
        <v>438</v>
      </c>
      <c r="D124" s="268">
        <v>0</v>
      </c>
      <c r="E124" s="268">
        <v>0</v>
      </c>
      <c r="F124" s="268">
        <v>0</v>
      </c>
      <c r="G124" s="268">
        <v>0</v>
      </c>
      <c r="H124" s="268">
        <v>0</v>
      </c>
      <c r="I124" s="268">
        <v>0</v>
      </c>
      <c r="J124" s="268">
        <v>0</v>
      </c>
      <c r="K124" s="268">
        <v>0</v>
      </c>
      <c r="M124" s="117" t="s">
        <v>420</v>
      </c>
    </row>
    <row r="125" spans="2:13" x14ac:dyDescent="0.3">
      <c r="B125" s="211" t="s">
        <v>452</v>
      </c>
      <c r="C125" s="211" t="s">
        <v>594</v>
      </c>
      <c r="D125" s="268">
        <v>169</v>
      </c>
      <c r="E125" s="268">
        <v>169</v>
      </c>
      <c r="F125" s="268">
        <v>169</v>
      </c>
      <c r="G125" s="268">
        <v>169</v>
      </c>
      <c r="H125" s="268">
        <v>169</v>
      </c>
      <c r="I125" s="268">
        <v>169</v>
      </c>
      <c r="J125" s="268">
        <v>169</v>
      </c>
      <c r="K125" s="268">
        <v>169</v>
      </c>
      <c r="M125" s="117" t="s">
        <v>420</v>
      </c>
    </row>
    <row r="126" spans="2:13" x14ac:dyDescent="0.3">
      <c r="B126" s="211" t="s">
        <v>452</v>
      </c>
      <c r="C126" s="211" t="s">
        <v>589</v>
      </c>
      <c r="D126" s="268">
        <v>169</v>
      </c>
      <c r="E126" s="268">
        <v>169</v>
      </c>
      <c r="F126" s="268">
        <v>169</v>
      </c>
      <c r="G126" s="268">
        <v>169</v>
      </c>
      <c r="H126" s="268">
        <v>169</v>
      </c>
      <c r="I126" s="268">
        <v>169</v>
      </c>
      <c r="J126" s="268">
        <v>169</v>
      </c>
      <c r="K126" s="268">
        <v>169</v>
      </c>
      <c r="M126" s="117" t="s">
        <v>420</v>
      </c>
    </row>
    <row r="127" spans="2:13" x14ac:dyDescent="0.3">
      <c r="B127" s="211" t="s">
        <v>452</v>
      </c>
      <c r="C127" s="211" t="s">
        <v>407</v>
      </c>
      <c r="D127" s="268">
        <v>202.79999999999998</v>
      </c>
      <c r="E127" s="268">
        <v>202.79999999999998</v>
      </c>
      <c r="F127" s="268">
        <v>202.79999999999998</v>
      </c>
      <c r="G127" s="268">
        <v>202.79999999999998</v>
      </c>
      <c r="H127" s="268">
        <v>202.79999999999998</v>
      </c>
      <c r="I127" s="268">
        <v>202.79999999999998</v>
      </c>
      <c r="J127" s="268">
        <v>202.79999999999998</v>
      </c>
      <c r="K127" s="268">
        <v>202.79999999999998</v>
      </c>
      <c r="M127" s="117" t="s">
        <v>420</v>
      </c>
    </row>
    <row r="128" spans="2:13" x14ac:dyDescent="0.3">
      <c r="B128" s="211" t="s">
        <v>452</v>
      </c>
      <c r="C128" s="211" t="s">
        <v>439</v>
      </c>
      <c r="D128" s="268">
        <v>202.79999999999998</v>
      </c>
      <c r="E128" s="268">
        <v>202.79999999999998</v>
      </c>
      <c r="F128" s="268">
        <v>202.79999999999998</v>
      </c>
      <c r="G128" s="268">
        <v>202.79999999999998</v>
      </c>
      <c r="H128" s="268">
        <v>202.79999999999998</v>
      </c>
      <c r="I128" s="268">
        <v>202.79999999999998</v>
      </c>
      <c r="J128" s="268">
        <v>202.79999999999998</v>
      </c>
      <c r="K128" s="268">
        <v>202.79999999999998</v>
      </c>
      <c r="M128" s="117" t="s">
        <v>420</v>
      </c>
    </row>
    <row r="129" spans="2:13" x14ac:dyDescent="0.3">
      <c r="B129" s="211" t="s">
        <v>452</v>
      </c>
      <c r="C129" s="211" t="s">
        <v>409</v>
      </c>
      <c r="D129" s="268">
        <v>202.79999999999998</v>
      </c>
      <c r="E129" s="268">
        <v>202.79999999999998</v>
      </c>
      <c r="F129" s="268">
        <v>202.79999999999998</v>
      </c>
      <c r="G129" s="268">
        <v>202.79999999999998</v>
      </c>
      <c r="H129" s="268">
        <v>202.79999999999998</v>
      </c>
      <c r="I129" s="268">
        <v>202.79999999999998</v>
      </c>
      <c r="J129" s="268">
        <v>202.79999999999998</v>
      </c>
      <c r="K129" s="268">
        <v>202.79999999999998</v>
      </c>
      <c r="M129" s="117" t="s">
        <v>420</v>
      </c>
    </row>
    <row r="130" spans="2:13" x14ac:dyDescent="0.3">
      <c r="B130" s="215" t="s">
        <v>452</v>
      </c>
      <c r="C130" s="215" t="s">
        <v>440</v>
      </c>
      <c r="D130" s="159">
        <v>202.79999999999998</v>
      </c>
      <c r="E130" s="159">
        <v>202.79999999999998</v>
      </c>
      <c r="F130" s="159">
        <v>202.79999999999998</v>
      </c>
      <c r="G130" s="159">
        <v>202.79999999999998</v>
      </c>
      <c r="H130" s="159">
        <v>202.79999999999998</v>
      </c>
      <c r="I130" s="159">
        <v>202.79999999999998</v>
      </c>
      <c r="J130" s="159">
        <v>202.79999999999998</v>
      </c>
      <c r="K130" s="159">
        <v>202.79999999999998</v>
      </c>
      <c r="M130" s="145" t="s">
        <v>420</v>
      </c>
    </row>
    <row r="131" spans="2:13" x14ac:dyDescent="0.3">
      <c r="B131" s="211" t="s">
        <v>452</v>
      </c>
      <c r="C131" s="211" t="s">
        <v>155</v>
      </c>
      <c r="D131" s="268">
        <v>141</v>
      </c>
      <c r="E131" s="268">
        <v>141</v>
      </c>
      <c r="F131" s="268">
        <v>141</v>
      </c>
      <c r="G131" s="268">
        <v>141</v>
      </c>
      <c r="H131" s="268">
        <v>141</v>
      </c>
      <c r="I131" s="268">
        <v>141</v>
      </c>
      <c r="J131" s="268">
        <v>141</v>
      </c>
      <c r="K131" s="268">
        <v>141</v>
      </c>
      <c r="M131" s="117" t="s">
        <v>295</v>
      </c>
    </row>
    <row r="132" spans="2:13" x14ac:dyDescent="0.3">
      <c r="B132" s="211" t="s">
        <v>452</v>
      </c>
      <c r="C132" s="211" t="s">
        <v>253</v>
      </c>
      <c r="D132" s="268">
        <v>141</v>
      </c>
      <c r="E132" s="268">
        <v>141</v>
      </c>
      <c r="F132" s="268">
        <v>141</v>
      </c>
      <c r="G132" s="268">
        <v>141</v>
      </c>
      <c r="H132" s="268">
        <v>141</v>
      </c>
      <c r="I132" s="268">
        <v>141</v>
      </c>
      <c r="J132" s="268">
        <v>141</v>
      </c>
      <c r="K132" s="268">
        <v>141</v>
      </c>
      <c r="M132" s="117" t="s">
        <v>295</v>
      </c>
    </row>
    <row r="133" spans="2:13" x14ac:dyDescent="0.3">
      <c r="B133" s="211" t="s">
        <v>452</v>
      </c>
      <c r="C133" s="211" t="s">
        <v>157</v>
      </c>
      <c r="D133" s="268">
        <v>169</v>
      </c>
      <c r="E133" s="268">
        <v>169</v>
      </c>
      <c r="F133" s="268">
        <v>169</v>
      </c>
      <c r="G133" s="268">
        <v>169</v>
      </c>
      <c r="H133" s="268">
        <v>169</v>
      </c>
      <c r="I133" s="268">
        <v>169</v>
      </c>
      <c r="J133" s="268">
        <v>169</v>
      </c>
      <c r="K133" s="268">
        <v>169</v>
      </c>
      <c r="M133" s="117" t="s">
        <v>638</v>
      </c>
    </row>
    <row r="134" spans="2:13" x14ac:dyDescent="0.3">
      <c r="B134" s="211" t="s">
        <v>452</v>
      </c>
      <c r="C134" s="211" t="s">
        <v>255</v>
      </c>
      <c r="D134" s="268">
        <v>169</v>
      </c>
      <c r="E134" s="268">
        <v>169</v>
      </c>
      <c r="F134" s="268">
        <v>169</v>
      </c>
      <c r="G134" s="268">
        <v>169</v>
      </c>
      <c r="H134" s="268">
        <v>169</v>
      </c>
      <c r="I134" s="268">
        <v>169</v>
      </c>
      <c r="J134" s="268">
        <v>169</v>
      </c>
      <c r="K134" s="268">
        <v>169</v>
      </c>
      <c r="M134" s="117" t="s">
        <v>638</v>
      </c>
    </row>
    <row r="135" spans="2:13" x14ac:dyDescent="0.3">
      <c r="B135" s="211" t="s">
        <v>452</v>
      </c>
      <c r="C135" s="211" t="s">
        <v>159</v>
      </c>
      <c r="D135" s="268">
        <v>141</v>
      </c>
      <c r="E135" s="268">
        <v>141</v>
      </c>
      <c r="F135" s="268">
        <v>141</v>
      </c>
      <c r="G135" s="268">
        <v>141</v>
      </c>
      <c r="H135" s="268">
        <v>141</v>
      </c>
      <c r="I135" s="268">
        <v>141</v>
      </c>
      <c r="J135" s="268">
        <v>141</v>
      </c>
      <c r="K135" s="268">
        <v>141</v>
      </c>
      <c r="M135" s="117" t="s">
        <v>295</v>
      </c>
    </row>
    <row r="136" spans="2:13" x14ac:dyDescent="0.3">
      <c r="B136" s="211" t="s">
        <v>452</v>
      </c>
      <c r="C136" s="211" t="s">
        <v>257</v>
      </c>
      <c r="D136" s="268">
        <v>141</v>
      </c>
      <c r="E136" s="268">
        <v>141</v>
      </c>
      <c r="F136" s="268">
        <v>141</v>
      </c>
      <c r="G136" s="268">
        <v>141</v>
      </c>
      <c r="H136" s="268">
        <v>141</v>
      </c>
      <c r="I136" s="268">
        <v>141</v>
      </c>
      <c r="J136" s="268">
        <v>141</v>
      </c>
      <c r="K136" s="268">
        <v>141</v>
      </c>
      <c r="M136" s="117" t="s">
        <v>295</v>
      </c>
    </row>
    <row r="137" spans="2:13" x14ac:dyDescent="0.3">
      <c r="B137" s="211" t="s">
        <v>452</v>
      </c>
      <c r="C137" s="211" t="s">
        <v>161</v>
      </c>
      <c r="D137" s="268">
        <v>219</v>
      </c>
      <c r="E137" s="268">
        <v>216</v>
      </c>
      <c r="F137" s="268">
        <v>213</v>
      </c>
      <c r="G137" s="268">
        <v>210</v>
      </c>
      <c r="H137" s="268">
        <v>206</v>
      </c>
      <c r="I137" s="268">
        <v>203</v>
      </c>
      <c r="J137" s="268">
        <v>200</v>
      </c>
      <c r="K137" s="268">
        <v>197</v>
      </c>
      <c r="M137" s="117" t="s">
        <v>418</v>
      </c>
    </row>
    <row r="138" spans="2:13" x14ac:dyDescent="0.3">
      <c r="B138" s="211" t="s">
        <v>452</v>
      </c>
      <c r="C138" s="211" t="s">
        <v>259</v>
      </c>
      <c r="D138" s="268">
        <v>219</v>
      </c>
      <c r="E138" s="268">
        <v>216</v>
      </c>
      <c r="F138" s="268">
        <v>213</v>
      </c>
      <c r="G138" s="268">
        <v>210</v>
      </c>
      <c r="H138" s="268">
        <v>206</v>
      </c>
      <c r="I138" s="268">
        <v>203</v>
      </c>
      <c r="J138" s="268">
        <v>200</v>
      </c>
      <c r="K138" s="268">
        <v>197</v>
      </c>
      <c r="M138" s="117" t="s">
        <v>418</v>
      </c>
    </row>
    <row r="139" spans="2:13" x14ac:dyDescent="0.3">
      <c r="B139" s="211" t="s">
        <v>452</v>
      </c>
      <c r="C139" s="211" t="s">
        <v>162</v>
      </c>
      <c r="D139" s="268">
        <v>169</v>
      </c>
      <c r="E139" s="268">
        <v>169</v>
      </c>
      <c r="F139" s="268">
        <v>169</v>
      </c>
      <c r="G139" s="268">
        <v>169</v>
      </c>
      <c r="H139" s="268">
        <v>169</v>
      </c>
      <c r="I139" s="268">
        <v>169</v>
      </c>
      <c r="J139" s="268">
        <v>169</v>
      </c>
      <c r="K139" s="268">
        <v>169</v>
      </c>
      <c r="M139" s="117" t="s">
        <v>295</v>
      </c>
    </row>
    <row r="140" spans="2:13" x14ac:dyDescent="0.3">
      <c r="B140" s="211" t="s">
        <v>452</v>
      </c>
      <c r="C140" s="211" t="s">
        <v>260</v>
      </c>
      <c r="D140" s="268">
        <v>169</v>
      </c>
      <c r="E140" s="268">
        <v>169</v>
      </c>
      <c r="F140" s="268">
        <v>169</v>
      </c>
      <c r="G140" s="268">
        <v>169</v>
      </c>
      <c r="H140" s="268">
        <v>169</v>
      </c>
      <c r="I140" s="268">
        <v>169</v>
      </c>
      <c r="J140" s="268">
        <v>169</v>
      </c>
      <c r="K140" s="268">
        <v>169</v>
      </c>
      <c r="M140" s="117" t="s">
        <v>295</v>
      </c>
    </row>
    <row r="141" spans="2:13" x14ac:dyDescent="0.3">
      <c r="B141" s="211" t="s">
        <v>452</v>
      </c>
      <c r="C141" s="211" t="s">
        <v>164</v>
      </c>
      <c r="D141" s="268">
        <v>169</v>
      </c>
      <c r="E141" s="268">
        <v>169</v>
      </c>
      <c r="F141" s="268">
        <v>169</v>
      </c>
      <c r="G141" s="268">
        <v>169</v>
      </c>
      <c r="H141" s="268">
        <v>169</v>
      </c>
      <c r="I141" s="268">
        <v>169</v>
      </c>
      <c r="J141" s="268">
        <v>169</v>
      </c>
      <c r="K141" s="268">
        <v>169</v>
      </c>
      <c r="M141" s="117" t="s">
        <v>295</v>
      </c>
    </row>
    <row r="142" spans="2:13" x14ac:dyDescent="0.3">
      <c r="B142" s="211" t="s">
        <v>452</v>
      </c>
      <c r="C142" s="211" t="s">
        <v>262</v>
      </c>
      <c r="D142" s="268">
        <v>169</v>
      </c>
      <c r="E142" s="268">
        <v>169</v>
      </c>
      <c r="F142" s="268">
        <v>169</v>
      </c>
      <c r="G142" s="268">
        <v>169</v>
      </c>
      <c r="H142" s="268">
        <v>169</v>
      </c>
      <c r="I142" s="268">
        <v>169</v>
      </c>
      <c r="J142" s="268">
        <v>169</v>
      </c>
      <c r="K142" s="268">
        <v>169</v>
      </c>
      <c r="M142" s="117" t="s">
        <v>295</v>
      </c>
    </row>
    <row r="143" spans="2:13" x14ac:dyDescent="0.3">
      <c r="B143" s="211" t="s">
        <v>452</v>
      </c>
      <c r="C143" s="211" t="s">
        <v>166</v>
      </c>
      <c r="D143" s="268">
        <v>141</v>
      </c>
      <c r="E143" s="268">
        <v>141</v>
      </c>
      <c r="F143" s="268">
        <v>141</v>
      </c>
      <c r="G143" s="268">
        <v>141</v>
      </c>
      <c r="H143" s="268">
        <v>141</v>
      </c>
      <c r="I143" s="268">
        <v>141</v>
      </c>
      <c r="J143" s="268">
        <v>141</v>
      </c>
      <c r="K143" s="268">
        <v>141</v>
      </c>
      <c r="M143" s="117" t="s">
        <v>295</v>
      </c>
    </row>
    <row r="144" spans="2:13" x14ac:dyDescent="0.3">
      <c r="B144" s="211" t="s">
        <v>452</v>
      </c>
      <c r="C144" s="211" t="s">
        <v>264</v>
      </c>
      <c r="D144" s="268">
        <v>141</v>
      </c>
      <c r="E144" s="268">
        <v>141</v>
      </c>
      <c r="F144" s="268">
        <v>141</v>
      </c>
      <c r="G144" s="268">
        <v>141</v>
      </c>
      <c r="H144" s="268">
        <v>141</v>
      </c>
      <c r="I144" s="268">
        <v>141</v>
      </c>
      <c r="J144" s="268">
        <v>141</v>
      </c>
      <c r="K144" s="268">
        <v>141</v>
      </c>
      <c r="M144" s="117" t="s">
        <v>295</v>
      </c>
    </row>
    <row r="145" spans="2:13" x14ac:dyDescent="0.3">
      <c r="B145" s="211" t="s">
        <v>452</v>
      </c>
      <c r="C145" s="211" t="s">
        <v>168</v>
      </c>
      <c r="D145" s="268">
        <v>219</v>
      </c>
      <c r="E145" s="268">
        <v>216</v>
      </c>
      <c r="F145" s="268">
        <v>213</v>
      </c>
      <c r="G145" s="268">
        <v>210</v>
      </c>
      <c r="H145" s="268">
        <v>206</v>
      </c>
      <c r="I145" s="268">
        <v>203</v>
      </c>
      <c r="J145" s="268">
        <v>200</v>
      </c>
      <c r="K145" s="268">
        <v>197</v>
      </c>
      <c r="M145" s="117" t="s">
        <v>672</v>
      </c>
    </row>
    <row r="146" spans="2:13" x14ac:dyDescent="0.3">
      <c r="B146" s="211" t="s">
        <v>452</v>
      </c>
      <c r="C146" s="211" t="s">
        <v>266</v>
      </c>
      <c r="D146" s="268">
        <v>219</v>
      </c>
      <c r="E146" s="268">
        <v>216</v>
      </c>
      <c r="F146" s="268">
        <v>213</v>
      </c>
      <c r="G146" s="268">
        <v>210</v>
      </c>
      <c r="H146" s="268">
        <v>206</v>
      </c>
      <c r="I146" s="268">
        <v>203</v>
      </c>
      <c r="J146" s="268">
        <v>200</v>
      </c>
      <c r="K146" s="268">
        <v>197</v>
      </c>
      <c r="M146" s="117" t="s">
        <v>672</v>
      </c>
    </row>
    <row r="147" spans="2:13" x14ac:dyDescent="0.3">
      <c r="B147" s="211" t="s">
        <v>452</v>
      </c>
      <c r="C147" s="211" t="s">
        <v>344</v>
      </c>
      <c r="D147" s="268">
        <v>169</v>
      </c>
      <c r="E147" s="268">
        <v>169</v>
      </c>
      <c r="F147" s="268">
        <v>169</v>
      </c>
      <c r="G147" s="268">
        <v>169</v>
      </c>
      <c r="H147" s="268">
        <v>169</v>
      </c>
      <c r="I147" s="268">
        <v>169</v>
      </c>
      <c r="J147" s="268">
        <v>169</v>
      </c>
      <c r="K147" s="268">
        <v>169</v>
      </c>
      <c r="M147" s="117" t="s">
        <v>295</v>
      </c>
    </row>
    <row r="148" spans="2:13" x14ac:dyDescent="0.3">
      <c r="B148" s="211" t="s">
        <v>452</v>
      </c>
      <c r="C148" s="211" t="s">
        <v>421</v>
      </c>
      <c r="D148" s="268">
        <v>169</v>
      </c>
      <c r="E148" s="268">
        <v>169</v>
      </c>
      <c r="F148" s="268">
        <v>169</v>
      </c>
      <c r="G148" s="268">
        <v>169</v>
      </c>
      <c r="H148" s="268">
        <v>169</v>
      </c>
      <c r="I148" s="268">
        <v>169</v>
      </c>
      <c r="J148" s="268">
        <v>169</v>
      </c>
      <c r="K148" s="268">
        <v>169</v>
      </c>
      <c r="M148" s="117" t="s">
        <v>295</v>
      </c>
    </row>
    <row r="149" spans="2:13" x14ac:dyDescent="0.3">
      <c r="B149" s="211" t="s">
        <v>452</v>
      </c>
      <c r="C149" s="211" t="s">
        <v>411</v>
      </c>
      <c r="D149" s="268">
        <v>169</v>
      </c>
      <c r="E149" s="268">
        <v>169</v>
      </c>
      <c r="F149" s="268">
        <v>169</v>
      </c>
      <c r="G149" s="268">
        <v>169</v>
      </c>
      <c r="H149" s="268">
        <v>169</v>
      </c>
      <c r="I149" s="268">
        <v>169</v>
      </c>
      <c r="J149" s="268">
        <v>169</v>
      </c>
      <c r="K149" s="268">
        <v>169</v>
      </c>
      <c r="M149" s="117" t="s">
        <v>295</v>
      </c>
    </row>
    <row r="150" spans="2:13" x14ac:dyDescent="0.3">
      <c r="B150" s="211" t="s">
        <v>452</v>
      </c>
      <c r="C150" s="211" t="s">
        <v>422</v>
      </c>
      <c r="D150" s="268">
        <v>169</v>
      </c>
      <c r="E150" s="268">
        <v>169</v>
      </c>
      <c r="F150" s="268">
        <v>169</v>
      </c>
      <c r="G150" s="268">
        <v>169</v>
      </c>
      <c r="H150" s="268">
        <v>169</v>
      </c>
      <c r="I150" s="268">
        <v>169</v>
      </c>
      <c r="J150" s="268">
        <v>169</v>
      </c>
      <c r="K150" s="268">
        <v>169</v>
      </c>
      <c r="M150" s="117" t="s">
        <v>295</v>
      </c>
    </row>
    <row r="151" spans="2:13" x14ac:dyDescent="0.3">
      <c r="B151" s="211" t="s">
        <v>452</v>
      </c>
      <c r="C151" s="211" t="s">
        <v>412</v>
      </c>
      <c r="D151" s="268">
        <v>169</v>
      </c>
      <c r="E151" s="268">
        <v>169</v>
      </c>
      <c r="F151" s="268">
        <v>169</v>
      </c>
      <c r="G151" s="268">
        <v>169</v>
      </c>
      <c r="H151" s="268">
        <v>169</v>
      </c>
      <c r="I151" s="268">
        <v>169</v>
      </c>
      <c r="J151" s="268">
        <v>169</v>
      </c>
      <c r="K151" s="268">
        <v>169</v>
      </c>
      <c r="M151" s="117" t="s">
        <v>419</v>
      </c>
    </row>
    <row r="152" spans="2:13" x14ac:dyDescent="0.3">
      <c r="B152" s="211" t="s">
        <v>452</v>
      </c>
      <c r="C152" s="211" t="s">
        <v>423</v>
      </c>
      <c r="D152" s="268">
        <v>169</v>
      </c>
      <c r="E152" s="268">
        <v>169</v>
      </c>
      <c r="F152" s="268">
        <v>169</v>
      </c>
      <c r="G152" s="268">
        <v>169</v>
      </c>
      <c r="H152" s="268">
        <v>169</v>
      </c>
      <c r="I152" s="268">
        <v>169</v>
      </c>
      <c r="J152" s="268">
        <v>169</v>
      </c>
      <c r="K152" s="268">
        <v>169</v>
      </c>
      <c r="M152" s="117" t="s">
        <v>419</v>
      </c>
    </row>
    <row r="153" spans="2:13" x14ac:dyDescent="0.3">
      <c r="B153" s="211" t="s">
        <v>452</v>
      </c>
      <c r="C153" s="211" t="s">
        <v>170</v>
      </c>
      <c r="D153" s="268">
        <v>0</v>
      </c>
      <c r="E153" s="268">
        <v>0</v>
      </c>
      <c r="F153" s="268">
        <v>0</v>
      </c>
      <c r="G153" s="268">
        <v>0</v>
      </c>
      <c r="H153" s="268">
        <v>0</v>
      </c>
      <c r="I153" s="268">
        <v>0</v>
      </c>
      <c r="J153" s="268">
        <v>0</v>
      </c>
      <c r="K153" s="268">
        <v>0</v>
      </c>
      <c r="M153" s="117" t="s">
        <v>580</v>
      </c>
    </row>
    <row r="154" spans="2:13" x14ac:dyDescent="0.3">
      <c r="B154" s="211" t="s">
        <v>452</v>
      </c>
      <c r="C154" s="211" t="s">
        <v>424</v>
      </c>
      <c r="D154" s="268">
        <v>0</v>
      </c>
      <c r="E154" s="268">
        <v>0</v>
      </c>
      <c r="F154" s="268">
        <v>0</v>
      </c>
      <c r="G154" s="268">
        <v>0</v>
      </c>
      <c r="H154" s="268">
        <v>0</v>
      </c>
      <c r="I154" s="268">
        <v>0</v>
      </c>
      <c r="J154" s="268">
        <v>0</v>
      </c>
      <c r="K154" s="268">
        <v>0</v>
      </c>
      <c r="M154" s="117" t="s">
        <v>580</v>
      </c>
    </row>
    <row r="155" spans="2:13" x14ac:dyDescent="0.3">
      <c r="B155" s="211" t="s">
        <v>452</v>
      </c>
      <c r="C155" s="211" t="s">
        <v>590</v>
      </c>
      <c r="D155" s="268">
        <v>169</v>
      </c>
      <c r="E155" s="268">
        <v>169</v>
      </c>
      <c r="F155" s="268">
        <v>169</v>
      </c>
      <c r="G155" s="268">
        <v>169</v>
      </c>
      <c r="H155" s="268">
        <v>169</v>
      </c>
      <c r="I155" s="268">
        <v>169</v>
      </c>
      <c r="J155" s="268">
        <v>169</v>
      </c>
      <c r="K155" s="268">
        <v>169</v>
      </c>
      <c r="M155" s="117" t="s">
        <v>419</v>
      </c>
    </row>
    <row r="156" spans="2:13" x14ac:dyDescent="0.3">
      <c r="B156" s="211" t="s">
        <v>452</v>
      </c>
      <c r="C156" s="211" t="s">
        <v>591</v>
      </c>
      <c r="D156" s="268">
        <v>169</v>
      </c>
      <c r="E156" s="268">
        <v>169</v>
      </c>
      <c r="F156" s="268">
        <v>169</v>
      </c>
      <c r="G156" s="268">
        <v>169</v>
      </c>
      <c r="H156" s="268">
        <v>169</v>
      </c>
      <c r="I156" s="268">
        <v>169</v>
      </c>
      <c r="J156" s="268">
        <v>169</v>
      </c>
      <c r="K156" s="268">
        <v>169</v>
      </c>
      <c r="M156" s="117" t="s">
        <v>419</v>
      </c>
    </row>
    <row r="157" spans="2:13" x14ac:dyDescent="0.3">
      <c r="B157" s="211" t="s">
        <v>452</v>
      </c>
      <c r="C157" s="211" t="s">
        <v>413</v>
      </c>
      <c r="D157" s="268">
        <v>202.79999999999998</v>
      </c>
      <c r="E157" s="268">
        <v>202.79999999999998</v>
      </c>
      <c r="F157" s="268">
        <v>202.79999999999998</v>
      </c>
      <c r="G157" s="268">
        <v>202.79999999999998</v>
      </c>
      <c r="H157" s="268">
        <v>202.79999999999998</v>
      </c>
      <c r="I157" s="268">
        <v>202.79999999999998</v>
      </c>
      <c r="J157" s="268">
        <v>202.79999999999998</v>
      </c>
      <c r="K157" s="268">
        <v>202.79999999999998</v>
      </c>
      <c r="M157" s="117" t="s">
        <v>559</v>
      </c>
    </row>
    <row r="158" spans="2:13" x14ac:dyDescent="0.3">
      <c r="B158" s="211" t="s">
        <v>452</v>
      </c>
      <c r="C158" s="211" t="s">
        <v>425</v>
      </c>
      <c r="D158" s="268">
        <v>202.79999999999998</v>
      </c>
      <c r="E158" s="268">
        <v>202.79999999999998</v>
      </c>
      <c r="F158" s="268">
        <v>202.79999999999998</v>
      </c>
      <c r="G158" s="268">
        <v>202.79999999999998</v>
      </c>
      <c r="H158" s="268">
        <v>202.79999999999998</v>
      </c>
      <c r="I158" s="268">
        <v>202.79999999999998</v>
      </c>
      <c r="J158" s="268">
        <v>202.79999999999998</v>
      </c>
      <c r="K158" s="268">
        <v>202.79999999999998</v>
      </c>
      <c r="M158" s="117" t="s">
        <v>559</v>
      </c>
    </row>
    <row r="159" spans="2:13" x14ac:dyDescent="0.3">
      <c r="B159" s="211" t="s">
        <v>452</v>
      </c>
      <c r="C159" s="211" t="s">
        <v>414</v>
      </c>
      <c r="D159" s="268">
        <v>202.79999999999998</v>
      </c>
      <c r="E159" s="268">
        <v>202.79999999999998</v>
      </c>
      <c r="F159" s="268">
        <v>202.79999999999998</v>
      </c>
      <c r="G159" s="268">
        <v>202.79999999999998</v>
      </c>
      <c r="H159" s="268">
        <v>202.79999999999998</v>
      </c>
      <c r="I159" s="268">
        <v>202.79999999999998</v>
      </c>
      <c r="J159" s="268">
        <v>202.79999999999998</v>
      </c>
      <c r="K159" s="268">
        <v>202.79999999999998</v>
      </c>
      <c r="M159" s="117" t="s">
        <v>559</v>
      </c>
    </row>
    <row r="160" spans="2:13" x14ac:dyDescent="0.3">
      <c r="B160" s="215" t="s">
        <v>452</v>
      </c>
      <c r="C160" s="215" t="s">
        <v>426</v>
      </c>
      <c r="D160" s="159">
        <v>202.79999999999998</v>
      </c>
      <c r="E160" s="159">
        <v>202.79999999999998</v>
      </c>
      <c r="F160" s="159">
        <v>202.79999999999998</v>
      </c>
      <c r="G160" s="159">
        <v>202.79999999999998</v>
      </c>
      <c r="H160" s="159">
        <v>202.79999999999998</v>
      </c>
      <c r="I160" s="159">
        <v>202.79999999999998</v>
      </c>
      <c r="J160" s="159">
        <v>202.79999999999998</v>
      </c>
      <c r="K160" s="159">
        <v>202.79999999999998</v>
      </c>
      <c r="M160" s="145" t="s">
        <v>559</v>
      </c>
    </row>
    <row r="161" spans="1:13" x14ac:dyDescent="0.3">
      <c r="B161" s="211" t="s">
        <v>632</v>
      </c>
      <c r="C161" s="211" t="s">
        <v>574</v>
      </c>
      <c r="D161" s="270">
        <v>7</v>
      </c>
      <c r="E161" s="271">
        <f t="shared" ref="E161:F164" si="4">D161*0.99</f>
        <v>6.93</v>
      </c>
      <c r="F161" s="271">
        <f t="shared" si="4"/>
        <v>6.8606999999999996</v>
      </c>
      <c r="G161" s="271">
        <f t="shared" ref="G161:G162" si="5">F161*0.99</f>
        <v>6.7920929999999995</v>
      </c>
      <c r="H161" s="271">
        <f t="shared" ref="H161:H162" si="6">G161*0.99</f>
        <v>6.7241720699999998</v>
      </c>
      <c r="I161" s="271">
        <f t="shared" ref="I161:I162" si="7">H161*0.99</f>
        <v>6.6569303492999996</v>
      </c>
      <c r="J161" s="271">
        <f t="shared" ref="J161:J162" si="8">I161*0.99</f>
        <v>6.5903610458069997</v>
      </c>
      <c r="K161" s="271">
        <f t="shared" ref="K161:K162" si="9">J161*0.99</f>
        <v>6.5244574353489293</v>
      </c>
      <c r="M161" s="117"/>
    </row>
    <row r="162" spans="1:13" x14ac:dyDescent="0.3">
      <c r="B162" s="211" t="s">
        <v>632</v>
      </c>
      <c r="C162" s="211" t="s">
        <v>577</v>
      </c>
      <c r="D162" s="271">
        <v>7</v>
      </c>
      <c r="E162" s="271">
        <f t="shared" si="4"/>
        <v>6.93</v>
      </c>
      <c r="F162" s="271">
        <f t="shared" si="4"/>
        <v>6.8606999999999996</v>
      </c>
      <c r="G162" s="271">
        <f t="shared" si="5"/>
        <v>6.7920929999999995</v>
      </c>
      <c r="H162" s="271">
        <f t="shared" si="6"/>
        <v>6.7241720699999998</v>
      </c>
      <c r="I162" s="271">
        <f t="shared" si="7"/>
        <v>6.6569303492999996</v>
      </c>
      <c r="J162" s="271">
        <f t="shared" si="8"/>
        <v>6.5903610458069997</v>
      </c>
      <c r="K162" s="271">
        <f t="shared" si="9"/>
        <v>6.5244574353489293</v>
      </c>
      <c r="M162" s="117"/>
    </row>
    <row r="163" spans="1:13" x14ac:dyDescent="0.3">
      <c r="B163" s="211" t="s">
        <v>632</v>
      </c>
      <c r="C163" s="211" t="s">
        <v>573</v>
      </c>
      <c r="D163" s="270">
        <v>7</v>
      </c>
      <c r="E163" s="271">
        <f t="shared" si="4"/>
        <v>6.93</v>
      </c>
      <c r="F163" s="271">
        <f t="shared" si="4"/>
        <v>6.8606999999999996</v>
      </c>
      <c r="G163" s="271">
        <f t="shared" ref="G163:G164" si="10">F163*0.99</f>
        <v>6.7920929999999995</v>
      </c>
      <c r="H163" s="271">
        <f t="shared" ref="H163:H164" si="11">G163*0.99</f>
        <v>6.7241720699999998</v>
      </c>
      <c r="I163" s="271">
        <f t="shared" ref="I163:I164" si="12">H163*0.99</f>
        <v>6.6569303492999996</v>
      </c>
      <c r="J163" s="271">
        <f t="shared" ref="J163:J164" si="13">I163*0.99</f>
        <v>6.5903610458069997</v>
      </c>
      <c r="K163" s="271">
        <f t="shared" ref="K163:K164" si="14">J163*0.99</f>
        <v>6.5244574353489293</v>
      </c>
      <c r="M163" s="117" t="s">
        <v>538</v>
      </c>
    </row>
    <row r="164" spans="1:13" x14ac:dyDescent="0.3">
      <c r="B164" s="215" t="s">
        <v>632</v>
      </c>
      <c r="C164" s="215" t="s">
        <v>578</v>
      </c>
      <c r="D164" s="272">
        <v>7</v>
      </c>
      <c r="E164" s="272">
        <f t="shared" si="4"/>
        <v>6.93</v>
      </c>
      <c r="F164" s="272">
        <f t="shared" si="4"/>
        <v>6.8606999999999996</v>
      </c>
      <c r="G164" s="272">
        <f t="shared" si="10"/>
        <v>6.7920929999999995</v>
      </c>
      <c r="H164" s="272">
        <f t="shared" si="11"/>
        <v>6.7241720699999998</v>
      </c>
      <c r="I164" s="272">
        <f t="shared" si="12"/>
        <v>6.6569303492999996</v>
      </c>
      <c r="J164" s="272">
        <f t="shared" si="13"/>
        <v>6.5903610458069997</v>
      </c>
      <c r="K164" s="272">
        <f t="shared" si="14"/>
        <v>6.5244574353489293</v>
      </c>
      <c r="M164" s="145" t="s">
        <v>538</v>
      </c>
    </row>
    <row r="165" spans="1:13" x14ac:dyDescent="0.3">
      <c r="A165">
        <v>1000</v>
      </c>
      <c r="B165" s="211" t="s">
        <v>632</v>
      </c>
      <c r="C165" s="211" t="s">
        <v>41</v>
      </c>
      <c r="D165" s="270">
        <v>13.9</v>
      </c>
      <c r="E165" s="270">
        <v>13.784000000000001</v>
      </c>
      <c r="F165" s="270">
        <v>13.348000000000001</v>
      </c>
      <c r="G165" s="270">
        <v>12.821999999999999</v>
      </c>
      <c r="H165" s="270">
        <v>12.318</v>
      </c>
      <c r="I165" s="270">
        <v>11.833</v>
      </c>
      <c r="J165" s="270">
        <v>11.367000000000001</v>
      </c>
      <c r="K165" s="270">
        <v>10.919</v>
      </c>
      <c r="M165" s="117"/>
    </row>
    <row r="166" spans="1:13" x14ac:dyDescent="0.3">
      <c r="B166" s="215" t="s">
        <v>632</v>
      </c>
      <c r="C166" s="215" t="s">
        <v>38</v>
      </c>
      <c r="D166" s="272">
        <v>10</v>
      </c>
      <c r="E166" s="272">
        <v>9.9</v>
      </c>
      <c r="F166" s="272">
        <v>9.8010000000000002</v>
      </c>
      <c r="G166" s="272">
        <v>9.7029899999999998</v>
      </c>
      <c r="H166" s="272">
        <v>9.6059601000000008</v>
      </c>
      <c r="I166" s="272">
        <v>9.5099004989999987</v>
      </c>
      <c r="J166" s="272">
        <v>9.4148014940099998</v>
      </c>
      <c r="K166" s="272">
        <v>9.3206534790699003</v>
      </c>
      <c r="M166" s="145"/>
    </row>
    <row r="167" spans="1:13" x14ac:dyDescent="0.3">
      <c r="B167" s="211" t="s">
        <v>453</v>
      </c>
      <c r="C167" s="211" t="s">
        <v>270</v>
      </c>
      <c r="D167" s="136">
        <v>8888</v>
      </c>
      <c r="E167" s="136">
        <f>D167</f>
        <v>8888</v>
      </c>
      <c r="F167" s="136">
        <f t="shared" ref="F167:K171" si="15">E167</f>
        <v>8888</v>
      </c>
      <c r="G167" s="136">
        <f t="shared" si="15"/>
        <v>8888</v>
      </c>
      <c r="H167" s="136">
        <f t="shared" si="15"/>
        <v>8888</v>
      </c>
      <c r="I167" s="136">
        <f t="shared" si="15"/>
        <v>8888</v>
      </c>
      <c r="J167" s="136">
        <f t="shared" si="15"/>
        <v>8888</v>
      </c>
      <c r="K167" s="136">
        <f t="shared" si="15"/>
        <v>8888</v>
      </c>
      <c r="M167" s="135" t="s">
        <v>618</v>
      </c>
    </row>
    <row r="168" spans="1:13" x14ac:dyDescent="0.3">
      <c r="B168" s="211" t="s">
        <v>453</v>
      </c>
      <c r="C168" s="211" t="s">
        <v>187</v>
      </c>
      <c r="D168" s="136">
        <v>8888</v>
      </c>
      <c r="E168" s="136">
        <f>D168</f>
        <v>8888</v>
      </c>
      <c r="F168" s="136">
        <f t="shared" si="15"/>
        <v>8888</v>
      </c>
      <c r="G168" s="136">
        <f t="shared" si="15"/>
        <v>8888</v>
      </c>
      <c r="H168" s="136">
        <f t="shared" si="15"/>
        <v>8888</v>
      </c>
      <c r="I168" s="136">
        <f t="shared" si="15"/>
        <v>8888</v>
      </c>
      <c r="J168" s="136">
        <f t="shared" si="15"/>
        <v>8888</v>
      </c>
      <c r="K168" s="136">
        <f t="shared" si="15"/>
        <v>8888</v>
      </c>
      <c r="M168" s="135" t="s">
        <v>618</v>
      </c>
    </row>
    <row r="169" spans="1:13" x14ac:dyDescent="0.3">
      <c r="B169" s="211" t="s">
        <v>453</v>
      </c>
      <c r="C169" s="211" t="s">
        <v>678</v>
      </c>
      <c r="D169" s="136">
        <f>D$168*2</f>
        <v>17776</v>
      </c>
      <c r="E169" s="136">
        <f t="shared" ref="E169:K170" si="16">E$168*2</f>
        <v>17776</v>
      </c>
      <c r="F169" s="136">
        <f t="shared" si="16"/>
        <v>17776</v>
      </c>
      <c r="G169" s="136">
        <f t="shared" si="16"/>
        <v>17776</v>
      </c>
      <c r="H169" s="136">
        <f t="shared" si="16"/>
        <v>17776</v>
      </c>
      <c r="I169" s="136">
        <f t="shared" si="16"/>
        <v>17776</v>
      </c>
      <c r="J169" s="136">
        <f t="shared" si="16"/>
        <v>17776</v>
      </c>
      <c r="K169" s="136">
        <f t="shared" si="16"/>
        <v>17776</v>
      </c>
      <c r="M169" s="117" t="s">
        <v>685</v>
      </c>
    </row>
    <row r="170" spans="1:13" x14ac:dyDescent="0.3">
      <c r="B170" s="215" t="s">
        <v>453</v>
      </c>
      <c r="C170" s="215" t="s">
        <v>680</v>
      </c>
      <c r="D170" s="153">
        <f>D$168*2</f>
        <v>17776</v>
      </c>
      <c r="E170" s="153">
        <f t="shared" si="16"/>
        <v>17776</v>
      </c>
      <c r="F170" s="153">
        <f t="shared" si="16"/>
        <v>17776</v>
      </c>
      <c r="G170" s="153">
        <f t="shared" si="16"/>
        <v>17776</v>
      </c>
      <c r="H170" s="153">
        <f t="shared" si="16"/>
        <v>17776</v>
      </c>
      <c r="I170" s="153">
        <f t="shared" si="16"/>
        <v>17776</v>
      </c>
      <c r="J170" s="153">
        <f t="shared" si="16"/>
        <v>17776</v>
      </c>
      <c r="K170" s="153">
        <f t="shared" si="16"/>
        <v>17776</v>
      </c>
      <c r="M170" s="145" t="s">
        <v>685</v>
      </c>
    </row>
    <row r="171" spans="1:13" x14ac:dyDescent="0.3">
      <c r="B171" s="211" t="s">
        <v>453</v>
      </c>
      <c r="C171" s="211" t="s">
        <v>272</v>
      </c>
      <c r="D171" s="105">
        <v>5000</v>
      </c>
      <c r="E171" s="105">
        <f>D171</f>
        <v>5000</v>
      </c>
      <c r="F171" s="105">
        <f t="shared" si="15"/>
        <v>5000</v>
      </c>
      <c r="G171" s="105">
        <f t="shared" si="15"/>
        <v>5000</v>
      </c>
      <c r="H171" s="105">
        <f t="shared" si="15"/>
        <v>5000</v>
      </c>
      <c r="I171" s="105">
        <f t="shared" si="15"/>
        <v>5000</v>
      </c>
      <c r="J171" s="105">
        <f t="shared" si="15"/>
        <v>5000</v>
      </c>
      <c r="K171" s="105">
        <f t="shared" si="15"/>
        <v>5000</v>
      </c>
      <c r="M171" s="117" t="s">
        <v>538</v>
      </c>
    </row>
    <row r="172" spans="1:13" x14ac:dyDescent="0.3">
      <c r="B172" s="211" t="s">
        <v>453</v>
      </c>
      <c r="C172" s="211" t="s">
        <v>274</v>
      </c>
      <c r="D172" s="136">
        <f>D171*1.5</f>
        <v>7500</v>
      </c>
      <c r="E172" s="136">
        <f t="shared" ref="E172:K172" si="17">E171*1.5</f>
        <v>7500</v>
      </c>
      <c r="F172" s="136">
        <f t="shared" si="17"/>
        <v>7500</v>
      </c>
      <c r="G172" s="136">
        <f t="shared" si="17"/>
        <v>7500</v>
      </c>
      <c r="H172" s="136">
        <f t="shared" si="17"/>
        <v>7500</v>
      </c>
      <c r="I172" s="136">
        <f t="shared" si="17"/>
        <v>7500</v>
      </c>
      <c r="J172" s="136">
        <f t="shared" si="17"/>
        <v>7500</v>
      </c>
      <c r="K172" s="136">
        <f t="shared" si="17"/>
        <v>7500</v>
      </c>
      <c r="L172" s="93"/>
      <c r="M172" s="135" t="s">
        <v>625</v>
      </c>
    </row>
    <row r="173" spans="1:13" x14ac:dyDescent="0.3">
      <c r="B173" s="211" t="s">
        <v>453</v>
      </c>
      <c r="C173" s="211" t="s">
        <v>276</v>
      </c>
      <c r="D173" s="136">
        <f>D171*1.3</f>
        <v>6500</v>
      </c>
      <c r="E173" s="136">
        <f t="shared" ref="E173:K173" si="18">E171*1.3</f>
        <v>6500</v>
      </c>
      <c r="F173" s="136">
        <f t="shared" si="18"/>
        <v>6500</v>
      </c>
      <c r="G173" s="136">
        <f t="shared" si="18"/>
        <v>6500</v>
      </c>
      <c r="H173" s="136">
        <f t="shared" si="18"/>
        <v>6500</v>
      </c>
      <c r="I173" s="136">
        <f t="shared" si="18"/>
        <v>6500</v>
      </c>
      <c r="J173" s="136">
        <f t="shared" si="18"/>
        <v>6500</v>
      </c>
      <c r="K173" s="136">
        <f t="shared" si="18"/>
        <v>6500</v>
      </c>
      <c r="L173" s="93"/>
      <c r="M173" s="135" t="s">
        <v>626</v>
      </c>
    </row>
    <row r="174" spans="1:13" x14ac:dyDescent="0.3">
      <c r="B174" s="215" t="s">
        <v>453</v>
      </c>
      <c r="C174" s="215" t="s">
        <v>595</v>
      </c>
      <c r="D174" s="153">
        <f>D171*1.3</f>
        <v>6500</v>
      </c>
      <c r="E174" s="153">
        <f t="shared" ref="E174:K174" si="19">E171*1.3</f>
        <v>6500</v>
      </c>
      <c r="F174" s="153">
        <f t="shared" si="19"/>
        <v>6500</v>
      </c>
      <c r="G174" s="153">
        <f t="shared" si="19"/>
        <v>6500</v>
      </c>
      <c r="H174" s="153">
        <f t="shared" si="19"/>
        <v>6500</v>
      </c>
      <c r="I174" s="153">
        <f t="shared" si="19"/>
        <v>6500</v>
      </c>
      <c r="J174" s="153">
        <f t="shared" si="19"/>
        <v>6500</v>
      </c>
      <c r="K174" s="153">
        <f t="shared" si="19"/>
        <v>6500</v>
      </c>
      <c r="L174" s="93"/>
      <c r="M174" s="241" t="s">
        <v>626</v>
      </c>
    </row>
    <row r="175" spans="1:13" x14ac:dyDescent="0.3">
      <c r="B175" s="211" t="s">
        <v>632</v>
      </c>
      <c r="C175" s="211" t="s">
        <v>34</v>
      </c>
      <c r="D175" s="273">
        <v>0.999</v>
      </c>
      <c r="E175" s="273">
        <v>0.999</v>
      </c>
      <c r="F175" s="273">
        <v>0.999</v>
      </c>
      <c r="G175" s="273">
        <v>0.999</v>
      </c>
      <c r="H175" s="273">
        <v>0.999</v>
      </c>
      <c r="I175" s="273">
        <v>0.999</v>
      </c>
      <c r="J175" s="273">
        <v>0.999</v>
      </c>
      <c r="K175" s="273">
        <v>0.999</v>
      </c>
      <c r="M175" s="117" t="s">
        <v>618</v>
      </c>
    </row>
    <row r="176" spans="1:13" x14ac:dyDescent="0.3">
      <c r="B176" s="215" t="s">
        <v>632</v>
      </c>
      <c r="C176" s="215" t="s">
        <v>278</v>
      </c>
      <c r="D176" s="274">
        <v>0.999</v>
      </c>
      <c r="E176" s="274">
        <v>0.999</v>
      </c>
      <c r="F176" s="274">
        <v>0.999</v>
      </c>
      <c r="G176" s="274">
        <v>0.999</v>
      </c>
      <c r="H176" s="274">
        <v>0.999</v>
      </c>
      <c r="I176" s="274">
        <v>0.999</v>
      </c>
      <c r="J176" s="274">
        <v>0.999</v>
      </c>
      <c r="K176" s="274">
        <v>0.999</v>
      </c>
      <c r="M176" s="145" t="s">
        <v>618</v>
      </c>
    </row>
    <row r="177" spans="2:13" x14ac:dyDescent="0.3">
      <c r="B177" s="211" t="s">
        <v>632</v>
      </c>
      <c r="C177" s="211" t="s">
        <v>628</v>
      </c>
      <c r="D177" s="136">
        <v>55</v>
      </c>
      <c r="E177" s="136">
        <v>55</v>
      </c>
      <c r="F177" s="136">
        <v>55</v>
      </c>
      <c r="G177" s="136">
        <v>55</v>
      </c>
      <c r="H177" s="136">
        <v>55</v>
      </c>
      <c r="I177" s="136">
        <v>55</v>
      </c>
      <c r="J177" s="136">
        <v>55</v>
      </c>
      <c r="K177" s="136">
        <v>55</v>
      </c>
      <c r="M177" s="117" t="s">
        <v>618</v>
      </c>
    </row>
    <row r="178" spans="2:13" x14ac:dyDescent="0.3">
      <c r="B178" s="215" t="s">
        <v>632</v>
      </c>
      <c r="C178" s="215" t="s">
        <v>629</v>
      </c>
      <c r="D178" s="153">
        <v>55</v>
      </c>
      <c r="E178" s="153">
        <v>55</v>
      </c>
      <c r="F178" s="153">
        <v>55</v>
      </c>
      <c r="G178" s="153">
        <v>55</v>
      </c>
      <c r="H178" s="153">
        <v>55</v>
      </c>
      <c r="I178" s="153">
        <v>55</v>
      </c>
      <c r="J178" s="153">
        <v>55</v>
      </c>
      <c r="K178" s="153">
        <v>55</v>
      </c>
      <c r="M178" s="145" t="s">
        <v>618</v>
      </c>
    </row>
    <row r="179" spans="2:13" x14ac:dyDescent="0.3">
      <c r="B179" s="211" t="s">
        <v>449</v>
      </c>
      <c r="C179" s="211" t="s">
        <v>173</v>
      </c>
      <c r="D179" s="136">
        <v>777</v>
      </c>
      <c r="E179" s="136">
        <v>777</v>
      </c>
      <c r="F179" s="136">
        <v>777</v>
      </c>
      <c r="G179" s="136">
        <v>777</v>
      </c>
      <c r="H179" s="136">
        <v>777</v>
      </c>
      <c r="I179" s="136">
        <v>777</v>
      </c>
      <c r="J179" s="136">
        <v>777</v>
      </c>
      <c r="K179" s="136">
        <v>777</v>
      </c>
      <c r="M179" s="117" t="s">
        <v>618</v>
      </c>
    </row>
    <row r="180" spans="2:13" x14ac:dyDescent="0.3">
      <c r="B180" s="211" t="s">
        <v>449</v>
      </c>
      <c r="C180" s="211" t="s">
        <v>176</v>
      </c>
      <c r="D180" s="136">
        <v>777</v>
      </c>
      <c r="E180" s="136">
        <v>777</v>
      </c>
      <c r="F180" s="136">
        <v>777</v>
      </c>
      <c r="G180" s="136">
        <v>777</v>
      </c>
      <c r="H180" s="136">
        <v>777</v>
      </c>
      <c r="I180" s="136">
        <v>777</v>
      </c>
      <c r="J180" s="136">
        <v>777</v>
      </c>
      <c r="K180" s="136">
        <v>777</v>
      </c>
      <c r="M180" s="117" t="s">
        <v>618</v>
      </c>
    </row>
    <row r="181" spans="2:13" x14ac:dyDescent="0.3">
      <c r="B181" s="211" t="s">
        <v>449</v>
      </c>
      <c r="C181" s="211" t="s">
        <v>106</v>
      </c>
      <c r="D181" s="136">
        <v>777</v>
      </c>
      <c r="E181" s="136">
        <v>777</v>
      </c>
      <c r="F181" s="136">
        <v>777</v>
      </c>
      <c r="G181" s="136">
        <v>777</v>
      </c>
      <c r="H181" s="136">
        <v>777</v>
      </c>
      <c r="I181" s="136">
        <v>777</v>
      </c>
      <c r="J181" s="136">
        <v>777</v>
      </c>
      <c r="K181" s="136">
        <v>777</v>
      </c>
      <c r="M181" s="117" t="s">
        <v>618</v>
      </c>
    </row>
    <row r="182" spans="2:13" x14ac:dyDescent="0.3">
      <c r="B182" s="211" t="s">
        <v>449</v>
      </c>
      <c r="C182" s="211" t="s">
        <v>109</v>
      </c>
      <c r="D182" s="136">
        <v>777</v>
      </c>
      <c r="E182" s="136">
        <v>777</v>
      </c>
      <c r="F182" s="136">
        <v>777</v>
      </c>
      <c r="G182" s="136">
        <v>777</v>
      </c>
      <c r="H182" s="136">
        <v>777</v>
      </c>
      <c r="I182" s="136">
        <v>777</v>
      </c>
      <c r="J182" s="136">
        <v>777</v>
      </c>
      <c r="K182" s="136">
        <v>777</v>
      </c>
      <c r="M182" s="117" t="s">
        <v>618</v>
      </c>
    </row>
    <row r="183" spans="2:13" x14ac:dyDescent="0.3">
      <c r="B183" s="211" t="s">
        <v>449</v>
      </c>
      <c r="C183" s="211" t="s">
        <v>112</v>
      </c>
      <c r="D183" s="136">
        <v>777</v>
      </c>
      <c r="E183" s="136">
        <v>777</v>
      </c>
      <c r="F183" s="136">
        <v>777</v>
      </c>
      <c r="G183" s="136">
        <v>777</v>
      </c>
      <c r="H183" s="136">
        <v>777</v>
      </c>
      <c r="I183" s="136">
        <v>777</v>
      </c>
      <c r="J183" s="136">
        <v>777</v>
      </c>
      <c r="K183" s="136">
        <v>777</v>
      </c>
      <c r="M183" s="117" t="s">
        <v>618</v>
      </c>
    </row>
    <row r="184" spans="2:13" x14ac:dyDescent="0.3">
      <c r="B184" s="211" t="s">
        <v>449</v>
      </c>
      <c r="C184" s="211" t="s">
        <v>120</v>
      </c>
      <c r="D184" s="136">
        <v>777</v>
      </c>
      <c r="E184" s="136">
        <v>777</v>
      </c>
      <c r="F184" s="136">
        <v>777</v>
      </c>
      <c r="G184" s="136">
        <v>777</v>
      </c>
      <c r="H184" s="136">
        <v>777</v>
      </c>
      <c r="I184" s="136">
        <v>777</v>
      </c>
      <c r="J184" s="136">
        <v>777</v>
      </c>
      <c r="K184" s="136">
        <v>777</v>
      </c>
      <c r="M184" s="117" t="s">
        <v>618</v>
      </c>
    </row>
    <row r="185" spans="2:13" x14ac:dyDescent="0.3">
      <c r="B185" s="211" t="s">
        <v>449</v>
      </c>
      <c r="C185" s="211" t="s">
        <v>115</v>
      </c>
      <c r="D185" s="136">
        <v>777</v>
      </c>
      <c r="E185" s="136">
        <v>777</v>
      </c>
      <c r="F185" s="136">
        <v>777</v>
      </c>
      <c r="G185" s="136">
        <v>777</v>
      </c>
      <c r="H185" s="136">
        <v>777</v>
      </c>
      <c r="I185" s="136">
        <v>777</v>
      </c>
      <c r="J185" s="136">
        <v>777</v>
      </c>
      <c r="K185" s="136">
        <v>777</v>
      </c>
      <c r="M185" s="117" t="s">
        <v>618</v>
      </c>
    </row>
    <row r="186" spans="2:13" x14ac:dyDescent="0.3">
      <c r="B186" s="211" t="s">
        <v>449</v>
      </c>
      <c r="C186" s="211" t="s">
        <v>122</v>
      </c>
      <c r="D186" s="136">
        <v>777</v>
      </c>
      <c r="E186" s="136">
        <v>777</v>
      </c>
      <c r="F186" s="136">
        <v>777</v>
      </c>
      <c r="G186" s="136">
        <v>777</v>
      </c>
      <c r="H186" s="136">
        <v>777</v>
      </c>
      <c r="I186" s="136">
        <v>777</v>
      </c>
      <c r="J186" s="136">
        <v>777</v>
      </c>
      <c r="K186" s="136">
        <v>777</v>
      </c>
      <c r="M186" s="117" t="s">
        <v>618</v>
      </c>
    </row>
    <row r="187" spans="2:13" x14ac:dyDescent="0.3">
      <c r="B187" s="215" t="s">
        <v>449</v>
      </c>
      <c r="C187" s="215" t="s">
        <v>118</v>
      </c>
      <c r="D187" s="153">
        <v>777</v>
      </c>
      <c r="E187" s="153">
        <v>777</v>
      </c>
      <c r="F187" s="153">
        <v>777</v>
      </c>
      <c r="G187" s="153">
        <v>777</v>
      </c>
      <c r="H187" s="153">
        <v>777</v>
      </c>
      <c r="I187" s="153">
        <v>777</v>
      </c>
      <c r="J187" s="153">
        <v>777</v>
      </c>
      <c r="K187" s="153">
        <v>777</v>
      </c>
      <c r="M187" s="145" t="s">
        <v>618</v>
      </c>
    </row>
    <row r="188" spans="2:13" x14ac:dyDescent="0.3">
      <c r="B188" s="211" t="s">
        <v>454</v>
      </c>
      <c r="C188" s="211" t="s">
        <v>35</v>
      </c>
      <c r="D188" s="158">
        <v>1E-3</v>
      </c>
      <c r="E188" s="158">
        <v>1E-3</v>
      </c>
      <c r="F188" s="158">
        <v>1E-3</v>
      </c>
      <c r="G188" s="158">
        <v>1E-3</v>
      </c>
      <c r="H188" s="158">
        <v>1E-3</v>
      </c>
      <c r="I188" s="158">
        <v>1E-3</v>
      </c>
      <c r="J188" s="158">
        <v>1E-3</v>
      </c>
      <c r="K188" s="158">
        <v>1E-3</v>
      </c>
      <c r="M188" s="117" t="s">
        <v>654</v>
      </c>
    </row>
    <row r="189" spans="2:13" x14ac:dyDescent="0.3">
      <c r="B189" s="211" t="s">
        <v>454</v>
      </c>
      <c r="C189" s="211" t="s">
        <v>279</v>
      </c>
      <c r="D189" s="158">
        <v>1E-3</v>
      </c>
      <c r="E189" s="158">
        <v>1E-3</v>
      </c>
      <c r="F189" s="158">
        <v>1E-3</v>
      </c>
      <c r="G189" s="158">
        <v>1E-3</v>
      </c>
      <c r="H189" s="158">
        <v>1E-3</v>
      </c>
      <c r="I189" s="158">
        <v>1E-3</v>
      </c>
      <c r="J189" s="158">
        <v>1E-3</v>
      </c>
      <c r="K189" s="158">
        <v>1E-3</v>
      </c>
      <c r="M189" s="117" t="s">
        <v>654</v>
      </c>
    </row>
    <row r="190" spans="2:13" x14ac:dyDescent="0.3">
      <c r="B190" s="211" t="s">
        <v>454</v>
      </c>
      <c r="C190" s="211" t="s">
        <v>129</v>
      </c>
      <c r="D190" s="270">
        <f>(D191*2)</f>
        <v>3</v>
      </c>
      <c r="E190" s="270">
        <f t="shared" ref="E190:K190" si="20">(E191*2)</f>
        <v>2.9699999999999998</v>
      </c>
      <c r="F190" s="270">
        <f t="shared" si="20"/>
        <v>2.9402999999999997</v>
      </c>
      <c r="G190" s="270">
        <f t="shared" si="20"/>
        <v>2.9108969999999998</v>
      </c>
      <c r="H190" s="270">
        <f t="shared" si="20"/>
        <v>2.8817880299999996</v>
      </c>
      <c r="I190" s="270">
        <f t="shared" si="20"/>
        <v>2.8529701496999995</v>
      </c>
      <c r="J190" s="270">
        <f t="shared" si="20"/>
        <v>2.8244404482029997</v>
      </c>
      <c r="K190" s="270">
        <f t="shared" si="20"/>
        <v>2.7961960437209696</v>
      </c>
      <c r="M190" s="117" t="s">
        <v>539</v>
      </c>
    </row>
    <row r="191" spans="2:13" x14ac:dyDescent="0.3">
      <c r="B191" s="211" t="s">
        <v>454</v>
      </c>
      <c r="C191" s="211" t="s">
        <v>29</v>
      </c>
      <c r="D191" s="270">
        <v>1.5</v>
      </c>
      <c r="E191" s="270">
        <f>(D191*0.99)</f>
        <v>1.4849999999999999</v>
      </c>
      <c r="F191" s="270">
        <f t="shared" ref="F191:K191" si="21">(E191*0.99)</f>
        <v>1.4701499999999998</v>
      </c>
      <c r="G191" s="270">
        <f t="shared" si="21"/>
        <v>1.4554484999999999</v>
      </c>
      <c r="H191" s="270">
        <f t="shared" si="21"/>
        <v>1.4408940149999998</v>
      </c>
      <c r="I191" s="270">
        <f t="shared" si="21"/>
        <v>1.4264850748499998</v>
      </c>
      <c r="J191" s="270">
        <f t="shared" si="21"/>
        <v>1.4122202241014998</v>
      </c>
      <c r="K191" s="270">
        <f t="shared" si="21"/>
        <v>1.3980980218604848</v>
      </c>
      <c r="M191" s="117" t="s">
        <v>538</v>
      </c>
    </row>
    <row r="192" spans="2:13" x14ac:dyDescent="0.3">
      <c r="B192" s="211" t="s">
        <v>454</v>
      </c>
      <c r="C192" s="211" t="s">
        <v>127</v>
      </c>
      <c r="D192" s="270">
        <v>1.5</v>
      </c>
      <c r="E192" s="270">
        <f t="shared" ref="E192:K192" si="22">(D192*0.99)</f>
        <v>1.4849999999999999</v>
      </c>
      <c r="F192" s="270">
        <f t="shared" si="22"/>
        <v>1.4701499999999998</v>
      </c>
      <c r="G192" s="270">
        <f t="shared" si="22"/>
        <v>1.4554484999999999</v>
      </c>
      <c r="H192" s="270">
        <f t="shared" si="22"/>
        <v>1.4408940149999998</v>
      </c>
      <c r="I192" s="270">
        <f t="shared" si="22"/>
        <v>1.4264850748499998</v>
      </c>
      <c r="J192" s="270">
        <f t="shared" si="22"/>
        <v>1.4122202241014998</v>
      </c>
      <c r="K192" s="270">
        <f t="shared" si="22"/>
        <v>1.3980980218604848</v>
      </c>
      <c r="M192" s="117" t="s">
        <v>538</v>
      </c>
    </row>
    <row r="193" spans="2:13" x14ac:dyDescent="0.3">
      <c r="B193" s="211" t="s">
        <v>454</v>
      </c>
      <c r="C193" s="211" t="s">
        <v>32</v>
      </c>
      <c r="D193" s="270">
        <v>0.3</v>
      </c>
      <c r="E193" s="270">
        <v>0.3</v>
      </c>
      <c r="F193" s="270">
        <v>0.3</v>
      </c>
      <c r="G193" s="270">
        <v>0.3</v>
      </c>
      <c r="H193" s="270">
        <v>0.3</v>
      </c>
      <c r="I193" s="270">
        <v>0.3</v>
      </c>
      <c r="J193" s="270">
        <v>0.3</v>
      </c>
      <c r="K193" s="270">
        <v>0.3</v>
      </c>
      <c r="M193" s="117" t="s">
        <v>538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0"/>
  <sheetViews>
    <sheetView zoomScale="75" zoomScaleNormal="75" workbookViewId="0">
      <selection activeCell="D8" sqref="D8"/>
    </sheetView>
  </sheetViews>
  <sheetFormatPr defaultColWidth="9.109375" defaultRowHeight="14.4" x14ac:dyDescent="0.3"/>
  <cols>
    <col min="2" max="3" width="14.44140625" bestFit="1" customWidth="1"/>
    <col min="4" max="4" width="13.5546875" customWidth="1"/>
    <col min="6" max="7" width="14.44140625" bestFit="1" customWidth="1"/>
    <col min="8" max="8" width="13.5546875" customWidth="1"/>
    <col min="10" max="10" width="88.109375" bestFit="1" customWidth="1"/>
  </cols>
  <sheetData>
    <row r="2" spans="2:10" x14ac:dyDescent="0.3">
      <c r="C2" s="149"/>
      <c r="D2" s="150"/>
      <c r="G2" s="149"/>
      <c r="H2" s="150"/>
    </row>
    <row r="3" spans="2:10" x14ac:dyDescent="0.3">
      <c r="B3" s="87" t="s">
        <v>14</v>
      </c>
      <c r="C3" s="88"/>
      <c r="D3" s="88"/>
      <c r="F3" s="87" t="s">
        <v>42</v>
      </c>
      <c r="G3" s="88"/>
      <c r="H3" s="88"/>
    </row>
    <row r="4" spans="2:10" x14ac:dyDescent="0.3">
      <c r="B4" s="214" t="s">
        <v>660</v>
      </c>
      <c r="C4" s="90"/>
      <c r="D4" s="90"/>
      <c r="F4" s="214" t="s">
        <v>664</v>
      </c>
      <c r="G4" s="214"/>
      <c r="H4" s="90"/>
    </row>
    <row r="5" spans="2:10" x14ac:dyDescent="0.3">
      <c r="B5" s="93"/>
      <c r="F5" s="93"/>
    </row>
    <row r="6" spans="2:10" x14ac:dyDescent="0.3">
      <c r="B6" s="103" t="s">
        <v>443</v>
      </c>
      <c r="C6" s="103" t="s">
        <v>2</v>
      </c>
      <c r="D6" s="104" t="s">
        <v>14</v>
      </c>
      <c r="F6" s="103" t="s">
        <v>443</v>
      </c>
      <c r="G6" s="103" t="s">
        <v>2</v>
      </c>
      <c r="H6" s="104" t="s">
        <v>42</v>
      </c>
      <c r="J6" s="103" t="s">
        <v>494</v>
      </c>
    </row>
    <row r="7" spans="2:10" x14ac:dyDescent="0.3">
      <c r="B7" s="94"/>
      <c r="C7" s="94"/>
      <c r="D7" s="94"/>
      <c r="F7" s="94"/>
      <c r="G7" s="94"/>
      <c r="H7" s="94"/>
      <c r="J7" s="103"/>
    </row>
    <row r="8" spans="2:10" x14ac:dyDescent="0.3">
      <c r="B8" s="211" t="s">
        <v>444</v>
      </c>
      <c r="C8" s="211" t="s">
        <v>183</v>
      </c>
      <c r="D8" s="294"/>
      <c r="F8" s="211" t="s">
        <v>444</v>
      </c>
      <c r="G8" s="211" t="s">
        <v>183</v>
      </c>
      <c r="H8" s="112"/>
      <c r="J8" s="117"/>
    </row>
    <row r="9" spans="2:10" x14ac:dyDescent="0.3">
      <c r="B9" s="215" t="s">
        <v>444</v>
      </c>
      <c r="C9" s="215" t="s">
        <v>179</v>
      </c>
      <c r="D9" s="295"/>
      <c r="F9" s="215" t="s">
        <v>444</v>
      </c>
      <c r="G9" s="215" t="s">
        <v>179</v>
      </c>
      <c r="H9" s="115"/>
      <c r="J9" s="145"/>
    </row>
    <row r="10" spans="2:10" x14ac:dyDescent="0.3">
      <c r="B10" s="211" t="s">
        <v>445</v>
      </c>
      <c r="C10" s="211" t="s">
        <v>87</v>
      </c>
      <c r="D10" s="105">
        <v>100</v>
      </c>
      <c r="F10" s="211" t="s">
        <v>445</v>
      </c>
      <c r="G10" s="211" t="s">
        <v>87</v>
      </c>
      <c r="H10" s="105"/>
      <c r="J10" s="117"/>
    </row>
    <row r="11" spans="2:10" x14ac:dyDescent="0.3">
      <c r="B11" s="211" t="s">
        <v>445</v>
      </c>
      <c r="C11" s="211" t="s">
        <v>90</v>
      </c>
      <c r="D11" s="105">
        <v>100</v>
      </c>
      <c r="F11" s="211" t="s">
        <v>445</v>
      </c>
      <c r="G11" s="211" t="s">
        <v>90</v>
      </c>
      <c r="H11" s="105"/>
      <c r="J11" s="117"/>
    </row>
    <row r="12" spans="2:10" x14ac:dyDescent="0.3">
      <c r="B12" s="211" t="s">
        <v>445</v>
      </c>
      <c r="C12" s="211" t="s">
        <v>92</v>
      </c>
      <c r="D12" s="105">
        <v>100</v>
      </c>
      <c r="F12" s="211" t="s">
        <v>445</v>
      </c>
      <c r="G12" s="211" t="s">
        <v>92</v>
      </c>
      <c r="H12" s="105"/>
      <c r="J12" s="117"/>
    </row>
    <row r="13" spans="2:10" x14ac:dyDescent="0.3">
      <c r="B13" s="211" t="s">
        <v>445</v>
      </c>
      <c r="C13" s="211" t="s">
        <v>94</v>
      </c>
      <c r="D13" s="105">
        <v>100</v>
      </c>
      <c r="F13" s="211" t="s">
        <v>445</v>
      </c>
      <c r="G13" s="211" t="s">
        <v>94</v>
      </c>
      <c r="H13" s="105"/>
      <c r="J13" s="117"/>
    </row>
    <row r="14" spans="2:10" x14ac:dyDescent="0.3">
      <c r="B14" s="211" t="s">
        <v>445</v>
      </c>
      <c r="C14" s="211" t="s">
        <v>96</v>
      </c>
      <c r="D14" s="105">
        <v>100</v>
      </c>
      <c r="F14" s="211" t="s">
        <v>445</v>
      </c>
      <c r="G14" s="211" t="s">
        <v>96</v>
      </c>
      <c r="H14" s="105"/>
      <c r="J14" s="117"/>
    </row>
    <row r="15" spans="2:10" x14ac:dyDescent="0.3">
      <c r="B15" s="211" t="s">
        <v>445</v>
      </c>
      <c r="C15" s="211" t="s">
        <v>98</v>
      </c>
      <c r="D15" s="105">
        <v>100</v>
      </c>
      <c r="F15" s="211" t="s">
        <v>445</v>
      </c>
      <c r="G15" s="211" t="s">
        <v>98</v>
      </c>
      <c r="H15" s="105"/>
      <c r="J15" s="117"/>
    </row>
    <row r="16" spans="2:10" x14ac:dyDescent="0.3">
      <c r="B16" s="211" t="s">
        <v>445</v>
      </c>
      <c r="C16" s="211" t="s">
        <v>100</v>
      </c>
      <c r="D16" s="105">
        <v>80.000000000000014</v>
      </c>
      <c r="F16" s="211" t="s">
        <v>445</v>
      </c>
      <c r="G16" s="211" t="s">
        <v>100</v>
      </c>
      <c r="H16" s="105"/>
      <c r="J16" s="117"/>
    </row>
    <row r="17" spans="2:10" x14ac:dyDescent="0.3">
      <c r="B17" s="211" t="s">
        <v>445</v>
      </c>
      <c r="C17" s="211" t="s">
        <v>342</v>
      </c>
      <c r="D17" s="105">
        <v>100</v>
      </c>
      <c r="F17" s="211" t="s">
        <v>445</v>
      </c>
      <c r="G17" s="211" t="s">
        <v>342</v>
      </c>
      <c r="H17" s="105"/>
      <c r="J17" s="117"/>
    </row>
    <row r="18" spans="2:10" x14ac:dyDescent="0.3">
      <c r="B18" s="211" t="s">
        <v>445</v>
      </c>
      <c r="C18" s="211" t="s">
        <v>404</v>
      </c>
      <c r="D18" s="105">
        <v>100</v>
      </c>
      <c r="F18" s="211" t="s">
        <v>445</v>
      </c>
      <c r="G18" s="211" t="s">
        <v>404</v>
      </c>
      <c r="H18" s="105"/>
      <c r="J18" s="117"/>
    </row>
    <row r="19" spans="2:10" x14ac:dyDescent="0.3">
      <c r="B19" s="211" t="s">
        <v>445</v>
      </c>
      <c r="C19" s="211" t="s">
        <v>102</v>
      </c>
      <c r="D19" s="105">
        <v>100</v>
      </c>
      <c r="F19" s="211" t="s">
        <v>445</v>
      </c>
      <c r="G19" s="211" t="s">
        <v>102</v>
      </c>
      <c r="H19" s="105"/>
      <c r="J19" s="117"/>
    </row>
    <row r="20" spans="2:10" x14ac:dyDescent="0.3">
      <c r="B20" s="211" t="s">
        <v>445</v>
      </c>
      <c r="C20" s="211" t="s">
        <v>588</v>
      </c>
      <c r="D20" s="105">
        <v>100</v>
      </c>
      <c r="F20" s="211" t="s">
        <v>445</v>
      </c>
      <c r="G20" s="211" t="s">
        <v>588</v>
      </c>
      <c r="H20" s="105"/>
      <c r="J20" s="117"/>
    </row>
    <row r="21" spans="2:10" x14ac:dyDescent="0.3">
      <c r="B21" s="211" t="s">
        <v>445</v>
      </c>
      <c r="C21" s="211" t="s">
        <v>405</v>
      </c>
      <c r="D21" s="105">
        <v>100</v>
      </c>
      <c r="F21" s="211" t="s">
        <v>445</v>
      </c>
      <c r="G21" s="211" t="s">
        <v>405</v>
      </c>
      <c r="H21" s="105"/>
      <c r="J21" s="117"/>
    </row>
    <row r="22" spans="2:10" x14ac:dyDescent="0.3">
      <c r="B22" s="215" t="s">
        <v>445</v>
      </c>
      <c r="C22" s="215" t="s">
        <v>406</v>
      </c>
      <c r="D22" s="159">
        <v>100</v>
      </c>
      <c r="F22" s="215" t="s">
        <v>445</v>
      </c>
      <c r="G22" s="215" t="s">
        <v>406</v>
      </c>
      <c r="H22" s="151"/>
      <c r="J22" s="145"/>
    </row>
    <row r="23" spans="2:10" x14ac:dyDescent="0.3">
      <c r="B23" s="211" t="s">
        <v>445</v>
      </c>
      <c r="C23" s="211" t="s">
        <v>66</v>
      </c>
      <c r="D23" s="105">
        <v>100</v>
      </c>
      <c r="F23" s="211" t="s">
        <v>445</v>
      </c>
      <c r="G23" s="211" t="s">
        <v>66</v>
      </c>
      <c r="H23" s="105"/>
      <c r="J23" s="117"/>
    </row>
    <row r="24" spans="2:10" x14ac:dyDescent="0.3">
      <c r="B24" s="211" t="s">
        <v>445</v>
      </c>
      <c r="C24" s="211" t="s">
        <v>69</v>
      </c>
      <c r="D24" s="105">
        <v>100</v>
      </c>
      <c r="F24" s="211" t="s">
        <v>445</v>
      </c>
      <c r="G24" s="211" t="s">
        <v>69</v>
      </c>
      <c r="H24" s="105"/>
      <c r="J24" s="117"/>
    </row>
    <row r="25" spans="2:10" x14ac:dyDescent="0.3">
      <c r="B25" s="211" t="s">
        <v>445</v>
      </c>
      <c r="C25" s="211" t="s">
        <v>72</v>
      </c>
      <c r="D25" s="105">
        <v>100</v>
      </c>
      <c r="F25" s="211" t="s">
        <v>445</v>
      </c>
      <c r="G25" s="211" t="s">
        <v>72</v>
      </c>
      <c r="H25" s="105"/>
      <c r="J25" s="117"/>
    </row>
    <row r="26" spans="2:10" x14ac:dyDescent="0.3">
      <c r="B26" s="211" t="s">
        <v>445</v>
      </c>
      <c r="C26" s="211" t="s">
        <v>74</v>
      </c>
      <c r="D26" s="105">
        <v>80.000000000000014</v>
      </c>
      <c r="F26" s="211" t="s">
        <v>445</v>
      </c>
      <c r="G26" s="211" t="s">
        <v>74</v>
      </c>
      <c r="H26" s="136"/>
      <c r="J26" s="117"/>
    </row>
    <row r="27" spans="2:10" x14ac:dyDescent="0.3">
      <c r="B27" s="211" t="s">
        <v>445</v>
      </c>
      <c r="C27" s="211" t="s">
        <v>76</v>
      </c>
      <c r="D27" s="105">
        <v>100</v>
      </c>
      <c r="F27" s="211" t="s">
        <v>445</v>
      </c>
      <c r="G27" s="211" t="s">
        <v>76</v>
      </c>
      <c r="H27" s="105"/>
      <c r="J27" s="117"/>
    </row>
    <row r="28" spans="2:10" x14ac:dyDescent="0.3">
      <c r="B28" s="211" t="s">
        <v>445</v>
      </c>
      <c r="C28" s="211" t="s">
        <v>78</v>
      </c>
      <c r="D28" s="105">
        <v>100</v>
      </c>
      <c r="F28" s="211" t="s">
        <v>445</v>
      </c>
      <c r="G28" s="211" t="s">
        <v>78</v>
      </c>
      <c r="H28" s="105"/>
      <c r="J28" s="117"/>
    </row>
    <row r="29" spans="2:10" x14ac:dyDescent="0.3">
      <c r="B29" s="211" t="s">
        <v>445</v>
      </c>
      <c r="C29" s="211" t="s">
        <v>80</v>
      </c>
      <c r="D29" s="105">
        <v>100</v>
      </c>
      <c r="F29" s="211" t="s">
        <v>445</v>
      </c>
      <c r="G29" s="211" t="s">
        <v>80</v>
      </c>
      <c r="H29" s="105"/>
      <c r="J29" s="117"/>
    </row>
    <row r="30" spans="2:10" x14ac:dyDescent="0.3">
      <c r="B30" s="211" t="s">
        <v>445</v>
      </c>
      <c r="C30" s="211" t="s">
        <v>82</v>
      </c>
      <c r="D30" s="105">
        <v>80.000000000000014</v>
      </c>
      <c r="F30" s="211" t="s">
        <v>445</v>
      </c>
      <c r="G30" s="211" t="s">
        <v>82</v>
      </c>
      <c r="H30" s="105"/>
      <c r="J30" s="117"/>
    </row>
    <row r="31" spans="2:10" x14ac:dyDescent="0.3">
      <c r="B31" s="211" t="s">
        <v>445</v>
      </c>
      <c r="C31" s="211" t="s">
        <v>338</v>
      </c>
      <c r="D31" s="105">
        <v>100</v>
      </c>
      <c r="F31" s="211" t="s">
        <v>445</v>
      </c>
      <c r="G31" s="211" t="s">
        <v>338</v>
      </c>
      <c r="H31" s="105"/>
      <c r="J31" s="117"/>
    </row>
    <row r="32" spans="2:10" x14ac:dyDescent="0.3">
      <c r="B32" s="211" t="s">
        <v>445</v>
      </c>
      <c r="C32" s="211" t="s">
        <v>375</v>
      </c>
      <c r="D32" s="105">
        <v>100</v>
      </c>
      <c r="F32" s="211" t="s">
        <v>445</v>
      </c>
      <c r="G32" s="211" t="s">
        <v>375</v>
      </c>
      <c r="H32" s="105"/>
      <c r="J32" s="117"/>
    </row>
    <row r="33" spans="2:10" x14ac:dyDescent="0.3">
      <c r="B33" s="211" t="s">
        <v>445</v>
      </c>
      <c r="C33" s="211" t="s">
        <v>84</v>
      </c>
      <c r="D33" s="105">
        <v>80.000000000000014</v>
      </c>
      <c r="F33" s="211" t="s">
        <v>445</v>
      </c>
      <c r="G33" s="211" t="s">
        <v>84</v>
      </c>
      <c r="H33" s="105"/>
      <c r="J33" s="117"/>
    </row>
    <row r="34" spans="2:10" x14ac:dyDescent="0.3">
      <c r="B34" s="211" t="s">
        <v>445</v>
      </c>
      <c r="C34" s="211" t="s">
        <v>587</v>
      </c>
      <c r="D34" s="105">
        <v>100</v>
      </c>
      <c r="F34" s="211" t="s">
        <v>445</v>
      </c>
      <c r="G34" s="211" t="s">
        <v>587</v>
      </c>
      <c r="H34" s="105"/>
      <c r="J34" s="117"/>
    </row>
    <row r="35" spans="2:10" x14ac:dyDescent="0.3">
      <c r="B35" s="211" t="s">
        <v>445</v>
      </c>
      <c r="C35" s="211" t="s">
        <v>340</v>
      </c>
      <c r="D35" s="105">
        <v>100</v>
      </c>
      <c r="F35" s="211" t="s">
        <v>445</v>
      </c>
      <c r="G35" s="211" t="s">
        <v>340</v>
      </c>
      <c r="H35" s="105"/>
      <c r="J35" s="117"/>
    </row>
    <row r="36" spans="2:10" x14ac:dyDescent="0.3">
      <c r="B36" s="215" t="s">
        <v>445</v>
      </c>
      <c r="C36" s="215" t="s">
        <v>378</v>
      </c>
      <c r="D36" s="159">
        <v>100</v>
      </c>
      <c r="F36" s="215" t="s">
        <v>445</v>
      </c>
      <c r="G36" s="215" t="s">
        <v>378</v>
      </c>
      <c r="H36" s="151"/>
      <c r="J36" s="145"/>
    </row>
    <row r="37" spans="2:10" x14ac:dyDescent="0.3">
      <c r="B37" s="211" t="s">
        <v>541</v>
      </c>
      <c r="C37" s="211" t="s">
        <v>47</v>
      </c>
      <c r="D37" s="105">
        <v>50</v>
      </c>
      <c r="F37" s="211" t="s">
        <v>541</v>
      </c>
      <c r="G37" s="211" t="s">
        <v>47</v>
      </c>
      <c r="H37" s="105"/>
      <c r="J37" s="117"/>
    </row>
    <row r="38" spans="2:10" x14ac:dyDescent="0.3">
      <c r="B38" s="211" t="s">
        <v>541</v>
      </c>
      <c r="C38" s="211" t="s">
        <v>561</v>
      </c>
      <c r="D38" s="105">
        <v>50</v>
      </c>
      <c r="F38" s="211" t="s">
        <v>541</v>
      </c>
      <c r="G38" s="211" t="s">
        <v>561</v>
      </c>
      <c r="H38" s="105"/>
      <c r="J38" s="117"/>
    </row>
    <row r="39" spans="2:10" x14ac:dyDescent="0.3">
      <c r="B39" s="211" t="s">
        <v>541</v>
      </c>
      <c r="C39" s="211" t="s">
        <v>214</v>
      </c>
      <c r="D39" s="105">
        <v>50</v>
      </c>
      <c r="F39" s="211" t="s">
        <v>541</v>
      </c>
      <c r="G39" s="211" t="s">
        <v>214</v>
      </c>
      <c r="H39" s="105"/>
      <c r="J39" s="117"/>
    </row>
    <row r="40" spans="2:10" x14ac:dyDescent="0.3">
      <c r="B40" s="211" t="s">
        <v>541</v>
      </c>
      <c r="C40" s="211" t="s">
        <v>49</v>
      </c>
      <c r="D40" s="105">
        <v>40.000000000000007</v>
      </c>
      <c r="F40" s="211" t="s">
        <v>541</v>
      </c>
      <c r="G40" s="211" t="s">
        <v>49</v>
      </c>
      <c r="H40" s="105"/>
      <c r="J40" s="117"/>
    </row>
    <row r="41" spans="2:10" x14ac:dyDescent="0.3">
      <c r="B41" s="211" t="s">
        <v>541</v>
      </c>
      <c r="C41" s="211" t="s">
        <v>562</v>
      </c>
      <c r="D41" s="105">
        <v>40.000000000000007</v>
      </c>
      <c r="F41" s="211" t="s">
        <v>541</v>
      </c>
      <c r="G41" s="211" t="s">
        <v>562</v>
      </c>
      <c r="H41" s="105"/>
      <c r="J41" s="117"/>
    </row>
    <row r="42" spans="2:10" x14ac:dyDescent="0.3">
      <c r="B42" s="211" t="s">
        <v>541</v>
      </c>
      <c r="C42" s="211" t="s">
        <v>216</v>
      </c>
      <c r="D42" s="105">
        <v>40.000000000000007</v>
      </c>
      <c r="F42" s="211" t="s">
        <v>541</v>
      </c>
      <c r="G42" s="211" t="s">
        <v>216</v>
      </c>
      <c r="H42" s="105"/>
      <c r="J42" s="117"/>
    </row>
    <row r="43" spans="2:10" x14ac:dyDescent="0.3">
      <c r="B43" s="211" t="s">
        <v>541</v>
      </c>
      <c r="C43" s="211" t="s">
        <v>50</v>
      </c>
      <c r="D43" s="105">
        <v>50</v>
      </c>
      <c r="F43" s="211" t="s">
        <v>541</v>
      </c>
      <c r="G43" s="211" t="s">
        <v>50</v>
      </c>
      <c r="H43" s="105"/>
      <c r="J43" s="117"/>
    </row>
    <row r="44" spans="2:10" x14ac:dyDescent="0.3">
      <c r="B44" s="211" t="s">
        <v>541</v>
      </c>
      <c r="C44" s="211" t="s">
        <v>563</v>
      </c>
      <c r="D44" s="105">
        <v>50</v>
      </c>
      <c r="F44" s="211" t="s">
        <v>541</v>
      </c>
      <c r="G44" s="211" t="s">
        <v>563</v>
      </c>
      <c r="H44" s="105"/>
      <c r="J44" s="117"/>
    </row>
    <row r="45" spans="2:10" x14ac:dyDescent="0.3">
      <c r="B45" s="211" t="s">
        <v>541</v>
      </c>
      <c r="C45" s="211" t="s">
        <v>218</v>
      </c>
      <c r="D45" s="105">
        <v>50</v>
      </c>
      <c r="F45" s="211" t="s">
        <v>541</v>
      </c>
      <c r="G45" s="211" t="s">
        <v>218</v>
      </c>
      <c r="H45" s="105"/>
      <c r="J45" s="117"/>
    </row>
    <row r="46" spans="2:10" x14ac:dyDescent="0.3">
      <c r="B46" s="211" t="s">
        <v>541</v>
      </c>
      <c r="C46" s="211" t="s">
        <v>52</v>
      </c>
      <c r="D46" s="105">
        <v>50</v>
      </c>
      <c r="F46" s="211" t="s">
        <v>541</v>
      </c>
      <c r="G46" s="211" t="s">
        <v>52</v>
      </c>
      <c r="H46" s="105"/>
      <c r="J46" s="117"/>
    </row>
    <row r="47" spans="2:10" x14ac:dyDescent="0.3">
      <c r="B47" s="211" t="s">
        <v>541</v>
      </c>
      <c r="C47" s="211" t="s">
        <v>564</v>
      </c>
      <c r="D47" s="105">
        <v>50</v>
      </c>
      <c r="F47" s="211" t="s">
        <v>541</v>
      </c>
      <c r="G47" s="211" t="s">
        <v>564</v>
      </c>
      <c r="H47" s="105"/>
      <c r="J47" s="117"/>
    </row>
    <row r="48" spans="2:10" x14ac:dyDescent="0.3">
      <c r="B48" s="211" t="s">
        <v>541</v>
      </c>
      <c r="C48" s="211" t="s">
        <v>220</v>
      </c>
      <c r="D48" s="105">
        <v>50</v>
      </c>
      <c r="F48" s="211" t="s">
        <v>541</v>
      </c>
      <c r="G48" s="211" t="s">
        <v>220</v>
      </c>
      <c r="H48" s="105"/>
      <c r="J48" s="117"/>
    </row>
    <row r="49" spans="2:10" x14ac:dyDescent="0.3">
      <c r="B49" s="211" t="s">
        <v>541</v>
      </c>
      <c r="C49" s="211" t="s">
        <v>55</v>
      </c>
      <c r="D49" s="105">
        <v>50</v>
      </c>
      <c r="F49" s="211" t="s">
        <v>541</v>
      </c>
      <c r="G49" s="211" t="s">
        <v>55</v>
      </c>
      <c r="H49" s="105"/>
      <c r="J49" s="117"/>
    </row>
    <row r="50" spans="2:10" x14ac:dyDescent="0.3">
      <c r="B50" s="211" t="s">
        <v>541</v>
      </c>
      <c r="C50" s="211" t="s">
        <v>565</v>
      </c>
      <c r="D50" s="105">
        <v>50</v>
      </c>
      <c r="F50" s="211" t="s">
        <v>541</v>
      </c>
      <c r="G50" s="211" t="s">
        <v>565</v>
      </c>
      <c r="H50" s="105"/>
      <c r="J50" s="117"/>
    </row>
    <row r="51" spans="2:10" x14ac:dyDescent="0.3">
      <c r="B51" s="211" t="s">
        <v>541</v>
      </c>
      <c r="C51" s="211" t="s">
        <v>222</v>
      </c>
      <c r="D51" s="105">
        <v>50</v>
      </c>
      <c r="F51" s="211" t="s">
        <v>541</v>
      </c>
      <c r="G51" s="211" t="s">
        <v>222</v>
      </c>
      <c r="H51" s="105"/>
      <c r="J51" s="117"/>
    </row>
    <row r="52" spans="2:10" x14ac:dyDescent="0.3">
      <c r="B52" s="211" t="s">
        <v>541</v>
      </c>
      <c r="C52" s="211" t="s">
        <v>56</v>
      </c>
      <c r="D52" s="105">
        <v>40.000000000000007</v>
      </c>
      <c r="F52" s="211" t="s">
        <v>541</v>
      </c>
      <c r="G52" s="211" t="s">
        <v>56</v>
      </c>
      <c r="H52" s="105"/>
      <c r="J52" s="117"/>
    </row>
    <row r="53" spans="2:10" x14ac:dyDescent="0.3">
      <c r="B53" s="211" t="s">
        <v>541</v>
      </c>
      <c r="C53" s="211" t="s">
        <v>566</v>
      </c>
      <c r="D53" s="105">
        <v>40.000000000000007</v>
      </c>
      <c r="F53" s="211" t="s">
        <v>541</v>
      </c>
      <c r="G53" s="211" t="s">
        <v>566</v>
      </c>
      <c r="H53" s="105"/>
      <c r="J53" s="117"/>
    </row>
    <row r="54" spans="2:10" x14ac:dyDescent="0.3">
      <c r="B54" s="211" t="s">
        <v>541</v>
      </c>
      <c r="C54" s="211" t="s">
        <v>224</v>
      </c>
      <c r="D54" s="105">
        <v>40.000000000000007</v>
      </c>
      <c r="F54" s="211" t="s">
        <v>541</v>
      </c>
      <c r="G54" s="211" t="s">
        <v>224</v>
      </c>
      <c r="H54" s="105"/>
      <c r="J54" s="117"/>
    </row>
    <row r="55" spans="2:10" x14ac:dyDescent="0.3">
      <c r="B55" s="211" t="s">
        <v>541</v>
      </c>
      <c r="C55" s="211" t="s">
        <v>58</v>
      </c>
      <c r="D55" s="105">
        <v>50</v>
      </c>
      <c r="F55" s="211" t="s">
        <v>541</v>
      </c>
      <c r="G55" s="211" t="s">
        <v>58</v>
      </c>
      <c r="H55" s="105"/>
      <c r="J55" s="117"/>
    </row>
    <row r="56" spans="2:10" x14ac:dyDescent="0.3">
      <c r="B56" s="211" t="s">
        <v>541</v>
      </c>
      <c r="C56" s="211" t="s">
        <v>567</v>
      </c>
      <c r="D56" s="105">
        <v>50</v>
      </c>
      <c r="F56" s="211" t="s">
        <v>541</v>
      </c>
      <c r="G56" s="211" t="s">
        <v>567</v>
      </c>
      <c r="H56" s="105"/>
      <c r="J56" s="117"/>
    </row>
    <row r="57" spans="2:10" x14ac:dyDescent="0.3">
      <c r="B57" s="211" t="s">
        <v>541</v>
      </c>
      <c r="C57" s="211" t="s">
        <v>226</v>
      </c>
      <c r="D57" s="105">
        <v>50</v>
      </c>
      <c r="F57" s="211" t="s">
        <v>541</v>
      </c>
      <c r="G57" s="211" t="s">
        <v>226</v>
      </c>
      <c r="H57" s="105"/>
      <c r="J57" s="117"/>
    </row>
    <row r="58" spans="2:10" x14ac:dyDescent="0.3">
      <c r="B58" s="211" t="s">
        <v>541</v>
      </c>
      <c r="C58" s="211" t="s">
        <v>59</v>
      </c>
      <c r="D58" s="105">
        <v>50</v>
      </c>
      <c r="F58" s="211" t="s">
        <v>541</v>
      </c>
      <c r="G58" s="211" t="s">
        <v>59</v>
      </c>
      <c r="H58" s="105"/>
      <c r="J58" s="117"/>
    </row>
    <row r="59" spans="2:10" x14ac:dyDescent="0.3">
      <c r="B59" s="211" t="s">
        <v>541</v>
      </c>
      <c r="C59" s="211" t="s">
        <v>568</v>
      </c>
      <c r="D59" s="105">
        <v>50</v>
      </c>
      <c r="F59" s="211" t="s">
        <v>541</v>
      </c>
      <c r="G59" s="211" t="s">
        <v>568</v>
      </c>
      <c r="H59" s="105"/>
      <c r="J59" s="117"/>
    </row>
    <row r="60" spans="2:10" x14ac:dyDescent="0.3">
      <c r="B60" s="211" t="s">
        <v>541</v>
      </c>
      <c r="C60" s="211" t="s">
        <v>228</v>
      </c>
      <c r="D60" s="105">
        <v>50</v>
      </c>
      <c r="F60" s="211" t="s">
        <v>541</v>
      </c>
      <c r="G60" s="211" t="s">
        <v>228</v>
      </c>
      <c r="H60" s="105"/>
      <c r="J60" s="117"/>
    </row>
    <row r="61" spans="2:10" x14ac:dyDescent="0.3">
      <c r="B61" s="211" t="s">
        <v>541</v>
      </c>
      <c r="C61" s="211" t="s">
        <v>60</v>
      </c>
      <c r="D61" s="105">
        <v>50</v>
      </c>
      <c r="F61" s="211" t="s">
        <v>541</v>
      </c>
      <c r="G61" s="211" t="s">
        <v>60</v>
      </c>
      <c r="H61" s="105"/>
      <c r="J61" s="117"/>
    </row>
    <row r="62" spans="2:10" x14ac:dyDescent="0.3">
      <c r="B62" s="211" t="s">
        <v>541</v>
      </c>
      <c r="C62" s="211" t="s">
        <v>569</v>
      </c>
      <c r="D62" s="105">
        <v>50</v>
      </c>
      <c r="F62" s="211" t="s">
        <v>541</v>
      </c>
      <c r="G62" s="211" t="s">
        <v>569</v>
      </c>
      <c r="H62" s="105"/>
      <c r="J62" s="117"/>
    </row>
    <row r="63" spans="2:10" x14ac:dyDescent="0.3">
      <c r="B63" s="211" t="s">
        <v>541</v>
      </c>
      <c r="C63" s="211" t="s">
        <v>230</v>
      </c>
      <c r="D63" s="105">
        <v>50</v>
      </c>
      <c r="F63" s="211" t="s">
        <v>541</v>
      </c>
      <c r="G63" s="211" t="s">
        <v>230</v>
      </c>
      <c r="H63" s="105"/>
      <c r="J63" s="117"/>
    </row>
    <row r="64" spans="2:10" x14ac:dyDescent="0.3">
      <c r="B64" s="211" t="s">
        <v>541</v>
      </c>
      <c r="C64" s="211" t="s">
        <v>583</v>
      </c>
      <c r="D64" s="105">
        <v>50</v>
      </c>
      <c r="F64" s="211" t="s">
        <v>541</v>
      </c>
      <c r="G64" s="211" t="s">
        <v>583</v>
      </c>
      <c r="H64" s="105"/>
      <c r="J64" s="117"/>
    </row>
    <row r="65" spans="2:10" x14ac:dyDescent="0.3">
      <c r="B65" s="211" t="s">
        <v>541</v>
      </c>
      <c r="C65" s="211" t="s">
        <v>586</v>
      </c>
      <c r="D65" s="105">
        <v>50</v>
      </c>
      <c r="F65" s="211" t="s">
        <v>541</v>
      </c>
      <c r="G65" s="211" t="s">
        <v>586</v>
      </c>
      <c r="H65" s="105"/>
      <c r="J65" s="117"/>
    </row>
    <row r="66" spans="2:10" x14ac:dyDescent="0.3">
      <c r="B66" s="211" t="s">
        <v>541</v>
      </c>
      <c r="C66" s="211" t="s">
        <v>584</v>
      </c>
      <c r="D66" s="105">
        <v>50</v>
      </c>
      <c r="F66" s="211" t="s">
        <v>541</v>
      </c>
      <c r="G66" s="211" t="s">
        <v>584</v>
      </c>
      <c r="H66" s="105"/>
      <c r="J66" s="117"/>
    </row>
    <row r="67" spans="2:10" x14ac:dyDescent="0.3">
      <c r="B67" s="211" t="s">
        <v>541</v>
      </c>
      <c r="C67" s="211" t="s">
        <v>63</v>
      </c>
      <c r="D67" s="105">
        <v>50</v>
      </c>
      <c r="F67" s="211" t="s">
        <v>541</v>
      </c>
      <c r="G67" s="211" t="s">
        <v>63</v>
      </c>
      <c r="H67" s="105"/>
      <c r="J67" s="117"/>
    </row>
    <row r="68" spans="2:10" x14ac:dyDescent="0.3">
      <c r="B68" s="211" t="s">
        <v>541</v>
      </c>
      <c r="C68" s="211" t="s">
        <v>570</v>
      </c>
      <c r="D68" s="105">
        <v>50</v>
      </c>
      <c r="F68" s="211" t="s">
        <v>541</v>
      </c>
      <c r="G68" s="211" t="s">
        <v>570</v>
      </c>
      <c r="H68" s="105"/>
      <c r="J68" s="117"/>
    </row>
    <row r="69" spans="2:10" x14ac:dyDescent="0.3">
      <c r="B69" s="211" t="s">
        <v>541</v>
      </c>
      <c r="C69" s="211" t="s">
        <v>232</v>
      </c>
      <c r="D69" s="105">
        <v>50</v>
      </c>
      <c r="F69" s="211" t="s">
        <v>541</v>
      </c>
      <c r="G69" s="211" t="s">
        <v>232</v>
      </c>
      <c r="H69" s="105"/>
      <c r="J69" s="117"/>
    </row>
    <row r="70" spans="2:10" x14ac:dyDescent="0.3">
      <c r="B70" s="211" t="s">
        <v>541</v>
      </c>
      <c r="C70" s="211" t="s">
        <v>64</v>
      </c>
      <c r="D70" s="105">
        <v>50</v>
      </c>
      <c r="F70" s="211" t="s">
        <v>541</v>
      </c>
      <c r="G70" s="211" t="s">
        <v>64</v>
      </c>
      <c r="H70" s="105"/>
      <c r="J70" s="117"/>
    </row>
    <row r="71" spans="2:10" x14ac:dyDescent="0.3">
      <c r="B71" s="211" t="s">
        <v>541</v>
      </c>
      <c r="C71" s="211" t="s">
        <v>571</v>
      </c>
      <c r="D71" s="105">
        <v>50</v>
      </c>
      <c r="F71" s="211" t="s">
        <v>541</v>
      </c>
      <c r="G71" s="211" t="s">
        <v>571</v>
      </c>
      <c r="H71" s="105"/>
      <c r="J71" s="117"/>
    </row>
    <row r="72" spans="2:10" x14ac:dyDescent="0.3">
      <c r="B72" s="215" t="s">
        <v>541</v>
      </c>
      <c r="C72" s="215" t="s">
        <v>234</v>
      </c>
      <c r="D72" s="159">
        <v>50</v>
      </c>
      <c r="F72" s="215" t="s">
        <v>541</v>
      </c>
      <c r="G72" s="215" t="s">
        <v>234</v>
      </c>
      <c r="H72" s="151"/>
      <c r="J72" s="145"/>
    </row>
    <row r="73" spans="2:10" x14ac:dyDescent="0.3">
      <c r="B73" s="211" t="s">
        <v>452</v>
      </c>
      <c r="C73" s="211" t="s">
        <v>132</v>
      </c>
      <c r="D73" s="105">
        <v>50</v>
      </c>
      <c r="F73" s="211" t="s">
        <v>452</v>
      </c>
      <c r="G73" s="211" t="s">
        <v>132</v>
      </c>
      <c r="H73" s="105"/>
      <c r="J73" s="117"/>
    </row>
    <row r="74" spans="2:10" x14ac:dyDescent="0.3">
      <c r="B74" s="211" t="s">
        <v>452</v>
      </c>
      <c r="C74" s="211" t="s">
        <v>236</v>
      </c>
      <c r="D74" s="105">
        <v>50</v>
      </c>
      <c r="F74" s="211" t="s">
        <v>452</v>
      </c>
      <c r="G74" s="211" t="s">
        <v>236</v>
      </c>
      <c r="H74" s="105"/>
      <c r="J74" s="117"/>
    </row>
    <row r="75" spans="2:10" x14ac:dyDescent="0.3">
      <c r="B75" s="211" t="s">
        <v>452</v>
      </c>
      <c r="C75" s="211" t="s">
        <v>134</v>
      </c>
      <c r="D75" s="105">
        <v>50</v>
      </c>
      <c r="F75" s="211" t="s">
        <v>452</v>
      </c>
      <c r="G75" s="211" t="s">
        <v>134</v>
      </c>
      <c r="H75" s="114"/>
      <c r="J75" s="117"/>
    </row>
    <row r="76" spans="2:10" x14ac:dyDescent="0.3">
      <c r="B76" s="211" t="s">
        <v>452</v>
      </c>
      <c r="C76" s="211" t="s">
        <v>238</v>
      </c>
      <c r="D76" s="105">
        <v>50</v>
      </c>
      <c r="F76" s="211" t="s">
        <v>452</v>
      </c>
      <c r="G76" s="211" t="s">
        <v>238</v>
      </c>
      <c r="H76" s="114"/>
      <c r="J76" s="117"/>
    </row>
    <row r="77" spans="2:10" x14ac:dyDescent="0.3">
      <c r="B77" s="211" t="s">
        <v>452</v>
      </c>
      <c r="C77" s="211" t="s">
        <v>136</v>
      </c>
      <c r="D77" s="105">
        <v>50</v>
      </c>
      <c r="F77" s="211" t="s">
        <v>452</v>
      </c>
      <c r="G77" s="211" t="s">
        <v>136</v>
      </c>
      <c r="H77" s="105"/>
      <c r="J77" s="117"/>
    </row>
    <row r="78" spans="2:10" x14ac:dyDescent="0.3">
      <c r="B78" s="211" t="s">
        <v>452</v>
      </c>
      <c r="C78" s="211" t="s">
        <v>240</v>
      </c>
      <c r="D78" s="105">
        <v>50</v>
      </c>
      <c r="F78" s="211" t="s">
        <v>452</v>
      </c>
      <c r="G78" s="211" t="s">
        <v>240</v>
      </c>
      <c r="H78" s="105"/>
      <c r="J78" s="117"/>
    </row>
    <row r="79" spans="2:10" x14ac:dyDescent="0.3">
      <c r="B79" s="211" t="s">
        <v>452</v>
      </c>
      <c r="C79" s="211" t="s">
        <v>138</v>
      </c>
      <c r="D79" s="105">
        <v>40.000000000000007</v>
      </c>
      <c r="F79" s="211" t="s">
        <v>452</v>
      </c>
      <c r="G79" s="211" t="s">
        <v>138</v>
      </c>
      <c r="H79" s="105"/>
      <c r="J79" s="117"/>
    </row>
    <row r="80" spans="2:10" x14ac:dyDescent="0.3">
      <c r="B80" s="211" t="s">
        <v>452</v>
      </c>
      <c r="C80" s="211" t="s">
        <v>242</v>
      </c>
      <c r="D80" s="105">
        <v>40.000000000000007</v>
      </c>
      <c r="F80" s="211" t="s">
        <v>452</v>
      </c>
      <c r="G80" s="211" t="s">
        <v>242</v>
      </c>
      <c r="H80" s="105"/>
      <c r="J80" s="117"/>
    </row>
    <row r="81" spans="2:10" x14ac:dyDescent="0.3">
      <c r="B81" s="211" t="s">
        <v>452</v>
      </c>
      <c r="C81" s="211" t="s">
        <v>140</v>
      </c>
      <c r="D81" s="105">
        <v>50</v>
      </c>
      <c r="F81" s="211" t="s">
        <v>452</v>
      </c>
      <c r="G81" s="211" t="s">
        <v>140</v>
      </c>
      <c r="H81" s="105"/>
      <c r="J81" s="117"/>
    </row>
    <row r="82" spans="2:10" x14ac:dyDescent="0.3">
      <c r="B82" s="211" t="s">
        <v>452</v>
      </c>
      <c r="C82" s="211" t="s">
        <v>244</v>
      </c>
      <c r="D82" s="105">
        <v>50</v>
      </c>
      <c r="F82" s="211" t="s">
        <v>452</v>
      </c>
      <c r="G82" s="211" t="s">
        <v>244</v>
      </c>
      <c r="H82" s="105"/>
      <c r="J82" s="117"/>
    </row>
    <row r="83" spans="2:10" x14ac:dyDescent="0.3">
      <c r="B83" s="211" t="s">
        <v>452</v>
      </c>
      <c r="C83" s="211" t="s">
        <v>142</v>
      </c>
      <c r="D83" s="105">
        <v>50</v>
      </c>
      <c r="F83" s="211" t="s">
        <v>452</v>
      </c>
      <c r="G83" s="211" t="s">
        <v>142</v>
      </c>
      <c r="H83" s="105"/>
      <c r="J83" s="117"/>
    </row>
    <row r="84" spans="2:10" x14ac:dyDescent="0.3">
      <c r="B84" s="211" t="s">
        <v>452</v>
      </c>
      <c r="C84" s="211" t="s">
        <v>246</v>
      </c>
      <c r="D84" s="105">
        <v>50</v>
      </c>
      <c r="F84" s="211" t="s">
        <v>452</v>
      </c>
      <c r="G84" s="211" t="s">
        <v>246</v>
      </c>
      <c r="H84" s="105"/>
      <c r="J84" s="117"/>
    </row>
    <row r="85" spans="2:10" x14ac:dyDescent="0.3">
      <c r="B85" s="211" t="s">
        <v>452</v>
      </c>
      <c r="C85" s="211" t="s">
        <v>144</v>
      </c>
      <c r="D85" s="105">
        <v>50</v>
      </c>
      <c r="F85" s="211" t="s">
        <v>452</v>
      </c>
      <c r="G85" s="211" t="s">
        <v>144</v>
      </c>
      <c r="H85" s="105"/>
      <c r="J85" s="117"/>
    </row>
    <row r="86" spans="2:10" x14ac:dyDescent="0.3">
      <c r="B86" s="211" t="s">
        <v>452</v>
      </c>
      <c r="C86" s="211" t="s">
        <v>248</v>
      </c>
      <c r="D86" s="105">
        <v>50</v>
      </c>
      <c r="F86" s="211" t="s">
        <v>452</v>
      </c>
      <c r="G86" s="211" t="s">
        <v>248</v>
      </c>
      <c r="H86" s="105"/>
      <c r="J86" s="117"/>
    </row>
    <row r="87" spans="2:10" x14ac:dyDescent="0.3">
      <c r="B87" s="211" t="s">
        <v>452</v>
      </c>
      <c r="C87" s="211" t="s">
        <v>146</v>
      </c>
      <c r="D87" s="105">
        <v>40.000000000000007</v>
      </c>
      <c r="F87" s="211" t="s">
        <v>452</v>
      </c>
      <c r="G87" s="211" t="s">
        <v>146</v>
      </c>
      <c r="H87" s="105"/>
      <c r="J87" s="117"/>
    </row>
    <row r="88" spans="2:10" x14ac:dyDescent="0.3">
      <c r="B88" s="211" t="s">
        <v>452</v>
      </c>
      <c r="C88" s="211" t="s">
        <v>250</v>
      </c>
      <c r="D88" s="105">
        <v>40.000000000000007</v>
      </c>
      <c r="F88" s="211" t="s">
        <v>452</v>
      </c>
      <c r="G88" s="211" t="s">
        <v>250</v>
      </c>
      <c r="H88" s="105"/>
      <c r="J88" s="117"/>
    </row>
    <row r="89" spans="2:10" x14ac:dyDescent="0.3">
      <c r="B89" s="211" t="s">
        <v>452</v>
      </c>
      <c r="C89" s="211" t="s">
        <v>149</v>
      </c>
      <c r="D89" s="105">
        <v>50</v>
      </c>
      <c r="F89" s="211" t="s">
        <v>452</v>
      </c>
      <c r="G89" s="211" t="s">
        <v>149</v>
      </c>
      <c r="H89" s="105"/>
      <c r="J89" s="117"/>
    </row>
    <row r="90" spans="2:10" x14ac:dyDescent="0.3">
      <c r="B90" s="211" t="s">
        <v>452</v>
      </c>
      <c r="C90" s="211" t="s">
        <v>297</v>
      </c>
      <c r="D90" s="105">
        <v>50</v>
      </c>
      <c r="F90" s="211" t="s">
        <v>452</v>
      </c>
      <c r="G90" s="211" t="s">
        <v>297</v>
      </c>
      <c r="H90" s="105"/>
      <c r="J90" s="117"/>
    </row>
    <row r="91" spans="2:10" x14ac:dyDescent="0.3">
      <c r="B91" s="211" t="s">
        <v>452</v>
      </c>
      <c r="C91" s="211" t="s">
        <v>151</v>
      </c>
      <c r="D91" s="105">
        <v>50</v>
      </c>
      <c r="F91" s="211" t="s">
        <v>452</v>
      </c>
      <c r="G91" s="211" t="s">
        <v>151</v>
      </c>
      <c r="H91" s="105"/>
      <c r="J91" s="117"/>
    </row>
    <row r="92" spans="2:10" x14ac:dyDescent="0.3">
      <c r="B92" s="211" t="s">
        <v>452</v>
      </c>
      <c r="C92" s="211" t="s">
        <v>298</v>
      </c>
      <c r="D92" s="105">
        <v>50</v>
      </c>
      <c r="F92" s="211" t="s">
        <v>452</v>
      </c>
      <c r="G92" s="211" t="s">
        <v>298</v>
      </c>
      <c r="H92" s="105"/>
      <c r="J92" s="117"/>
    </row>
    <row r="93" spans="2:10" x14ac:dyDescent="0.3">
      <c r="B93" s="211" t="s">
        <v>452</v>
      </c>
      <c r="C93" s="211" t="s">
        <v>148</v>
      </c>
      <c r="D93" s="105">
        <v>50</v>
      </c>
      <c r="F93" s="211" t="s">
        <v>452</v>
      </c>
      <c r="G93" s="211" t="s">
        <v>148</v>
      </c>
      <c r="H93" s="105"/>
      <c r="J93" s="117"/>
    </row>
    <row r="94" spans="2:10" x14ac:dyDescent="0.3">
      <c r="B94" s="211" t="s">
        <v>452</v>
      </c>
      <c r="C94" s="211" t="s">
        <v>252</v>
      </c>
      <c r="D94" s="105">
        <v>50</v>
      </c>
      <c r="F94" s="211" t="s">
        <v>452</v>
      </c>
      <c r="G94" s="211" t="s">
        <v>252</v>
      </c>
      <c r="H94" s="105"/>
      <c r="J94" s="117"/>
    </row>
    <row r="95" spans="2:10" x14ac:dyDescent="0.3">
      <c r="B95" s="211" t="s">
        <v>452</v>
      </c>
      <c r="C95" s="211" t="s">
        <v>592</v>
      </c>
      <c r="D95" s="105">
        <v>50</v>
      </c>
      <c r="F95" s="211" t="s">
        <v>452</v>
      </c>
      <c r="G95" s="211" t="s">
        <v>592</v>
      </c>
      <c r="H95" s="105"/>
      <c r="J95" s="117"/>
    </row>
    <row r="96" spans="2:10" x14ac:dyDescent="0.3">
      <c r="B96" s="211" t="s">
        <v>452</v>
      </c>
      <c r="C96" s="211" t="s">
        <v>593</v>
      </c>
      <c r="D96" s="105">
        <v>50</v>
      </c>
      <c r="F96" s="211" t="s">
        <v>452</v>
      </c>
      <c r="G96" s="211" t="s">
        <v>593</v>
      </c>
      <c r="H96" s="105"/>
      <c r="J96" s="117"/>
    </row>
    <row r="97" spans="2:10" x14ac:dyDescent="0.3">
      <c r="B97" s="211" t="s">
        <v>452</v>
      </c>
      <c r="C97" s="211" t="s">
        <v>152</v>
      </c>
      <c r="D97" s="105">
        <v>50</v>
      </c>
      <c r="F97" s="211" t="s">
        <v>452</v>
      </c>
      <c r="G97" s="211" t="s">
        <v>152</v>
      </c>
      <c r="H97" s="105"/>
      <c r="J97" s="117"/>
    </row>
    <row r="98" spans="2:10" x14ac:dyDescent="0.3">
      <c r="B98" s="211" t="s">
        <v>452</v>
      </c>
      <c r="C98" s="211" t="s">
        <v>299</v>
      </c>
      <c r="D98" s="105">
        <v>50</v>
      </c>
      <c r="F98" s="211" t="s">
        <v>452</v>
      </c>
      <c r="G98" s="211" t="s">
        <v>299</v>
      </c>
      <c r="H98" s="105"/>
      <c r="J98" s="117"/>
    </row>
    <row r="99" spans="2:10" x14ac:dyDescent="0.3">
      <c r="B99" s="211" t="s">
        <v>452</v>
      </c>
      <c r="C99" s="211" t="s">
        <v>154</v>
      </c>
      <c r="D99" s="105">
        <v>50</v>
      </c>
      <c r="F99" s="211" t="s">
        <v>452</v>
      </c>
      <c r="G99" s="211" t="s">
        <v>154</v>
      </c>
      <c r="H99" s="105"/>
      <c r="J99" s="117"/>
    </row>
    <row r="100" spans="2:10" x14ac:dyDescent="0.3">
      <c r="B100" s="215" t="s">
        <v>452</v>
      </c>
      <c r="C100" s="215" t="s">
        <v>300</v>
      </c>
      <c r="D100" s="159">
        <v>50</v>
      </c>
      <c r="F100" s="215" t="s">
        <v>452</v>
      </c>
      <c r="G100" s="215" t="s">
        <v>300</v>
      </c>
      <c r="H100" s="151"/>
      <c r="J100" s="145"/>
    </row>
    <row r="101" spans="2:10" x14ac:dyDescent="0.3">
      <c r="B101" s="211" t="s">
        <v>452</v>
      </c>
      <c r="C101" s="211" t="s">
        <v>345</v>
      </c>
      <c r="D101" s="105">
        <v>100</v>
      </c>
      <c r="F101" s="211" t="s">
        <v>452</v>
      </c>
      <c r="G101" s="211" t="s">
        <v>345</v>
      </c>
      <c r="H101" s="105"/>
      <c r="J101" s="117"/>
    </row>
    <row r="102" spans="2:10" x14ac:dyDescent="0.3">
      <c r="B102" s="211" t="s">
        <v>452</v>
      </c>
      <c r="C102" s="211" t="s">
        <v>427</v>
      </c>
      <c r="D102" s="105">
        <v>100</v>
      </c>
      <c r="F102" s="211" t="s">
        <v>452</v>
      </c>
      <c r="G102" s="211" t="s">
        <v>427</v>
      </c>
      <c r="H102" s="105"/>
      <c r="J102" s="117"/>
    </row>
    <row r="103" spans="2:10" x14ac:dyDescent="0.3">
      <c r="B103" s="211" t="s">
        <v>452</v>
      </c>
      <c r="C103" s="211" t="s">
        <v>346</v>
      </c>
      <c r="D103" s="105">
        <v>100</v>
      </c>
      <c r="F103" s="211" t="s">
        <v>452</v>
      </c>
      <c r="G103" s="211" t="s">
        <v>346</v>
      </c>
      <c r="H103" s="114"/>
      <c r="J103" s="117"/>
    </row>
    <row r="104" spans="2:10" x14ac:dyDescent="0.3">
      <c r="B104" s="211" t="s">
        <v>452</v>
      </c>
      <c r="C104" s="211" t="s">
        <v>428</v>
      </c>
      <c r="D104" s="105">
        <v>100</v>
      </c>
      <c r="F104" s="211" t="s">
        <v>452</v>
      </c>
      <c r="G104" s="211" t="s">
        <v>428</v>
      </c>
      <c r="H104" s="114"/>
      <c r="J104" s="117"/>
    </row>
    <row r="105" spans="2:10" x14ac:dyDescent="0.3">
      <c r="B105" s="211" t="s">
        <v>452</v>
      </c>
      <c r="C105" s="211" t="s">
        <v>347</v>
      </c>
      <c r="D105" s="105">
        <v>100</v>
      </c>
      <c r="F105" s="211" t="s">
        <v>452</v>
      </c>
      <c r="G105" s="211" t="s">
        <v>347</v>
      </c>
      <c r="H105" s="105"/>
      <c r="J105" s="117"/>
    </row>
    <row r="106" spans="2:10" x14ac:dyDescent="0.3">
      <c r="B106" s="211" t="s">
        <v>452</v>
      </c>
      <c r="C106" s="211" t="s">
        <v>429</v>
      </c>
      <c r="D106" s="105">
        <v>100</v>
      </c>
      <c r="F106" s="211" t="s">
        <v>452</v>
      </c>
      <c r="G106" s="211" t="s">
        <v>429</v>
      </c>
      <c r="H106" s="105"/>
      <c r="J106" s="117"/>
    </row>
    <row r="107" spans="2:10" x14ac:dyDescent="0.3">
      <c r="B107" s="211" t="s">
        <v>452</v>
      </c>
      <c r="C107" s="211" t="s">
        <v>348</v>
      </c>
      <c r="D107" s="105">
        <v>80.000000000000014</v>
      </c>
      <c r="F107" s="211" t="s">
        <v>452</v>
      </c>
      <c r="G107" s="211" t="s">
        <v>348</v>
      </c>
      <c r="H107" s="105"/>
      <c r="J107" s="117"/>
    </row>
    <row r="108" spans="2:10" x14ac:dyDescent="0.3">
      <c r="B108" s="211" t="s">
        <v>452</v>
      </c>
      <c r="C108" s="211" t="s">
        <v>430</v>
      </c>
      <c r="D108" s="105">
        <v>80.000000000000014</v>
      </c>
      <c r="F108" s="211" t="s">
        <v>452</v>
      </c>
      <c r="G108" s="211" t="s">
        <v>430</v>
      </c>
      <c r="H108" s="105"/>
      <c r="J108" s="117"/>
    </row>
    <row r="109" spans="2:10" x14ac:dyDescent="0.3">
      <c r="B109" s="211" t="s">
        <v>452</v>
      </c>
      <c r="C109" s="211" t="s">
        <v>349</v>
      </c>
      <c r="D109" s="105">
        <v>100</v>
      </c>
      <c r="F109" s="211" t="s">
        <v>452</v>
      </c>
      <c r="G109" s="211" t="s">
        <v>349</v>
      </c>
      <c r="H109" s="105"/>
      <c r="J109" s="117"/>
    </row>
    <row r="110" spans="2:10" x14ac:dyDescent="0.3">
      <c r="B110" s="211" t="s">
        <v>452</v>
      </c>
      <c r="C110" s="211" t="s">
        <v>431</v>
      </c>
      <c r="D110" s="105">
        <v>100</v>
      </c>
      <c r="F110" s="211" t="s">
        <v>452</v>
      </c>
      <c r="G110" s="211" t="s">
        <v>431</v>
      </c>
      <c r="H110" s="105"/>
      <c r="J110" s="117"/>
    </row>
    <row r="111" spans="2:10" x14ac:dyDescent="0.3">
      <c r="B111" s="211" t="s">
        <v>452</v>
      </c>
      <c r="C111" s="211" t="s">
        <v>350</v>
      </c>
      <c r="D111" s="105">
        <v>100</v>
      </c>
      <c r="F111" s="211" t="s">
        <v>452</v>
      </c>
      <c r="G111" s="211" t="s">
        <v>350</v>
      </c>
      <c r="H111" s="105"/>
      <c r="J111" s="117"/>
    </row>
    <row r="112" spans="2:10" x14ac:dyDescent="0.3">
      <c r="B112" s="211" t="s">
        <v>452</v>
      </c>
      <c r="C112" s="211" t="s">
        <v>432</v>
      </c>
      <c r="D112" s="105">
        <v>100</v>
      </c>
      <c r="F112" s="211" t="s">
        <v>452</v>
      </c>
      <c r="G112" s="211" t="s">
        <v>432</v>
      </c>
      <c r="H112" s="105"/>
      <c r="J112" s="117"/>
    </row>
    <row r="113" spans="2:10" x14ac:dyDescent="0.3">
      <c r="B113" s="211" t="s">
        <v>452</v>
      </c>
      <c r="C113" s="211" t="s">
        <v>351</v>
      </c>
      <c r="D113" s="105">
        <v>100</v>
      </c>
      <c r="F113" s="211" t="s">
        <v>452</v>
      </c>
      <c r="G113" s="211" t="s">
        <v>351</v>
      </c>
      <c r="H113" s="105"/>
      <c r="J113" s="117"/>
    </row>
    <row r="114" spans="2:10" x14ac:dyDescent="0.3">
      <c r="B114" s="211" t="s">
        <v>452</v>
      </c>
      <c r="C114" s="211" t="s">
        <v>433</v>
      </c>
      <c r="D114" s="105">
        <v>100</v>
      </c>
      <c r="F114" s="211" t="s">
        <v>452</v>
      </c>
      <c r="G114" s="211" t="s">
        <v>433</v>
      </c>
      <c r="H114" s="105"/>
      <c r="J114" s="117"/>
    </row>
    <row r="115" spans="2:10" x14ac:dyDescent="0.3">
      <c r="B115" s="211" t="s">
        <v>452</v>
      </c>
      <c r="C115" s="211" t="s">
        <v>353</v>
      </c>
      <c r="D115" s="105">
        <v>80.000000000000014</v>
      </c>
      <c r="F115" s="211" t="s">
        <v>452</v>
      </c>
      <c r="G115" s="211" t="s">
        <v>353</v>
      </c>
      <c r="H115" s="105"/>
      <c r="J115" s="117"/>
    </row>
    <row r="116" spans="2:10" x14ac:dyDescent="0.3">
      <c r="B116" s="211" t="s">
        <v>452</v>
      </c>
      <c r="C116" s="211" t="s">
        <v>436</v>
      </c>
      <c r="D116" s="105">
        <v>80.000000000000014</v>
      </c>
      <c r="F116" s="211" t="s">
        <v>452</v>
      </c>
      <c r="G116" s="211" t="s">
        <v>436</v>
      </c>
      <c r="H116" s="105"/>
      <c r="J116" s="117"/>
    </row>
    <row r="117" spans="2:10" x14ac:dyDescent="0.3">
      <c r="B117" s="211" t="s">
        <v>452</v>
      </c>
      <c r="C117" s="211" t="s">
        <v>352</v>
      </c>
      <c r="D117" s="105">
        <v>100</v>
      </c>
      <c r="F117" s="211" t="s">
        <v>452</v>
      </c>
      <c r="G117" s="211" t="s">
        <v>352</v>
      </c>
      <c r="H117" s="105"/>
      <c r="J117" s="117"/>
    </row>
    <row r="118" spans="2:10" x14ac:dyDescent="0.3">
      <c r="B118" s="211" t="s">
        <v>452</v>
      </c>
      <c r="C118" s="211" t="s">
        <v>434</v>
      </c>
      <c r="D118" s="105">
        <v>100</v>
      </c>
      <c r="F118" s="211" t="s">
        <v>452</v>
      </c>
      <c r="G118" s="211" t="s">
        <v>434</v>
      </c>
      <c r="H118" s="105"/>
      <c r="J118" s="117"/>
    </row>
    <row r="119" spans="2:10" x14ac:dyDescent="0.3">
      <c r="B119" s="211" t="s">
        <v>452</v>
      </c>
      <c r="C119" s="211" t="s">
        <v>408</v>
      </c>
      <c r="D119" s="105">
        <v>100</v>
      </c>
      <c r="F119" s="211" t="s">
        <v>452</v>
      </c>
      <c r="G119" s="211" t="s">
        <v>408</v>
      </c>
      <c r="H119" s="105"/>
      <c r="J119" s="117"/>
    </row>
    <row r="120" spans="2:10" x14ac:dyDescent="0.3">
      <c r="B120" s="211" t="s">
        <v>452</v>
      </c>
      <c r="C120" s="211" t="s">
        <v>435</v>
      </c>
      <c r="D120" s="105">
        <v>100</v>
      </c>
      <c r="F120" s="211" t="s">
        <v>452</v>
      </c>
      <c r="G120" s="211" t="s">
        <v>435</v>
      </c>
      <c r="H120" s="105"/>
      <c r="J120" s="117"/>
    </row>
    <row r="121" spans="2:10" x14ac:dyDescent="0.3">
      <c r="B121" s="211" t="s">
        <v>452</v>
      </c>
      <c r="C121" s="211" t="s">
        <v>410</v>
      </c>
      <c r="D121" s="105">
        <v>100</v>
      </c>
      <c r="F121" s="211" t="s">
        <v>452</v>
      </c>
      <c r="G121" s="211" t="s">
        <v>410</v>
      </c>
      <c r="H121" s="105"/>
      <c r="J121" s="117"/>
    </row>
    <row r="122" spans="2:10" x14ac:dyDescent="0.3">
      <c r="B122" s="211" t="s">
        <v>452</v>
      </c>
      <c r="C122" s="211" t="s">
        <v>437</v>
      </c>
      <c r="D122" s="105">
        <v>100</v>
      </c>
      <c r="F122" s="211" t="s">
        <v>452</v>
      </c>
      <c r="G122" s="211" t="s">
        <v>437</v>
      </c>
      <c r="H122" s="105"/>
      <c r="J122" s="117"/>
    </row>
    <row r="123" spans="2:10" x14ac:dyDescent="0.3">
      <c r="B123" s="211" t="s">
        <v>452</v>
      </c>
      <c r="C123" s="211" t="s">
        <v>354</v>
      </c>
      <c r="D123" s="105">
        <v>100</v>
      </c>
      <c r="F123" s="211" t="s">
        <v>452</v>
      </c>
      <c r="G123" s="211" t="s">
        <v>354</v>
      </c>
      <c r="H123" s="105"/>
      <c r="J123" s="117"/>
    </row>
    <row r="124" spans="2:10" x14ac:dyDescent="0.3">
      <c r="B124" s="211" t="s">
        <v>452</v>
      </c>
      <c r="C124" s="211" t="s">
        <v>438</v>
      </c>
      <c r="D124" s="105">
        <v>100</v>
      </c>
      <c r="F124" s="211" t="s">
        <v>452</v>
      </c>
      <c r="G124" s="211" t="s">
        <v>438</v>
      </c>
      <c r="H124" s="105"/>
      <c r="J124" s="117"/>
    </row>
    <row r="125" spans="2:10" x14ac:dyDescent="0.3">
      <c r="B125" s="211" t="s">
        <v>452</v>
      </c>
      <c r="C125" s="211" t="s">
        <v>594</v>
      </c>
      <c r="D125" s="105">
        <v>100</v>
      </c>
      <c r="F125" s="211" t="s">
        <v>452</v>
      </c>
      <c r="G125" s="211" t="s">
        <v>594</v>
      </c>
      <c r="H125" s="105"/>
      <c r="J125" s="117"/>
    </row>
    <row r="126" spans="2:10" x14ac:dyDescent="0.3">
      <c r="B126" s="211" t="s">
        <v>452</v>
      </c>
      <c r="C126" s="211" t="s">
        <v>589</v>
      </c>
      <c r="D126" s="105">
        <v>100</v>
      </c>
      <c r="F126" s="211" t="s">
        <v>452</v>
      </c>
      <c r="G126" s="211" t="s">
        <v>589</v>
      </c>
      <c r="H126" s="105"/>
      <c r="J126" s="117"/>
    </row>
    <row r="127" spans="2:10" x14ac:dyDescent="0.3">
      <c r="B127" s="211" t="s">
        <v>452</v>
      </c>
      <c r="C127" s="211" t="s">
        <v>407</v>
      </c>
      <c r="D127" s="105">
        <v>100</v>
      </c>
      <c r="F127" s="211" t="s">
        <v>452</v>
      </c>
      <c r="G127" s="211" t="s">
        <v>407</v>
      </c>
      <c r="H127" s="105"/>
      <c r="J127" s="117"/>
    </row>
    <row r="128" spans="2:10" x14ac:dyDescent="0.3">
      <c r="B128" s="211" t="s">
        <v>452</v>
      </c>
      <c r="C128" s="211" t="s">
        <v>439</v>
      </c>
      <c r="D128" s="105">
        <v>100</v>
      </c>
      <c r="F128" s="211" t="s">
        <v>452</v>
      </c>
      <c r="G128" s="211" t="s">
        <v>439</v>
      </c>
      <c r="H128" s="105"/>
      <c r="J128" s="117"/>
    </row>
    <row r="129" spans="2:10" x14ac:dyDescent="0.3">
      <c r="B129" s="211" t="s">
        <v>452</v>
      </c>
      <c r="C129" s="211" t="s">
        <v>409</v>
      </c>
      <c r="D129" s="105">
        <v>100</v>
      </c>
      <c r="F129" s="211" t="s">
        <v>452</v>
      </c>
      <c r="G129" s="211" t="s">
        <v>409</v>
      </c>
      <c r="H129" s="105"/>
      <c r="J129" s="117"/>
    </row>
    <row r="130" spans="2:10" x14ac:dyDescent="0.3">
      <c r="B130" s="215" t="s">
        <v>452</v>
      </c>
      <c r="C130" s="215" t="s">
        <v>440</v>
      </c>
      <c r="D130" s="159">
        <v>100</v>
      </c>
      <c r="F130" s="215" t="s">
        <v>452</v>
      </c>
      <c r="G130" s="215" t="s">
        <v>440</v>
      </c>
      <c r="H130" s="151"/>
      <c r="J130" s="145"/>
    </row>
    <row r="131" spans="2:10" x14ac:dyDescent="0.3">
      <c r="B131" s="211" t="s">
        <v>452</v>
      </c>
      <c r="C131" s="211" t="s">
        <v>155</v>
      </c>
      <c r="D131" s="105">
        <v>100</v>
      </c>
      <c r="F131" s="211" t="s">
        <v>452</v>
      </c>
      <c r="G131" s="211" t="s">
        <v>155</v>
      </c>
      <c r="H131" s="105"/>
      <c r="J131" s="117"/>
    </row>
    <row r="132" spans="2:10" x14ac:dyDescent="0.3">
      <c r="B132" s="211" t="s">
        <v>452</v>
      </c>
      <c r="C132" s="211" t="s">
        <v>253</v>
      </c>
      <c r="D132" s="105">
        <v>100</v>
      </c>
      <c r="F132" s="211" t="s">
        <v>452</v>
      </c>
      <c r="G132" s="211" t="s">
        <v>253</v>
      </c>
      <c r="H132" s="105"/>
      <c r="J132" s="117"/>
    </row>
    <row r="133" spans="2:10" x14ac:dyDescent="0.3">
      <c r="B133" s="211" t="s">
        <v>452</v>
      </c>
      <c r="C133" s="211" t="s">
        <v>157</v>
      </c>
      <c r="D133" s="105">
        <v>100</v>
      </c>
      <c r="F133" s="211" t="s">
        <v>452</v>
      </c>
      <c r="G133" s="211" t="s">
        <v>157</v>
      </c>
      <c r="H133" s="105"/>
      <c r="J133" s="117"/>
    </row>
    <row r="134" spans="2:10" x14ac:dyDescent="0.3">
      <c r="B134" s="211" t="s">
        <v>452</v>
      </c>
      <c r="C134" s="211" t="s">
        <v>255</v>
      </c>
      <c r="D134" s="105">
        <v>100</v>
      </c>
      <c r="F134" s="211" t="s">
        <v>452</v>
      </c>
      <c r="G134" s="211" t="s">
        <v>255</v>
      </c>
      <c r="H134" s="105"/>
      <c r="J134" s="117"/>
    </row>
    <row r="135" spans="2:10" x14ac:dyDescent="0.3">
      <c r="B135" s="211" t="s">
        <v>452</v>
      </c>
      <c r="C135" s="211" t="s">
        <v>159</v>
      </c>
      <c r="D135" s="105">
        <v>100</v>
      </c>
      <c r="F135" s="211" t="s">
        <v>452</v>
      </c>
      <c r="G135" s="211" t="s">
        <v>159</v>
      </c>
      <c r="H135" s="105"/>
      <c r="J135" s="117"/>
    </row>
    <row r="136" spans="2:10" x14ac:dyDescent="0.3">
      <c r="B136" s="211" t="s">
        <v>452</v>
      </c>
      <c r="C136" s="211" t="s">
        <v>257</v>
      </c>
      <c r="D136" s="105">
        <v>100</v>
      </c>
      <c r="F136" s="211" t="s">
        <v>452</v>
      </c>
      <c r="G136" s="211" t="s">
        <v>257</v>
      </c>
      <c r="H136" s="105"/>
      <c r="J136" s="117"/>
    </row>
    <row r="137" spans="2:10" x14ac:dyDescent="0.3">
      <c r="B137" s="211" t="s">
        <v>452</v>
      </c>
      <c r="C137" s="211" t="s">
        <v>161</v>
      </c>
      <c r="D137" s="105">
        <v>80.000000000000014</v>
      </c>
      <c r="F137" s="211" t="s">
        <v>452</v>
      </c>
      <c r="G137" s="211" t="s">
        <v>161</v>
      </c>
      <c r="H137" s="105"/>
      <c r="J137" s="117"/>
    </row>
    <row r="138" spans="2:10" x14ac:dyDescent="0.3">
      <c r="B138" s="211" t="s">
        <v>452</v>
      </c>
      <c r="C138" s="211" t="s">
        <v>259</v>
      </c>
      <c r="D138" s="105">
        <v>80.000000000000014</v>
      </c>
      <c r="F138" s="211" t="s">
        <v>452</v>
      </c>
      <c r="G138" s="211" t="s">
        <v>259</v>
      </c>
      <c r="H138" s="105"/>
      <c r="J138" s="117"/>
    </row>
    <row r="139" spans="2:10" x14ac:dyDescent="0.3">
      <c r="B139" s="211" t="s">
        <v>452</v>
      </c>
      <c r="C139" s="211" t="s">
        <v>162</v>
      </c>
      <c r="D139" s="105">
        <v>100</v>
      </c>
      <c r="F139" s="211" t="s">
        <v>452</v>
      </c>
      <c r="G139" s="211" t="s">
        <v>162</v>
      </c>
      <c r="H139" s="105"/>
      <c r="J139" s="117"/>
    </row>
    <row r="140" spans="2:10" x14ac:dyDescent="0.3">
      <c r="B140" s="211" t="s">
        <v>452</v>
      </c>
      <c r="C140" s="211" t="s">
        <v>260</v>
      </c>
      <c r="D140" s="105">
        <v>100</v>
      </c>
      <c r="F140" s="211" t="s">
        <v>452</v>
      </c>
      <c r="G140" s="211" t="s">
        <v>260</v>
      </c>
      <c r="H140" s="105"/>
      <c r="J140" s="117"/>
    </row>
    <row r="141" spans="2:10" x14ac:dyDescent="0.3">
      <c r="B141" s="211" t="s">
        <v>452</v>
      </c>
      <c r="C141" s="211" t="s">
        <v>164</v>
      </c>
      <c r="D141" s="105">
        <v>100</v>
      </c>
      <c r="F141" s="211" t="s">
        <v>452</v>
      </c>
      <c r="G141" s="211" t="s">
        <v>164</v>
      </c>
      <c r="H141" s="105"/>
      <c r="J141" s="117"/>
    </row>
    <row r="142" spans="2:10" x14ac:dyDescent="0.3">
      <c r="B142" s="211" t="s">
        <v>452</v>
      </c>
      <c r="C142" s="211" t="s">
        <v>262</v>
      </c>
      <c r="D142" s="105">
        <v>100</v>
      </c>
      <c r="F142" s="211" t="s">
        <v>452</v>
      </c>
      <c r="G142" s="211" t="s">
        <v>262</v>
      </c>
      <c r="H142" s="105"/>
      <c r="J142" s="117"/>
    </row>
    <row r="143" spans="2:10" x14ac:dyDescent="0.3">
      <c r="B143" s="211" t="s">
        <v>452</v>
      </c>
      <c r="C143" s="211" t="s">
        <v>166</v>
      </c>
      <c r="D143" s="105">
        <v>100</v>
      </c>
      <c r="F143" s="211" t="s">
        <v>452</v>
      </c>
      <c r="G143" s="211" t="s">
        <v>166</v>
      </c>
      <c r="H143" s="105"/>
      <c r="J143" s="117"/>
    </row>
    <row r="144" spans="2:10" x14ac:dyDescent="0.3">
      <c r="B144" s="211" t="s">
        <v>452</v>
      </c>
      <c r="C144" s="211" t="s">
        <v>264</v>
      </c>
      <c r="D144" s="105">
        <v>100</v>
      </c>
      <c r="F144" s="211" t="s">
        <v>452</v>
      </c>
      <c r="G144" s="211" t="s">
        <v>264</v>
      </c>
      <c r="H144" s="105"/>
      <c r="J144" s="117"/>
    </row>
    <row r="145" spans="2:10" x14ac:dyDescent="0.3">
      <c r="B145" s="211" t="s">
        <v>452</v>
      </c>
      <c r="C145" s="211" t="s">
        <v>168</v>
      </c>
      <c r="D145" s="105">
        <v>80.000000000000014</v>
      </c>
      <c r="F145" s="211" t="s">
        <v>452</v>
      </c>
      <c r="G145" s="211" t="s">
        <v>168</v>
      </c>
      <c r="H145" s="105"/>
      <c r="J145" s="117"/>
    </row>
    <row r="146" spans="2:10" x14ac:dyDescent="0.3">
      <c r="B146" s="211" t="s">
        <v>452</v>
      </c>
      <c r="C146" s="211" t="s">
        <v>266</v>
      </c>
      <c r="D146" s="105">
        <v>80.000000000000014</v>
      </c>
      <c r="F146" s="211" t="s">
        <v>452</v>
      </c>
      <c r="G146" s="211" t="s">
        <v>266</v>
      </c>
      <c r="H146" s="105"/>
      <c r="J146" s="117"/>
    </row>
    <row r="147" spans="2:10" x14ac:dyDescent="0.3">
      <c r="B147" s="211" t="s">
        <v>452</v>
      </c>
      <c r="C147" s="211" t="s">
        <v>344</v>
      </c>
      <c r="D147" s="105">
        <v>100</v>
      </c>
      <c r="F147" s="211" t="s">
        <v>452</v>
      </c>
      <c r="G147" s="211" t="s">
        <v>344</v>
      </c>
      <c r="H147" s="105"/>
      <c r="J147" s="117"/>
    </row>
    <row r="148" spans="2:10" x14ac:dyDescent="0.3">
      <c r="B148" s="211" t="s">
        <v>452</v>
      </c>
      <c r="C148" s="211" t="s">
        <v>421</v>
      </c>
      <c r="D148" s="105">
        <v>100</v>
      </c>
      <c r="F148" s="211" t="s">
        <v>452</v>
      </c>
      <c r="G148" s="211" t="s">
        <v>421</v>
      </c>
      <c r="H148" s="105"/>
      <c r="J148" s="117"/>
    </row>
    <row r="149" spans="2:10" x14ac:dyDescent="0.3">
      <c r="B149" s="211" t="s">
        <v>452</v>
      </c>
      <c r="C149" s="211" t="s">
        <v>411</v>
      </c>
      <c r="D149" s="105">
        <v>100</v>
      </c>
      <c r="F149" s="211" t="s">
        <v>452</v>
      </c>
      <c r="G149" s="211" t="s">
        <v>411</v>
      </c>
      <c r="H149" s="105"/>
      <c r="J149" s="117"/>
    </row>
    <row r="150" spans="2:10" x14ac:dyDescent="0.3">
      <c r="B150" s="211" t="s">
        <v>452</v>
      </c>
      <c r="C150" s="211" t="s">
        <v>422</v>
      </c>
      <c r="D150" s="105">
        <v>100</v>
      </c>
      <c r="F150" s="211" t="s">
        <v>452</v>
      </c>
      <c r="G150" s="211" t="s">
        <v>422</v>
      </c>
      <c r="H150" s="105"/>
      <c r="J150" s="117"/>
    </row>
    <row r="151" spans="2:10" x14ac:dyDescent="0.3">
      <c r="B151" s="211" t="s">
        <v>452</v>
      </c>
      <c r="C151" s="211" t="s">
        <v>412</v>
      </c>
      <c r="D151" s="105">
        <v>100</v>
      </c>
      <c r="F151" s="211" t="s">
        <v>452</v>
      </c>
      <c r="G151" s="211" t="s">
        <v>412</v>
      </c>
      <c r="H151" s="105"/>
      <c r="J151" s="117"/>
    </row>
    <row r="152" spans="2:10" x14ac:dyDescent="0.3">
      <c r="B152" s="211" t="s">
        <v>452</v>
      </c>
      <c r="C152" s="211" t="s">
        <v>423</v>
      </c>
      <c r="D152" s="105">
        <v>100</v>
      </c>
      <c r="F152" s="211" t="s">
        <v>452</v>
      </c>
      <c r="G152" s="211" t="s">
        <v>423</v>
      </c>
      <c r="H152" s="105"/>
      <c r="J152" s="117"/>
    </row>
    <row r="153" spans="2:10" x14ac:dyDescent="0.3">
      <c r="B153" s="211" t="s">
        <v>452</v>
      </c>
      <c r="C153" s="211" t="s">
        <v>170</v>
      </c>
      <c r="D153" s="105">
        <v>100</v>
      </c>
      <c r="F153" s="211" t="s">
        <v>452</v>
      </c>
      <c r="G153" s="211" t="s">
        <v>170</v>
      </c>
      <c r="H153" s="105"/>
      <c r="J153" s="117"/>
    </row>
    <row r="154" spans="2:10" x14ac:dyDescent="0.3">
      <c r="B154" s="211" t="s">
        <v>452</v>
      </c>
      <c r="C154" s="211" t="s">
        <v>424</v>
      </c>
      <c r="D154" s="105">
        <v>100</v>
      </c>
      <c r="F154" s="211" t="s">
        <v>452</v>
      </c>
      <c r="G154" s="211" t="s">
        <v>424</v>
      </c>
      <c r="H154" s="105"/>
      <c r="J154" s="117"/>
    </row>
    <row r="155" spans="2:10" x14ac:dyDescent="0.3">
      <c r="B155" s="211" t="s">
        <v>452</v>
      </c>
      <c r="C155" s="211" t="s">
        <v>590</v>
      </c>
      <c r="D155" s="105">
        <v>100</v>
      </c>
      <c r="F155" s="211" t="s">
        <v>452</v>
      </c>
      <c r="G155" s="211" t="s">
        <v>590</v>
      </c>
      <c r="H155" s="105"/>
      <c r="J155" s="117"/>
    </row>
    <row r="156" spans="2:10" x14ac:dyDescent="0.3">
      <c r="B156" s="211" t="s">
        <v>452</v>
      </c>
      <c r="C156" s="211" t="s">
        <v>591</v>
      </c>
      <c r="D156" s="105">
        <v>100</v>
      </c>
      <c r="F156" s="211" t="s">
        <v>452</v>
      </c>
      <c r="G156" s="211" t="s">
        <v>591</v>
      </c>
      <c r="H156" s="105"/>
      <c r="J156" s="117"/>
    </row>
    <row r="157" spans="2:10" x14ac:dyDescent="0.3">
      <c r="B157" s="211" t="s">
        <v>452</v>
      </c>
      <c r="C157" s="211" t="s">
        <v>413</v>
      </c>
      <c r="D157" s="105">
        <v>100</v>
      </c>
      <c r="F157" s="211" t="s">
        <v>452</v>
      </c>
      <c r="G157" s="211" t="s">
        <v>413</v>
      </c>
      <c r="H157" s="105"/>
      <c r="J157" s="117"/>
    </row>
    <row r="158" spans="2:10" x14ac:dyDescent="0.3">
      <c r="B158" s="211" t="s">
        <v>452</v>
      </c>
      <c r="C158" s="211" t="s">
        <v>425</v>
      </c>
      <c r="D158" s="105">
        <v>100</v>
      </c>
      <c r="F158" s="211" t="s">
        <v>452</v>
      </c>
      <c r="G158" s="211" t="s">
        <v>425</v>
      </c>
      <c r="H158" s="105"/>
      <c r="J158" s="117"/>
    </row>
    <row r="159" spans="2:10" x14ac:dyDescent="0.3">
      <c r="B159" s="211" t="s">
        <v>452</v>
      </c>
      <c r="C159" s="211" t="s">
        <v>414</v>
      </c>
      <c r="D159" s="105">
        <v>100</v>
      </c>
      <c r="F159" s="211" t="s">
        <v>452</v>
      </c>
      <c r="G159" s="211" t="s">
        <v>414</v>
      </c>
      <c r="H159" s="105"/>
      <c r="J159" s="117"/>
    </row>
    <row r="160" spans="2:10" x14ac:dyDescent="0.3">
      <c r="B160" s="215" t="s">
        <v>452</v>
      </c>
      <c r="C160" s="215" t="s">
        <v>426</v>
      </c>
      <c r="D160" s="159">
        <v>100</v>
      </c>
      <c r="F160" s="215" t="s">
        <v>452</v>
      </c>
      <c r="G160" s="215" t="s">
        <v>426</v>
      </c>
      <c r="H160" s="151"/>
      <c r="J160" s="145"/>
    </row>
    <row r="161" spans="2:10" x14ac:dyDescent="0.3">
      <c r="B161" s="211" t="s">
        <v>454</v>
      </c>
      <c r="C161" s="211" t="s">
        <v>574</v>
      </c>
      <c r="D161" s="105">
        <v>4</v>
      </c>
      <c r="F161" s="211" t="s">
        <v>454</v>
      </c>
      <c r="G161" s="211" t="s">
        <v>574</v>
      </c>
      <c r="H161" s="105"/>
      <c r="J161" s="117" t="s">
        <v>684</v>
      </c>
    </row>
    <row r="162" spans="2:10" x14ac:dyDescent="0.3">
      <c r="B162" s="211" t="s">
        <v>454</v>
      </c>
      <c r="C162" s="211" t="s">
        <v>577</v>
      </c>
      <c r="D162" s="105">
        <v>4</v>
      </c>
      <c r="F162" s="211" t="s">
        <v>454</v>
      </c>
      <c r="G162" s="211" t="s">
        <v>577</v>
      </c>
      <c r="H162" s="105"/>
      <c r="J162" s="117" t="s">
        <v>684</v>
      </c>
    </row>
    <row r="163" spans="2:10" x14ac:dyDescent="0.3">
      <c r="B163" s="211" t="s">
        <v>454</v>
      </c>
      <c r="C163" s="211" t="s">
        <v>573</v>
      </c>
      <c r="D163" s="105">
        <v>4</v>
      </c>
      <c r="F163" s="211" t="s">
        <v>454</v>
      </c>
      <c r="G163" s="211" t="s">
        <v>573</v>
      </c>
      <c r="H163" s="105"/>
      <c r="J163" s="117" t="s">
        <v>684</v>
      </c>
    </row>
    <row r="164" spans="2:10" x14ac:dyDescent="0.3">
      <c r="B164" s="215" t="s">
        <v>454</v>
      </c>
      <c r="C164" s="215" t="s">
        <v>578</v>
      </c>
      <c r="D164" s="151">
        <v>4</v>
      </c>
      <c r="F164" s="215" t="s">
        <v>454</v>
      </c>
      <c r="G164" s="215" t="s">
        <v>578</v>
      </c>
      <c r="H164" s="151"/>
      <c r="J164" s="145" t="s">
        <v>684</v>
      </c>
    </row>
    <row r="165" spans="2:10" x14ac:dyDescent="0.3">
      <c r="B165" s="211" t="s">
        <v>454</v>
      </c>
      <c r="C165" s="211" t="s">
        <v>41</v>
      </c>
      <c r="D165" s="105">
        <v>20</v>
      </c>
      <c r="F165" s="211" t="s">
        <v>454</v>
      </c>
      <c r="G165" s="211" t="s">
        <v>41</v>
      </c>
      <c r="H165" s="105"/>
      <c r="J165" s="117" t="s">
        <v>682</v>
      </c>
    </row>
    <row r="166" spans="2:10" x14ac:dyDescent="0.3">
      <c r="B166" s="215" t="s">
        <v>454</v>
      </c>
      <c r="C166" s="215" t="s">
        <v>38</v>
      </c>
      <c r="D166" s="151">
        <v>25</v>
      </c>
      <c r="F166" s="215" t="s">
        <v>454</v>
      </c>
      <c r="G166" s="215" t="s">
        <v>38</v>
      </c>
      <c r="H166" s="151"/>
      <c r="J166" s="145" t="s">
        <v>683</v>
      </c>
    </row>
    <row r="167" spans="2:10" x14ac:dyDescent="0.3">
      <c r="B167" s="211" t="s">
        <v>453</v>
      </c>
      <c r="C167" s="211" t="s">
        <v>270</v>
      </c>
      <c r="D167" s="105"/>
      <c r="F167" s="211" t="s">
        <v>453</v>
      </c>
      <c r="G167" s="211" t="s">
        <v>270</v>
      </c>
      <c r="H167" s="105"/>
      <c r="J167" s="117"/>
    </row>
    <row r="168" spans="2:10" x14ac:dyDescent="0.3">
      <c r="B168" s="211" t="s">
        <v>453</v>
      </c>
      <c r="C168" s="211" t="s">
        <v>187</v>
      </c>
      <c r="D168" s="105"/>
      <c r="F168" s="211" t="s">
        <v>453</v>
      </c>
      <c r="G168" s="211" t="s">
        <v>187</v>
      </c>
      <c r="H168" s="105"/>
      <c r="J168" s="117"/>
    </row>
    <row r="169" spans="2:10" x14ac:dyDescent="0.3">
      <c r="B169" s="211" t="s">
        <v>453</v>
      </c>
      <c r="C169" s="211" t="s">
        <v>678</v>
      </c>
      <c r="D169" s="105"/>
      <c r="F169" s="211" t="s">
        <v>453</v>
      </c>
      <c r="G169" s="211" t="s">
        <v>678</v>
      </c>
      <c r="H169" s="105"/>
      <c r="J169" s="117"/>
    </row>
    <row r="170" spans="2:10" x14ac:dyDescent="0.3">
      <c r="B170" s="211" t="s">
        <v>453</v>
      </c>
      <c r="C170" s="211" t="s">
        <v>680</v>
      </c>
      <c r="D170" s="105"/>
      <c r="F170" s="211" t="s">
        <v>453</v>
      </c>
      <c r="G170" s="211" t="s">
        <v>680</v>
      </c>
      <c r="H170" s="105"/>
      <c r="J170" s="117"/>
    </row>
    <row r="171" spans="2:10" x14ac:dyDescent="0.3">
      <c r="B171" s="211" t="s">
        <v>453</v>
      </c>
      <c r="C171" s="211" t="s">
        <v>272</v>
      </c>
      <c r="D171" s="105"/>
      <c r="F171" s="211" t="s">
        <v>453</v>
      </c>
      <c r="G171" s="211" t="s">
        <v>272</v>
      </c>
      <c r="H171" s="105"/>
      <c r="J171" s="117"/>
    </row>
    <row r="172" spans="2:10" x14ac:dyDescent="0.3">
      <c r="B172" s="211" t="s">
        <v>453</v>
      </c>
      <c r="C172" s="211" t="s">
        <v>274</v>
      </c>
      <c r="D172" s="105"/>
      <c r="F172" s="211" t="s">
        <v>453</v>
      </c>
      <c r="G172" s="211" t="s">
        <v>274</v>
      </c>
      <c r="H172" s="105"/>
      <c r="J172" s="117"/>
    </row>
    <row r="173" spans="2:10" x14ac:dyDescent="0.3">
      <c r="B173" s="215" t="s">
        <v>453</v>
      </c>
      <c r="C173" s="215" t="s">
        <v>276</v>
      </c>
      <c r="D173" s="151"/>
      <c r="F173" s="215" t="s">
        <v>453</v>
      </c>
      <c r="G173" s="215" t="s">
        <v>276</v>
      </c>
      <c r="H173" s="151"/>
      <c r="J173" s="145"/>
    </row>
    <row r="174" spans="2:10" x14ac:dyDescent="0.3">
      <c r="B174" s="211" t="s">
        <v>454</v>
      </c>
      <c r="C174" s="211" t="s">
        <v>34</v>
      </c>
      <c r="D174" s="136">
        <v>0</v>
      </c>
      <c r="F174" s="211" t="s">
        <v>454</v>
      </c>
      <c r="G174" s="211" t="s">
        <v>34</v>
      </c>
      <c r="H174" s="136"/>
      <c r="J174" s="117"/>
    </row>
    <row r="175" spans="2:10" x14ac:dyDescent="0.3">
      <c r="B175" s="215" t="s">
        <v>454</v>
      </c>
      <c r="C175" s="215" t="s">
        <v>278</v>
      </c>
      <c r="D175" s="153">
        <v>0</v>
      </c>
      <c r="F175" s="215" t="s">
        <v>454</v>
      </c>
      <c r="G175" s="215" t="s">
        <v>278</v>
      </c>
      <c r="H175" s="153"/>
      <c r="J175" s="145"/>
    </row>
    <row r="176" spans="2:10" x14ac:dyDescent="0.3">
      <c r="B176" s="211" t="s">
        <v>449</v>
      </c>
      <c r="C176" s="211" t="s">
        <v>173</v>
      </c>
      <c r="D176" s="136"/>
      <c r="F176" s="211" t="s">
        <v>449</v>
      </c>
      <c r="G176" s="211" t="s">
        <v>173</v>
      </c>
      <c r="H176" s="136"/>
      <c r="J176" s="117"/>
    </row>
    <row r="177" spans="2:10" x14ac:dyDescent="0.3">
      <c r="B177" s="211" t="s">
        <v>449</v>
      </c>
      <c r="C177" s="211" t="s">
        <v>176</v>
      </c>
      <c r="D177" s="136"/>
      <c r="F177" s="211" t="s">
        <v>449</v>
      </c>
      <c r="G177" s="211" t="s">
        <v>176</v>
      </c>
      <c r="H177" s="136"/>
      <c r="J177" s="117"/>
    </row>
    <row r="178" spans="2:10" x14ac:dyDescent="0.3">
      <c r="B178" s="211" t="s">
        <v>449</v>
      </c>
      <c r="C178" s="211" t="s">
        <v>106</v>
      </c>
      <c r="D178" s="136"/>
      <c r="F178" s="211" t="s">
        <v>449</v>
      </c>
      <c r="G178" s="211" t="s">
        <v>106</v>
      </c>
      <c r="H178" s="136"/>
      <c r="J178" s="117"/>
    </row>
    <row r="179" spans="2:10" x14ac:dyDescent="0.3">
      <c r="B179" s="211" t="s">
        <v>449</v>
      </c>
      <c r="C179" s="211" t="s">
        <v>109</v>
      </c>
      <c r="D179" s="136"/>
      <c r="F179" s="211" t="s">
        <v>449</v>
      </c>
      <c r="G179" s="211" t="s">
        <v>109</v>
      </c>
      <c r="H179" s="136"/>
      <c r="J179" s="117"/>
    </row>
    <row r="180" spans="2:10" x14ac:dyDescent="0.3">
      <c r="B180" s="211" t="s">
        <v>449</v>
      </c>
      <c r="C180" s="211" t="s">
        <v>112</v>
      </c>
      <c r="D180" s="136"/>
      <c r="F180" s="211" t="s">
        <v>449</v>
      </c>
      <c r="G180" s="211" t="s">
        <v>112</v>
      </c>
      <c r="H180" s="136"/>
      <c r="J180" s="117"/>
    </row>
    <row r="181" spans="2:10" x14ac:dyDescent="0.3">
      <c r="B181" s="211" t="s">
        <v>449</v>
      </c>
      <c r="C181" s="211" t="s">
        <v>120</v>
      </c>
      <c r="D181" s="136"/>
      <c r="F181" s="211" t="s">
        <v>449</v>
      </c>
      <c r="G181" s="211" t="s">
        <v>120</v>
      </c>
      <c r="H181" s="136"/>
      <c r="J181" s="117"/>
    </row>
    <row r="182" spans="2:10" x14ac:dyDescent="0.3">
      <c r="B182" s="211" t="s">
        <v>449</v>
      </c>
      <c r="C182" s="211" t="s">
        <v>115</v>
      </c>
      <c r="D182" s="136"/>
      <c r="F182" s="211" t="s">
        <v>449</v>
      </c>
      <c r="G182" s="211" t="s">
        <v>115</v>
      </c>
      <c r="H182" s="136"/>
      <c r="J182" s="117"/>
    </row>
    <row r="183" spans="2:10" x14ac:dyDescent="0.3">
      <c r="B183" s="211" t="s">
        <v>449</v>
      </c>
      <c r="C183" s="211" t="s">
        <v>122</v>
      </c>
      <c r="D183" s="136"/>
      <c r="F183" s="211" t="s">
        <v>449</v>
      </c>
      <c r="G183" s="211" t="s">
        <v>122</v>
      </c>
      <c r="H183" s="136"/>
      <c r="J183" s="117"/>
    </row>
    <row r="184" spans="2:10" x14ac:dyDescent="0.3">
      <c r="B184" s="215" t="s">
        <v>449</v>
      </c>
      <c r="C184" s="215" t="s">
        <v>118</v>
      </c>
      <c r="D184" s="153"/>
      <c r="F184" s="215" t="s">
        <v>449</v>
      </c>
      <c r="G184" s="215" t="s">
        <v>118</v>
      </c>
      <c r="H184" s="153"/>
      <c r="J184" s="145"/>
    </row>
    <row r="185" spans="2:10" x14ac:dyDescent="0.3">
      <c r="B185" s="211" t="s">
        <v>454</v>
      </c>
      <c r="C185" s="211" t="s">
        <v>35</v>
      </c>
      <c r="D185" s="152"/>
      <c r="F185" s="211" t="s">
        <v>454</v>
      </c>
      <c r="G185" s="211" t="s">
        <v>35</v>
      </c>
      <c r="H185" s="152"/>
      <c r="J185" s="117"/>
    </row>
    <row r="186" spans="2:10" x14ac:dyDescent="0.3">
      <c r="B186" s="211" t="s">
        <v>454</v>
      </c>
      <c r="C186" s="211" t="s">
        <v>279</v>
      </c>
      <c r="D186" s="152"/>
      <c r="F186" s="211" t="s">
        <v>454</v>
      </c>
      <c r="G186" s="211" t="s">
        <v>279</v>
      </c>
      <c r="H186" s="152"/>
      <c r="J186" s="117"/>
    </row>
    <row r="187" spans="2:10" x14ac:dyDescent="0.3">
      <c r="B187" s="211" t="s">
        <v>454</v>
      </c>
      <c r="C187" s="211" t="s">
        <v>129</v>
      </c>
      <c r="D187" s="105"/>
      <c r="F187" s="211" t="s">
        <v>454</v>
      </c>
      <c r="G187" s="211" t="s">
        <v>129</v>
      </c>
      <c r="H187" s="105"/>
      <c r="J187" s="117"/>
    </row>
    <row r="188" spans="2:10" x14ac:dyDescent="0.3">
      <c r="B188" s="211" t="s">
        <v>454</v>
      </c>
      <c r="C188" s="211" t="s">
        <v>29</v>
      </c>
      <c r="D188" s="105"/>
      <c r="F188" s="211" t="s">
        <v>454</v>
      </c>
      <c r="G188" s="211" t="s">
        <v>29</v>
      </c>
      <c r="H188" s="105"/>
      <c r="J188" s="117"/>
    </row>
    <row r="189" spans="2:10" x14ac:dyDescent="0.3">
      <c r="B189" s="211" t="s">
        <v>454</v>
      </c>
      <c r="C189" s="211" t="s">
        <v>127</v>
      </c>
      <c r="D189" s="105"/>
      <c r="F189" s="211" t="s">
        <v>454</v>
      </c>
      <c r="G189" s="211" t="s">
        <v>127</v>
      </c>
      <c r="H189" s="105"/>
      <c r="J189" s="117"/>
    </row>
    <row r="190" spans="2:10" x14ac:dyDescent="0.3">
      <c r="B190" s="211" t="s">
        <v>454</v>
      </c>
      <c r="C190" s="211" t="s">
        <v>32</v>
      </c>
      <c r="D190" s="105"/>
      <c r="F190" s="211" t="s">
        <v>454</v>
      </c>
      <c r="G190" s="211" t="s">
        <v>32</v>
      </c>
      <c r="H190" s="105"/>
      <c r="J190" s="1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C29" sqref="C29"/>
    </sheetView>
  </sheetViews>
  <sheetFormatPr defaultRowHeight="14.4" x14ac:dyDescent="0.3"/>
  <cols>
    <col min="2" max="2" width="69.88671875" bestFit="1" customWidth="1"/>
  </cols>
  <sheetData>
    <row r="3" spans="2:5" x14ac:dyDescent="0.3">
      <c r="B3" s="2" t="s">
        <v>314</v>
      </c>
      <c r="C3" s="3"/>
      <c r="D3" s="3"/>
      <c r="E3" s="3"/>
    </row>
    <row r="4" spans="2:5" x14ac:dyDescent="0.3">
      <c r="B4" t="s">
        <v>315</v>
      </c>
    </row>
    <row r="5" spans="2:5" x14ac:dyDescent="0.3">
      <c r="B5" s="1" t="s">
        <v>317</v>
      </c>
    </row>
    <row r="6" spans="2:5" x14ac:dyDescent="0.3">
      <c r="B6" s="1" t="s">
        <v>316</v>
      </c>
    </row>
    <row r="7" spans="2:5" x14ac:dyDescent="0.3">
      <c r="B7" s="1" t="s">
        <v>320</v>
      </c>
    </row>
    <row r="10" spans="2:5" x14ac:dyDescent="0.3">
      <c r="B10" s="2" t="s">
        <v>318</v>
      </c>
      <c r="C10" s="3"/>
      <c r="D10" s="3"/>
      <c r="E10" s="3"/>
    </row>
    <row r="11" spans="2:5" x14ac:dyDescent="0.3">
      <c r="B11" t="s">
        <v>319</v>
      </c>
    </row>
    <row r="12" spans="2:5" x14ac:dyDescent="0.3">
      <c r="B12" t="s">
        <v>581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E72"/>
  <sheetViews>
    <sheetView topLeftCell="A107" zoomScale="75" zoomScaleNormal="75" workbookViewId="0">
      <selection activeCell="M107" sqref="M107"/>
    </sheetView>
  </sheetViews>
  <sheetFormatPr defaultRowHeight="14.4" x14ac:dyDescent="0.3"/>
  <cols>
    <col min="2" max="2" width="18" customWidth="1"/>
    <col min="3" max="3" width="43.6640625" bestFit="1" customWidth="1"/>
    <col min="4" max="4" width="11.109375" bestFit="1" customWidth="1"/>
    <col min="5" max="5" width="11.44140625" bestFit="1" customWidth="1"/>
    <col min="6" max="6" width="11.109375" bestFit="1" customWidth="1"/>
    <col min="7" max="7" width="10.33203125" customWidth="1"/>
    <col min="8" max="8" width="6.5546875" bestFit="1" customWidth="1"/>
    <col min="9" max="9" width="11.5546875" bestFit="1" customWidth="1"/>
    <col min="10" max="10" width="14.33203125" bestFit="1" customWidth="1"/>
    <col min="11" max="13" width="11.5546875" bestFit="1" customWidth="1"/>
    <col min="14" max="17" width="10.88671875" bestFit="1" customWidth="1"/>
    <col min="18" max="18" width="11.5546875" bestFit="1" customWidth="1"/>
    <col min="19" max="19" width="11.5546875" customWidth="1"/>
    <col min="20" max="21" width="11.5546875" bestFit="1" customWidth="1"/>
    <col min="22" max="22" width="10.88671875" bestFit="1" customWidth="1"/>
    <col min="23" max="23" width="11.44140625" bestFit="1" customWidth="1"/>
    <col min="24" max="31" width="9.88671875" customWidth="1"/>
  </cols>
  <sheetData>
    <row r="3" spans="2:31" x14ac:dyDescent="0.3">
      <c r="B3" s="6" t="s">
        <v>37</v>
      </c>
      <c r="C3" s="7"/>
      <c r="D3" s="8"/>
      <c r="E3" s="8"/>
      <c r="F3" s="9" t="s">
        <v>1</v>
      </c>
      <c r="G3" s="9"/>
    </row>
    <row r="4" spans="2:31" ht="27.9" customHeight="1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200" t="s">
        <v>6</v>
      </c>
      <c r="G4" s="200" t="s">
        <v>186</v>
      </c>
      <c r="H4" s="201" t="s">
        <v>185</v>
      </c>
      <c r="I4" s="201" t="s">
        <v>11</v>
      </c>
      <c r="J4" s="200" t="s">
        <v>12</v>
      </c>
      <c r="K4" s="200" t="s">
        <v>7</v>
      </c>
      <c r="L4" s="200" t="s">
        <v>8</v>
      </c>
      <c r="M4" s="201" t="s">
        <v>688</v>
      </c>
      <c r="N4" s="201" t="s">
        <v>321</v>
      </c>
      <c r="O4" s="201" t="s">
        <v>322</v>
      </c>
      <c r="P4" s="201" t="s">
        <v>9</v>
      </c>
      <c r="Q4" s="201" t="s">
        <v>10</v>
      </c>
      <c r="R4" s="201" t="s">
        <v>687</v>
      </c>
      <c r="S4" s="201" t="s">
        <v>448</v>
      </c>
      <c r="T4" s="201" t="s">
        <v>13</v>
      </c>
      <c r="U4" s="201" t="s">
        <v>382</v>
      </c>
      <c r="V4" s="201" t="s">
        <v>42</v>
      </c>
      <c r="W4" s="201" t="s">
        <v>14</v>
      </c>
      <c r="X4" s="201" t="s">
        <v>381</v>
      </c>
      <c r="Y4" s="201" t="s">
        <v>15</v>
      </c>
      <c r="Z4" s="201" t="s">
        <v>16</v>
      </c>
      <c r="AA4" s="201" t="s">
        <v>17</v>
      </c>
      <c r="AB4" s="201" t="s">
        <v>18</v>
      </c>
      <c r="AC4" s="201" t="s">
        <v>19</v>
      </c>
      <c r="AD4" s="201" t="s">
        <v>20</v>
      </c>
      <c r="AE4" s="201" t="s">
        <v>21</v>
      </c>
    </row>
    <row r="5" spans="2:31" ht="33.75" customHeight="1" thickBot="1" x14ac:dyDescent="0.35">
      <c r="B5" s="202" t="s">
        <v>22</v>
      </c>
      <c r="C5" s="202"/>
      <c r="D5" s="202"/>
      <c r="E5" s="202"/>
      <c r="F5" s="203" t="s">
        <v>23</v>
      </c>
      <c r="G5" s="203">
        <v>2019</v>
      </c>
      <c r="H5" s="204" t="s">
        <v>26</v>
      </c>
      <c r="I5" s="204" t="s">
        <v>543</v>
      </c>
      <c r="J5" s="204" t="s">
        <v>25</v>
      </c>
      <c r="K5" s="203"/>
      <c r="L5" s="203"/>
      <c r="M5" s="205" t="s">
        <v>653</v>
      </c>
      <c r="N5" s="205" t="s">
        <v>653</v>
      </c>
      <c r="O5" s="205" t="s">
        <v>653</v>
      </c>
      <c r="P5" s="205" t="s">
        <v>653</v>
      </c>
      <c r="Q5" s="205" t="s">
        <v>653</v>
      </c>
      <c r="R5" s="204" t="s">
        <v>658</v>
      </c>
      <c r="S5" s="204" t="s">
        <v>658</v>
      </c>
      <c r="T5" s="204" t="s">
        <v>658</v>
      </c>
      <c r="U5" s="204" t="s">
        <v>658</v>
      </c>
      <c r="V5" s="206" t="s">
        <v>662</v>
      </c>
      <c r="W5" s="206" t="s">
        <v>661</v>
      </c>
      <c r="X5" s="206" t="s">
        <v>657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</row>
    <row r="6" spans="2:31" s="39" customFormat="1" x14ac:dyDescent="0.3">
      <c r="B6" s="209" t="s">
        <v>41</v>
      </c>
      <c r="C6" s="208" t="str">
        <f>LOOKUP(B6, TRA_COMM_PRO!$C$6:$C$189, TRA_COMM_PRO!$D$6:$D$189)</f>
        <v>Moto.ELC.01.</v>
      </c>
      <c r="D6" s="209" t="s">
        <v>27</v>
      </c>
      <c r="E6" s="209"/>
      <c r="F6" s="209"/>
      <c r="G6" s="10">
        <f>$G$5</f>
        <v>2019</v>
      </c>
      <c r="H6" s="40">
        <v>10</v>
      </c>
      <c r="I6" s="65">
        <v>1E-3</v>
      </c>
      <c r="J6" s="60">
        <v>1</v>
      </c>
      <c r="K6" s="42"/>
      <c r="L6" s="42"/>
      <c r="M6" s="163"/>
      <c r="N6" s="163"/>
      <c r="O6" s="163"/>
      <c r="P6" s="163"/>
      <c r="Q6" s="163"/>
      <c r="R6" s="40">
        <v>2</v>
      </c>
      <c r="S6" s="40"/>
      <c r="T6" s="40"/>
      <c r="U6" s="40"/>
      <c r="V6" s="42"/>
      <c r="W6" s="41"/>
      <c r="X6" s="40">
        <f>LOOKUP($B6, INVCOST!$C$8:$C$193, INVCOST!D$8:D$193)</f>
        <v>13.9</v>
      </c>
      <c r="Y6" s="40">
        <f>LOOKUP($B6, INVCOST!$C$8:$C$193, INVCOST!E$8:E$193)</f>
        <v>13.784000000000001</v>
      </c>
      <c r="Z6" s="40">
        <f>LOOKUP($B6, INVCOST!$C$8:$C$193, INVCOST!F$8:F$193)</f>
        <v>13.348000000000001</v>
      </c>
      <c r="AA6" s="40">
        <f>LOOKUP($B6, INVCOST!$C$8:$C$193, INVCOST!G$8:G$193)</f>
        <v>12.821999999999999</v>
      </c>
      <c r="AB6" s="40">
        <f>LOOKUP($B6, INVCOST!$C$8:$C$193, INVCOST!H$8:H$193)</f>
        <v>12.318</v>
      </c>
      <c r="AC6" s="40">
        <f>LOOKUP($B6, INVCOST!$C$8:$C$193, INVCOST!I$8:I$193)</f>
        <v>11.833</v>
      </c>
      <c r="AD6" s="40">
        <f>LOOKUP($B6, INVCOST!$C$8:$C$193, INVCOST!J$8:J$193)</f>
        <v>11.367000000000001</v>
      </c>
      <c r="AE6" s="40">
        <f>LOOKUP($B6, INVCOST!$C$8:$C$193, INVCOST!K$8:K$193)</f>
        <v>10.919</v>
      </c>
    </row>
    <row r="7" spans="2:31" s="39" customFormat="1" x14ac:dyDescent="0.3">
      <c r="B7" s="210"/>
      <c r="C7" s="210"/>
      <c r="D7" s="210"/>
      <c r="E7" s="210"/>
      <c r="F7" s="210" t="s">
        <v>374</v>
      </c>
      <c r="G7" s="44"/>
      <c r="H7" s="45"/>
      <c r="I7" s="46"/>
      <c r="J7" s="64"/>
      <c r="K7" s="44"/>
      <c r="L7" s="44"/>
      <c r="M7" s="46">
        <f>LOOKUP($B$6, CEFF!$C$163:$C$330, CEFF!F$163:F$330)</f>
        <v>2.0408200000000001</v>
      </c>
      <c r="N7" s="46">
        <f>LOOKUP($B$6, CEFF!$C$163:$C$330, CEFF!G$163:G$330)</f>
        <v>2.0833300000000001</v>
      </c>
      <c r="O7" s="46">
        <f>LOOKUP($B$6, CEFF!$C$163:$C$330, CEFF!H$163:H$330)</f>
        <v>2.1276600000000001</v>
      </c>
      <c r="P7" s="46">
        <f>LOOKUP($B$6, CEFF!$C$163:$C$330, CEFF!I$163:I$330)</f>
        <v>2.1739099999999998</v>
      </c>
      <c r="Q7" s="46">
        <f>LOOKUP($B$6, CEFF!$C$163:$C$330, CEFF!J$163:J$330)</f>
        <v>2.2222200000000001</v>
      </c>
      <c r="R7" s="45"/>
      <c r="S7" s="45"/>
      <c r="T7" s="45"/>
      <c r="U7" s="45"/>
      <c r="V7" s="44"/>
      <c r="W7" s="46"/>
      <c r="X7" s="45"/>
      <c r="Y7" s="45"/>
      <c r="Z7" s="45"/>
      <c r="AA7" s="45"/>
      <c r="AB7" s="45"/>
      <c r="AC7" s="45"/>
      <c r="AD7" s="45"/>
      <c r="AE7" s="45"/>
    </row>
    <row r="8" spans="2:31" s="39" customFormat="1" x14ac:dyDescent="0.3">
      <c r="B8" s="209" t="s">
        <v>535</v>
      </c>
      <c r="C8" s="208" t="str">
        <f>LOOKUP(B8, TRA_COMM_PRO!$C$6:$C$189, TRA_COMM_PRO!$D$6:$D$189)</f>
        <v>Moto.ELC.City.01.</v>
      </c>
      <c r="D8" s="209" t="s">
        <v>27</v>
      </c>
      <c r="E8" s="209"/>
      <c r="F8" s="209"/>
      <c r="G8" s="10">
        <f>$G$5</f>
        <v>2019</v>
      </c>
      <c r="H8" s="40">
        <v>10</v>
      </c>
      <c r="I8" s="65">
        <v>1E-3</v>
      </c>
      <c r="J8" s="60">
        <v>1</v>
      </c>
      <c r="K8" s="42"/>
      <c r="L8" s="42"/>
      <c r="M8" s="41"/>
      <c r="N8" s="41"/>
      <c r="O8" s="41"/>
      <c r="P8" s="41"/>
      <c r="Q8" s="41"/>
      <c r="R8" s="40">
        <v>2</v>
      </c>
      <c r="S8" s="40"/>
      <c r="T8" s="40"/>
      <c r="U8" s="40"/>
      <c r="V8" s="42"/>
      <c r="W8" s="41"/>
      <c r="X8" s="40">
        <f>LOOKUP($B8, INVCOST!$C$8:$C$193, INVCOST!D$8:D$193)</f>
        <v>13.9</v>
      </c>
      <c r="Y8" s="40">
        <f>LOOKUP($B8, INVCOST!$C$8:$C$193, INVCOST!E$8:E$193)</f>
        <v>13.784000000000001</v>
      </c>
      <c r="Z8" s="40">
        <f>LOOKUP($B8, INVCOST!$C$8:$C$193, INVCOST!F$8:F$193)</f>
        <v>13.348000000000001</v>
      </c>
      <c r="AA8" s="40">
        <f>LOOKUP($B8, INVCOST!$C$8:$C$193, INVCOST!G$8:G$193)</f>
        <v>12.821999999999999</v>
      </c>
      <c r="AB8" s="40">
        <f>LOOKUP($B8, INVCOST!$C$8:$C$193, INVCOST!H$8:H$193)</f>
        <v>12.318</v>
      </c>
      <c r="AC8" s="40">
        <f>LOOKUP($B8, INVCOST!$C$8:$C$193, INVCOST!I$8:I$193)</f>
        <v>11.833</v>
      </c>
      <c r="AD8" s="40">
        <f>LOOKUP($B8, INVCOST!$C$8:$C$193, INVCOST!J$8:J$193)</f>
        <v>11.367000000000001</v>
      </c>
      <c r="AE8" s="40">
        <f>LOOKUP($B8, INVCOST!$C$8:$C$193, INVCOST!K$8:K$193)</f>
        <v>10.919</v>
      </c>
    </row>
    <row r="9" spans="2:31" s="39" customFormat="1" x14ac:dyDescent="0.3">
      <c r="B9" s="210"/>
      <c r="C9" s="210"/>
      <c r="D9" s="210"/>
      <c r="E9" s="210"/>
      <c r="F9" s="210" t="s">
        <v>536</v>
      </c>
      <c r="G9" s="44"/>
      <c r="H9" s="45"/>
      <c r="I9" s="46"/>
      <c r="J9" s="64"/>
      <c r="K9" s="44"/>
      <c r="L9" s="44"/>
      <c r="M9" s="46">
        <f>LOOKUP($B$8, CEFF!$C$163:$C$330, CEFF!F$163:F$330)</f>
        <v>2.0408200000000001</v>
      </c>
      <c r="N9" s="46">
        <f>LOOKUP($B$8, CEFF!$C$163:$C$330, CEFF!G$163:G$330)</f>
        <v>2.0833300000000001</v>
      </c>
      <c r="O9" s="46">
        <f>LOOKUP($B$8, CEFF!$C$163:$C$330, CEFF!H$163:H$330)</f>
        <v>2.1276600000000001</v>
      </c>
      <c r="P9" s="46">
        <f>LOOKUP($B$8, CEFF!$C$163:$C$330, CEFF!I$163:I$330)</f>
        <v>2.1739099999999998</v>
      </c>
      <c r="Q9" s="46">
        <f>LOOKUP($B$8, CEFF!$C$163:$C$330, CEFF!J$163:J$330)</f>
        <v>2.2222200000000001</v>
      </c>
      <c r="R9" s="45"/>
      <c r="S9" s="45"/>
      <c r="T9" s="45"/>
      <c r="U9" s="45"/>
      <c r="V9" s="44"/>
      <c r="W9" s="46"/>
      <c r="X9" s="45"/>
      <c r="Y9" s="45"/>
      <c r="Z9" s="45"/>
      <c r="AA9" s="45"/>
      <c r="AB9" s="45"/>
      <c r="AC9" s="45"/>
      <c r="AD9" s="45"/>
      <c r="AE9" s="45"/>
    </row>
    <row r="10" spans="2:31" s="39" customFormat="1" x14ac:dyDescent="0.3">
      <c r="B10" s="209" t="s">
        <v>38</v>
      </c>
      <c r="C10" s="208" t="str">
        <f>LOOKUP(B10, TRA_COMM_PRO!$C$6:$C$189, TRA_COMM_PRO!$D$6:$D$189)</f>
        <v>Moto.GSL.01</v>
      </c>
      <c r="D10" s="209" t="s">
        <v>39</v>
      </c>
      <c r="E10" s="209"/>
      <c r="F10" s="209"/>
      <c r="G10" s="10">
        <f>$G$5</f>
        <v>2019</v>
      </c>
      <c r="H10" s="40">
        <v>15</v>
      </c>
      <c r="I10" s="65">
        <v>1E-3</v>
      </c>
      <c r="J10" s="60">
        <v>1</v>
      </c>
      <c r="K10" s="42"/>
      <c r="L10" s="42"/>
      <c r="M10" s="41"/>
      <c r="N10" s="41"/>
      <c r="O10" s="41"/>
      <c r="P10" s="41"/>
      <c r="Q10" s="41"/>
      <c r="R10" s="40">
        <v>2</v>
      </c>
      <c r="S10" s="40"/>
      <c r="T10" s="40"/>
      <c r="U10" s="40"/>
      <c r="V10" s="42"/>
      <c r="W10" s="41"/>
      <c r="X10" s="40">
        <f>LOOKUP($B10, INVCOST!$C$8:$C$193, INVCOST!D$8:D$193)</f>
        <v>10</v>
      </c>
      <c r="Y10" s="40">
        <f>LOOKUP($B10, INVCOST!$C$8:$C$193, INVCOST!E$8:E$193)</f>
        <v>9.9</v>
      </c>
      <c r="Z10" s="40">
        <f>LOOKUP($B10, INVCOST!$C$8:$C$193, INVCOST!F$8:F$193)</f>
        <v>9.8010000000000002</v>
      </c>
      <c r="AA10" s="40">
        <f>LOOKUP($B10, INVCOST!$C$8:$C$193, INVCOST!G$8:G$193)</f>
        <v>9.7029899999999998</v>
      </c>
      <c r="AB10" s="40">
        <f>LOOKUP($B10, INVCOST!$C$8:$C$193, INVCOST!H$8:H$193)</f>
        <v>9.6059601000000008</v>
      </c>
      <c r="AC10" s="40">
        <f>LOOKUP($B10, INVCOST!$C$8:$C$193, INVCOST!I$8:I$193)</f>
        <v>9.5099004989999987</v>
      </c>
      <c r="AD10" s="40">
        <f>LOOKUP($B10, INVCOST!$C$8:$C$193, INVCOST!J$8:J$193)</f>
        <v>9.4148014940099998</v>
      </c>
      <c r="AE10" s="40">
        <f>LOOKUP($B10, INVCOST!$C$8:$C$193, INVCOST!K$8:K$193)</f>
        <v>9.3206534790699003</v>
      </c>
    </row>
    <row r="11" spans="2:31" s="39" customFormat="1" x14ac:dyDescent="0.3">
      <c r="B11" s="209"/>
      <c r="C11" s="209"/>
      <c r="D11" s="209" t="s">
        <v>40</v>
      </c>
      <c r="E11" s="209"/>
      <c r="F11" s="209"/>
      <c r="G11" s="42"/>
      <c r="H11" s="40"/>
      <c r="I11" s="41"/>
      <c r="J11" s="60"/>
      <c r="K11" s="42">
        <v>0.05</v>
      </c>
      <c r="L11" s="42">
        <v>0.1</v>
      </c>
      <c r="M11" s="163"/>
      <c r="N11" s="163"/>
      <c r="O11" s="163"/>
      <c r="P11" s="163"/>
      <c r="Q11" s="163"/>
      <c r="R11" s="40"/>
      <c r="S11" s="40"/>
      <c r="T11" s="40"/>
      <c r="U11" s="40"/>
      <c r="V11" s="42"/>
      <c r="W11" s="41"/>
      <c r="X11" s="40"/>
      <c r="Y11" s="40"/>
      <c r="Z11" s="40"/>
      <c r="AA11" s="40"/>
      <c r="AB11" s="40"/>
      <c r="AC11" s="40"/>
      <c r="AD11" s="40"/>
      <c r="AE11" s="40"/>
    </row>
    <row r="12" spans="2:31" s="39" customFormat="1" x14ac:dyDescent="0.3">
      <c r="B12" s="210"/>
      <c r="C12" s="210"/>
      <c r="D12" s="210"/>
      <c r="E12" s="210"/>
      <c r="F12" s="210" t="s">
        <v>374</v>
      </c>
      <c r="G12" s="44"/>
      <c r="H12" s="45"/>
      <c r="I12" s="46"/>
      <c r="J12" s="64"/>
      <c r="K12" s="44"/>
      <c r="L12" s="44"/>
      <c r="M12" s="46">
        <f>LOOKUP($B$10, CEFF!$C$163:$C$330, CEFF!F$163:F$330)</f>
        <v>0.68027000000000004</v>
      </c>
      <c r="N12" s="46">
        <f>LOOKUP($B$10, CEFF!$C$163:$C$330, CEFF!G$163:G$330)</f>
        <v>0.69416</v>
      </c>
      <c r="O12" s="46">
        <f>LOOKUP($B$10, CEFF!$C$163:$C$330, CEFF!H$163:H$330)</f>
        <v>0.70831999999999995</v>
      </c>
      <c r="P12" s="46">
        <f>LOOKUP($B$10, CEFF!$C$163:$C$330, CEFF!I$163:I$330)</f>
        <v>0.72277999999999998</v>
      </c>
      <c r="Q12" s="46">
        <f>LOOKUP($B$10, CEFF!$C$163:$C$330, CEFF!J$163:J$330)</f>
        <v>0.73753000000000002</v>
      </c>
      <c r="R12" s="45"/>
      <c r="S12" s="45"/>
      <c r="T12" s="45"/>
      <c r="U12" s="45"/>
      <c r="V12" s="44"/>
      <c r="W12" s="46"/>
      <c r="X12" s="45"/>
      <c r="Y12" s="45"/>
      <c r="Z12" s="45"/>
      <c r="AA12" s="45"/>
      <c r="AB12" s="45"/>
      <c r="AC12" s="45"/>
      <c r="AD12" s="45"/>
      <c r="AE12" s="45"/>
    </row>
    <row r="13" spans="2:31" s="39" customFormat="1" x14ac:dyDescent="0.3">
      <c r="B13" s="209" t="s">
        <v>537</v>
      </c>
      <c r="C13" s="208" t="str">
        <f>LOOKUP(B13, TRA_COMM_PRO!$C$6:$C$189, TRA_COMM_PRO!$D$6:$D$189)</f>
        <v>Moto.GSL.City.01</v>
      </c>
      <c r="D13" s="209" t="s">
        <v>39</v>
      </c>
      <c r="E13" s="209"/>
      <c r="F13" s="209"/>
      <c r="G13" s="10">
        <f>$G$5</f>
        <v>2019</v>
      </c>
      <c r="H13" s="40">
        <v>15</v>
      </c>
      <c r="I13" s="65">
        <v>1E-3</v>
      </c>
      <c r="J13" s="60">
        <v>1</v>
      </c>
      <c r="K13" s="42"/>
      <c r="L13" s="42"/>
      <c r="M13" s="41"/>
      <c r="N13" s="41"/>
      <c r="O13" s="41"/>
      <c r="P13" s="41"/>
      <c r="Q13" s="41"/>
      <c r="R13" s="40">
        <v>2</v>
      </c>
      <c r="S13" s="40"/>
      <c r="T13" s="40"/>
      <c r="U13" s="40"/>
      <c r="V13" s="42"/>
      <c r="W13" s="41"/>
      <c r="X13" s="40">
        <f>LOOKUP($B13, INVCOST!$C$8:$C$193, INVCOST!D$8:D$193)</f>
        <v>10</v>
      </c>
      <c r="Y13" s="40">
        <f>LOOKUP($B13, INVCOST!$C$8:$C$193, INVCOST!E$8:E$193)</f>
        <v>9.9</v>
      </c>
      <c r="Z13" s="40">
        <f>LOOKUP($B13, INVCOST!$C$8:$C$193, INVCOST!F$8:F$193)</f>
        <v>9.8010000000000002</v>
      </c>
      <c r="AA13" s="40">
        <f>LOOKUP($B13, INVCOST!$C$8:$C$193, INVCOST!G$8:G$193)</f>
        <v>9.7029899999999998</v>
      </c>
      <c r="AB13" s="40">
        <f>LOOKUP($B13, INVCOST!$C$8:$C$193, INVCOST!H$8:H$193)</f>
        <v>9.6059601000000008</v>
      </c>
      <c r="AC13" s="40">
        <f>LOOKUP($B13, INVCOST!$C$8:$C$193, INVCOST!I$8:I$193)</f>
        <v>9.5099004989999987</v>
      </c>
      <c r="AD13" s="40">
        <f>LOOKUP($B13, INVCOST!$C$8:$C$193, INVCOST!J$8:J$193)</f>
        <v>9.4148014940099998</v>
      </c>
      <c r="AE13" s="40">
        <f>LOOKUP($B13, INVCOST!$C$8:$C$193, INVCOST!K$8:K$193)</f>
        <v>9.3206534790699003</v>
      </c>
    </row>
    <row r="14" spans="2:31" s="39" customFormat="1" x14ac:dyDescent="0.3">
      <c r="B14" s="209"/>
      <c r="C14" s="209"/>
      <c r="D14" s="209" t="s">
        <v>40</v>
      </c>
      <c r="E14" s="209"/>
      <c r="F14" s="209"/>
      <c r="G14" s="42"/>
      <c r="H14" s="40"/>
      <c r="I14" s="41"/>
      <c r="J14" s="60"/>
      <c r="K14" s="42">
        <v>0.05</v>
      </c>
      <c r="L14" s="42">
        <v>0.1</v>
      </c>
      <c r="M14" s="164"/>
      <c r="N14" s="164"/>
      <c r="O14" s="164"/>
      <c r="P14" s="164"/>
      <c r="Q14" s="164"/>
      <c r="R14" s="40"/>
      <c r="S14" s="40"/>
      <c r="T14" s="40"/>
      <c r="U14" s="40"/>
      <c r="V14" s="42"/>
      <c r="W14" s="41"/>
      <c r="X14" s="40"/>
      <c r="Y14" s="40"/>
      <c r="Z14" s="40"/>
      <c r="AA14" s="40"/>
      <c r="AB14" s="40"/>
      <c r="AC14" s="40"/>
      <c r="AD14" s="40"/>
      <c r="AE14" s="40"/>
    </row>
    <row r="15" spans="2:31" s="39" customFormat="1" x14ac:dyDescent="0.3">
      <c r="B15" s="213"/>
      <c r="C15" s="213"/>
      <c r="D15" s="213"/>
      <c r="E15" s="213"/>
      <c r="F15" s="213" t="s">
        <v>536</v>
      </c>
      <c r="G15" s="177"/>
      <c r="H15" s="181"/>
      <c r="I15" s="179"/>
      <c r="J15" s="182"/>
      <c r="K15" s="177"/>
      <c r="L15" s="177"/>
      <c r="M15" s="262">
        <f>LOOKUP($B$13, CEFF!$C$163:$C$330, CEFF!F$163:F$330)</f>
        <v>0.68027000000000004</v>
      </c>
      <c r="N15" s="262">
        <f>LOOKUP($B$13, CEFF!$C$163:$C$330, CEFF!G$163:G$330)</f>
        <v>0.69416</v>
      </c>
      <c r="O15" s="262">
        <f>LOOKUP($B$13, CEFF!$C$163:$C$330, CEFF!H$163:H$330)</f>
        <v>0.70831999999999995</v>
      </c>
      <c r="P15" s="262">
        <f>LOOKUP($B$13, CEFF!$C$163:$C$330, CEFF!I$163:I$330)</f>
        <v>0.72277999999999998</v>
      </c>
      <c r="Q15" s="262">
        <f>LOOKUP($B$13, CEFF!$C$163:$C$330, CEFF!J$163:J$330)</f>
        <v>0.73753000000000002</v>
      </c>
      <c r="R15" s="181"/>
      <c r="S15" s="181"/>
      <c r="T15" s="181"/>
      <c r="U15" s="181"/>
      <c r="V15" s="177"/>
      <c r="W15" s="179"/>
      <c r="X15" s="181"/>
      <c r="Y15" s="181"/>
      <c r="Z15" s="181"/>
      <c r="AA15" s="181"/>
      <c r="AB15" s="181"/>
      <c r="AC15" s="181"/>
      <c r="AD15" s="181"/>
      <c r="AE15" s="181"/>
    </row>
    <row r="16" spans="2:31" x14ac:dyDescent="0.3">
      <c r="K16" s="5"/>
    </row>
    <row r="17" spans="2:31" x14ac:dyDescent="0.3">
      <c r="K17" s="5"/>
    </row>
    <row r="18" spans="2:31" x14ac:dyDescent="0.3">
      <c r="B18" s="6" t="s">
        <v>0</v>
      </c>
      <c r="C18" s="7"/>
      <c r="D18" s="8"/>
      <c r="E18" s="8"/>
      <c r="F18" s="9" t="s">
        <v>1</v>
      </c>
      <c r="G18" s="9"/>
    </row>
    <row r="19" spans="2:31" ht="27.9" customHeight="1" x14ac:dyDescent="0.3">
      <c r="B19" s="199" t="s">
        <v>2</v>
      </c>
      <c r="C19" s="199" t="s">
        <v>3</v>
      </c>
      <c r="D19" s="199" t="s">
        <v>4</v>
      </c>
      <c r="E19" s="199" t="s">
        <v>5</v>
      </c>
      <c r="F19" s="200" t="s">
        <v>6</v>
      </c>
      <c r="G19" s="200" t="s">
        <v>186</v>
      </c>
      <c r="H19" s="201" t="s">
        <v>185</v>
      </c>
      <c r="I19" s="201" t="s">
        <v>11</v>
      </c>
      <c r="J19" s="200" t="s">
        <v>12</v>
      </c>
      <c r="K19" s="200" t="s">
        <v>7</v>
      </c>
      <c r="L19" s="200" t="s">
        <v>8</v>
      </c>
      <c r="M19" s="201" t="s">
        <v>688</v>
      </c>
      <c r="N19" s="201" t="s">
        <v>321</v>
      </c>
      <c r="O19" s="201" t="s">
        <v>322</v>
      </c>
      <c r="P19" s="201" t="s">
        <v>9</v>
      </c>
      <c r="Q19" s="201" t="s">
        <v>10</v>
      </c>
      <c r="R19" s="201" t="s">
        <v>687</v>
      </c>
      <c r="S19" s="201" t="s">
        <v>448</v>
      </c>
      <c r="T19" s="201" t="s">
        <v>13</v>
      </c>
      <c r="U19" s="201" t="s">
        <v>382</v>
      </c>
      <c r="V19" s="201" t="s">
        <v>42</v>
      </c>
      <c r="W19" s="201" t="s">
        <v>14</v>
      </c>
      <c r="X19" s="201" t="s">
        <v>381</v>
      </c>
      <c r="Y19" s="201" t="s">
        <v>15</v>
      </c>
      <c r="Z19" s="201" t="s">
        <v>16</v>
      </c>
      <c r="AA19" s="201" t="s">
        <v>17</v>
      </c>
      <c r="AB19" s="201" t="s">
        <v>18</v>
      </c>
      <c r="AC19" s="201" t="s">
        <v>19</v>
      </c>
      <c r="AD19" s="201" t="s">
        <v>20</v>
      </c>
      <c r="AE19" s="201" t="s">
        <v>21</v>
      </c>
    </row>
    <row r="20" spans="2:31" ht="33.75" customHeight="1" thickBot="1" x14ac:dyDescent="0.35">
      <c r="B20" s="202" t="s">
        <v>22</v>
      </c>
      <c r="C20" s="202"/>
      <c r="D20" s="202"/>
      <c r="E20" s="202"/>
      <c r="F20" s="203" t="s">
        <v>23</v>
      </c>
      <c r="G20" s="203">
        <v>2019</v>
      </c>
      <c r="H20" s="204" t="s">
        <v>26</v>
      </c>
      <c r="I20" s="204" t="s">
        <v>543</v>
      </c>
      <c r="J20" s="204" t="s">
        <v>25</v>
      </c>
      <c r="K20" s="203"/>
      <c r="L20" s="203"/>
      <c r="M20" s="205" t="s">
        <v>653</v>
      </c>
      <c r="N20" s="205" t="s">
        <v>653</v>
      </c>
      <c r="O20" s="205" t="s">
        <v>653</v>
      </c>
      <c r="P20" s="205" t="s">
        <v>653</v>
      </c>
      <c r="Q20" s="205" t="s">
        <v>653</v>
      </c>
      <c r="R20" s="204" t="s">
        <v>658</v>
      </c>
      <c r="S20" s="204" t="s">
        <v>658</v>
      </c>
      <c r="T20" s="204" t="s">
        <v>658</v>
      </c>
      <c r="U20" s="204" t="s">
        <v>658</v>
      </c>
      <c r="V20" s="206" t="s">
        <v>662</v>
      </c>
      <c r="W20" s="206" t="s">
        <v>661</v>
      </c>
      <c r="X20" s="206" t="s">
        <v>657</v>
      </c>
      <c r="Y20" s="206" t="s">
        <v>657</v>
      </c>
      <c r="Z20" s="206" t="s">
        <v>657</v>
      </c>
      <c r="AA20" s="206" t="s">
        <v>657</v>
      </c>
      <c r="AB20" s="206" t="s">
        <v>657</v>
      </c>
      <c r="AC20" s="206" t="s">
        <v>657</v>
      </c>
      <c r="AD20" s="206" t="s">
        <v>657</v>
      </c>
      <c r="AE20" s="206" t="s">
        <v>657</v>
      </c>
    </row>
    <row r="21" spans="2:31" ht="13.5" customHeight="1" x14ac:dyDescent="0.3">
      <c r="B21" s="232" t="s">
        <v>573</v>
      </c>
      <c r="C21" s="208" t="str">
        <f>LOOKUP(B21, TRA_COMM_PRO!$C$6:$C$189, TRA_COMM_PRO!$D$6:$D$189)</f>
        <v>LightElectricVehicle(LEV).Passenger.01.</v>
      </c>
      <c r="D21" s="232" t="s">
        <v>27</v>
      </c>
      <c r="E21" s="232"/>
      <c r="F21" s="232"/>
      <c r="G21" s="10">
        <f>$G$20</f>
        <v>2019</v>
      </c>
      <c r="H21" s="11">
        <v>8</v>
      </c>
      <c r="I21" s="65">
        <v>1E-3</v>
      </c>
      <c r="J21" s="162">
        <v>1</v>
      </c>
      <c r="K21" s="10"/>
      <c r="L21" s="10"/>
      <c r="M21" s="163">
        <f>LOOKUP($B21, CEFF!$C$163:$C$330, CEFF!F$163:F$330)</f>
        <v>3</v>
      </c>
      <c r="N21" s="163">
        <f>LOOKUP($B21, CEFF!$C$163:$C$330, CEFF!G$163:G$330)</f>
        <v>3</v>
      </c>
      <c r="O21" s="163">
        <f>LOOKUP($B21, CEFF!$C$163:$C$330, CEFF!H$163:H$330)</f>
        <v>3</v>
      </c>
      <c r="P21" s="163">
        <f>LOOKUP($B21, CEFF!$C$163:$C$330, CEFF!I$163:I$330)</f>
        <v>3</v>
      </c>
      <c r="Q21" s="163">
        <f>LOOKUP($B21, CEFF!$C$163:$C$330, CEFF!J$163:J$330)</f>
        <v>3</v>
      </c>
      <c r="R21" s="11">
        <v>8</v>
      </c>
      <c r="S21" s="11"/>
      <c r="T21" s="11"/>
      <c r="U21" s="11"/>
      <c r="V21" s="13"/>
      <c r="W21" s="14"/>
      <c r="X21" s="163">
        <f>LOOKUP($B21, INVCOST!$C$8:$C$193, INVCOST!D$8:D$193)</f>
        <v>7</v>
      </c>
      <c r="Y21" s="163">
        <f>LOOKUP($B21, INVCOST!$C$8:$C$193, INVCOST!E$8:E$193)</f>
        <v>6.93</v>
      </c>
      <c r="Z21" s="163">
        <f>LOOKUP($B21, INVCOST!$C$8:$C$193, INVCOST!F$8:F$193)</f>
        <v>6.8606999999999996</v>
      </c>
      <c r="AA21" s="163">
        <f>LOOKUP($B21, INVCOST!$C$8:$C$193, INVCOST!G$8:G$193)</f>
        <v>6.7920929999999995</v>
      </c>
      <c r="AB21" s="163">
        <f>LOOKUP($B21, INVCOST!$C$8:$C$193, INVCOST!H$8:H$193)</f>
        <v>6.7241720699999998</v>
      </c>
      <c r="AC21" s="163">
        <f>LOOKUP($B21, INVCOST!$C$8:$C$193, INVCOST!I$8:I$193)</f>
        <v>6.6569303492999996</v>
      </c>
      <c r="AD21" s="163">
        <f>LOOKUP($B21, INVCOST!$C$8:$C$193, INVCOST!J$8:J$193)</f>
        <v>6.5903610458069997</v>
      </c>
      <c r="AE21" s="163">
        <f>LOOKUP($B21, INVCOST!$C$8:$C$193, INVCOST!K$8:K$193)</f>
        <v>6.5244574353489293</v>
      </c>
    </row>
    <row r="22" spans="2:31" ht="13.5" customHeight="1" x14ac:dyDescent="0.3">
      <c r="B22" s="233"/>
      <c r="C22" s="215"/>
      <c r="D22" s="233"/>
      <c r="E22" s="233"/>
      <c r="F22" s="233" t="s">
        <v>575</v>
      </c>
      <c r="G22" s="16"/>
      <c r="H22" s="17"/>
      <c r="I22" s="18"/>
      <c r="J22" s="165"/>
      <c r="K22" s="16"/>
      <c r="L22" s="16"/>
      <c r="M22" s="258"/>
      <c r="N22" s="258"/>
      <c r="O22" s="258"/>
      <c r="P22" s="258"/>
      <c r="Q22" s="258"/>
      <c r="R22" s="17"/>
      <c r="S22" s="17"/>
      <c r="T22" s="17"/>
      <c r="U22" s="17"/>
      <c r="V22" s="19"/>
      <c r="W22" s="20"/>
      <c r="X22" s="21"/>
      <c r="Y22" s="21"/>
      <c r="Z22" s="21"/>
      <c r="AA22" s="21"/>
      <c r="AB22" s="21"/>
      <c r="AC22" s="21"/>
      <c r="AD22" s="21"/>
      <c r="AE22" s="21"/>
    </row>
    <row r="23" spans="2:31" ht="13.5" customHeight="1" x14ac:dyDescent="0.3">
      <c r="B23" s="232" t="s">
        <v>578</v>
      </c>
      <c r="C23" s="208" t="str">
        <f>LOOKUP(B23, TRA_COMM_PRO!$C$6:$C$189, TRA_COMM_PRO!$D$6:$D$189)</f>
        <v>LightElectricVehicle(LEV).Passenger.City.01.</v>
      </c>
      <c r="D23" s="232" t="s">
        <v>27</v>
      </c>
      <c r="E23" s="232"/>
      <c r="F23" s="232"/>
      <c r="G23" s="10">
        <f>$G$20</f>
        <v>2019</v>
      </c>
      <c r="H23" s="11">
        <v>8</v>
      </c>
      <c r="I23" s="65">
        <v>1E-3</v>
      </c>
      <c r="J23" s="162">
        <v>1</v>
      </c>
      <c r="K23" s="10"/>
      <c r="L23" s="10"/>
      <c r="M23" s="163">
        <f>LOOKUP($B23, CEFF!$C$163:$C$330, CEFF!F$163:F$330)</f>
        <v>3</v>
      </c>
      <c r="N23" s="163">
        <f>LOOKUP($B23, CEFF!$C$163:$C$330, CEFF!G$163:G$330)</f>
        <v>3</v>
      </c>
      <c r="O23" s="163">
        <f>LOOKUP($B23, CEFF!$C$163:$C$330, CEFF!H$163:H$330)</f>
        <v>3</v>
      </c>
      <c r="P23" s="163">
        <f>LOOKUP($B23, CEFF!$C$163:$C$330, CEFF!I$163:I$330)</f>
        <v>3</v>
      </c>
      <c r="Q23" s="163">
        <f>LOOKUP($B23, CEFF!$C$163:$C$330, CEFF!J$163:J$330)</f>
        <v>3</v>
      </c>
      <c r="R23" s="11">
        <v>8</v>
      </c>
      <c r="S23" s="11"/>
      <c r="T23" s="11"/>
      <c r="U23" s="11"/>
      <c r="V23" s="13"/>
      <c r="W23" s="14"/>
      <c r="X23" s="163">
        <f>LOOKUP($B23, INVCOST!$C$8:$C$193, INVCOST!D$8:D$193)</f>
        <v>7</v>
      </c>
      <c r="Y23" s="163">
        <f>LOOKUP($B23, INVCOST!$C$8:$C$193, INVCOST!E$8:E$193)</f>
        <v>6.93</v>
      </c>
      <c r="Z23" s="163">
        <f>LOOKUP($B23, INVCOST!$C$8:$C$193, INVCOST!F$8:F$193)</f>
        <v>6.8606999999999996</v>
      </c>
      <c r="AA23" s="163">
        <f>LOOKUP($B23, INVCOST!$C$8:$C$193, INVCOST!G$8:G$193)</f>
        <v>6.7920929999999995</v>
      </c>
      <c r="AB23" s="163">
        <f>LOOKUP($B23, INVCOST!$C$8:$C$193, INVCOST!H$8:H$193)</f>
        <v>6.7241720699999998</v>
      </c>
      <c r="AC23" s="163">
        <f>LOOKUP($B23, INVCOST!$C$8:$C$193, INVCOST!I$8:I$193)</f>
        <v>6.6569303492999996</v>
      </c>
      <c r="AD23" s="163">
        <f>LOOKUP($B23, INVCOST!$C$8:$C$193, INVCOST!J$8:J$193)</f>
        <v>6.5903610458069997</v>
      </c>
      <c r="AE23" s="163">
        <f>LOOKUP($B23, INVCOST!$C$8:$C$193, INVCOST!K$8:K$193)</f>
        <v>6.5244574353489293</v>
      </c>
    </row>
    <row r="24" spans="2:31" ht="13.5" customHeight="1" x14ac:dyDescent="0.3">
      <c r="B24" s="233"/>
      <c r="C24" s="215"/>
      <c r="D24" s="233"/>
      <c r="E24" s="233"/>
      <c r="F24" s="233" t="s">
        <v>619</v>
      </c>
      <c r="G24" s="16"/>
      <c r="H24" s="17"/>
      <c r="I24" s="18"/>
      <c r="J24" s="165"/>
      <c r="K24" s="16"/>
      <c r="L24" s="16"/>
      <c r="M24" s="258"/>
      <c r="N24" s="258"/>
      <c r="O24" s="258"/>
      <c r="P24" s="258"/>
      <c r="Q24" s="258"/>
      <c r="R24" s="17"/>
      <c r="S24" s="17"/>
      <c r="T24" s="17"/>
      <c r="U24" s="17"/>
      <c r="V24" s="19"/>
      <c r="W24" s="20"/>
      <c r="X24" s="21"/>
      <c r="Y24" s="21"/>
      <c r="Z24" s="21"/>
      <c r="AA24" s="21"/>
      <c r="AB24" s="21"/>
      <c r="AC24" s="21"/>
      <c r="AD24" s="21"/>
      <c r="AE24" s="21"/>
    </row>
    <row r="25" spans="2:31" ht="13.5" customHeight="1" x14ac:dyDescent="0.3">
      <c r="B25" s="232" t="s">
        <v>29</v>
      </c>
      <c r="C25" s="208" t="str">
        <f>LOOKUP(B25, TRA_COMM_PRO!$C$6:$C$189, TRA_COMM_PRO!$D$6:$D$189)</f>
        <v>BicYcle.Electric.Passenger.01.</v>
      </c>
      <c r="D25" s="232" t="s">
        <v>27</v>
      </c>
      <c r="E25" s="232"/>
      <c r="F25" s="232"/>
      <c r="G25" s="10">
        <f>$G$20</f>
        <v>2019</v>
      </c>
      <c r="H25" s="11">
        <v>8</v>
      </c>
      <c r="I25" s="65">
        <v>1E-3</v>
      </c>
      <c r="J25" s="162">
        <v>1</v>
      </c>
      <c r="K25" s="10"/>
      <c r="L25" s="10">
        <v>0.5</v>
      </c>
      <c r="M25" s="164">
        <f>CEFF!F325</f>
        <v>4.53</v>
      </c>
      <c r="N25" s="164">
        <f>CEFF!G325</f>
        <v>4.53</v>
      </c>
      <c r="O25" s="164">
        <f>CEFF!H325</f>
        <v>4.53</v>
      </c>
      <c r="P25" s="164">
        <f>CEFF!I325</f>
        <v>4.53</v>
      </c>
      <c r="Q25" s="164">
        <f>CEFF!J325</f>
        <v>4.53</v>
      </c>
      <c r="R25" s="11">
        <v>8</v>
      </c>
      <c r="S25" s="11"/>
      <c r="T25" s="11"/>
      <c r="U25" s="11"/>
      <c r="V25" s="13"/>
      <c r="W25" s="14"/>
      <c r="X25" s="163">
        <f>LOOKUP($B25, INVCOST!$C$8:$C$193, INVCOST!D$8:D$193)</f>
        <v>1.5</v>
      </c>
      <c r="Y25" s="163">
        <f>LOOKUP($B25, INVCOST!$C$8:$C$193, INVCOST!E$8:E$193)</f>
        <v>1.4849999999999999</v>
      </c>
      <c r="Z25" s="163">
        <f>LOOKUP($B25, INVCOST!$C$8:$C$193, INVCOST!F$8:F$193)</f>
        <v>1.4701499999999998</v>
      </c>
      <c r="AA25" s="163">
        <f>LOOKUP($B25, INVCOST!$C$8:$C$193, INVCOST!G$8:G$193)</f>
        <v>1.4554484999999999</v>
      </c>
      <c r="AB25" s="163">
        <f>LOOKUP($B25, INVCOST!$C$8:$C$193, INVCOST!H$8:H$193)</f>
        <v>1.4408940149999998</v>
      </c>
      <c r="AC25" s="163">
        <f>LOOKUP($B25, INVCOST!$C$8:$C$193, INVCOST!I$8:I$193)</f>
        <v>1.4264850748499998</v>
      </c>
      <c r="AD25" s="163">
        <f>LOOKUP($B25, INVCOST!$C$8:$C$193, INVCOST!J$8:J$193)</f>
        <v>1.4122202241014998</v>
      </c>
      <c r="AE25" s="163">
        <f>LOOKUP($B25, INVCOST!$C$8:$C$193, INVCOST!K$8:K$193)</f>
        <v>1.3980980218604848</v>
      </c>
    </row>
    <row r="26" spans="2:31" ht="13.5" customHeight="1" x14ac:dyDescent="0.3">
      <c r="B26" s="232"/>
      <c r="C26" s="211"/>
      <c r="D26" s="232" t="s">
        <v>30</v>
      </c>
      <c r="E26" s="232"/>
      <c r="F26" s="232"/>
      <c r="G26" s="10"/>
      <c r="H26" s="11"/>
      <c r="I26" s="12"/>
      <c r="J26" s="162"/>
      <c r="K26" s="10"/>
      <c r="L26" s="10"/>
      <c r="M26" s="43">
        <f>CEFF!F326</f>
        <v>1000</v>
      </c>
      <c r="N26" s="43">
        <f>CEFF!G326</f>
        <v>1000</v>
      </c>
      <c r="O26" s="43">
        <f>CEFF!H326</f>
        <v>1000</v>
      </c>
      <c r="P26" s="43">
        <f>CEFF!I326</f>
        <v>1000</v>
      </c>
      <c r="Q26" s="43">
        <f>CEFF!J326</f>
        <v>1000</v>
      </c>
      <c r="R26" s="11"/>
      <c r="S26" s="11"/>
      <c r="T26" s="11"/>
      <c r="U26" s="11"/>
      <c r="V26" s="13"/>
      <c r="W26" s="14"/>
      <c r="X26" s="15"/>
      <c r="Y26" s="15"/>
      <c r="Z26" s="15"/>
      <c r="AA26" s="15"/>
      <c r="AB26" s="15"/>
      <c r="AC26" s="15"/>
      <c r="AD26" s="15"/>
      <c r="AE26" s="15"/>
    </row>
    <row r="27" spans="2:31" ht="13.5" customHeight="1" x14ac:dyDescent="0.3">
      <c r="B27" s="233"/>
      <c r="C27" s="215"/>
      <c r="D27" s="233"/>
      <c r="E27" s="233"/>
      <c r="F27" s="233" t="s">
        <v>31</v>
      </c>
      <c r="G27" s="16"/>
      <c r="H27" s="17"/>
      <c r="I27" s="18"/>
      <c r="J27" s="165"/>
      <c r="K27" s="16"/>
      <c r="L27" s="16"/>
      <c r="M27" s="258"/>
      <c r="N27" s="258"/>
      <c r="O27" s="258"/>
      <c r="P27" s="258"/>
      <c r="Q27" s="258"/>
      <c r="R27" s="17"/>
      <c r="S27" s="17"/>
      <c r="T27" s="17"/>
      <c r="U27" s="17"/>
      <c r="V27" s="19"/>
      <c r="W27" s="20"/>
      <c r="X27" s="21"/>
      <c r="Y27" s="21"/>
      <c r="Z27" s="21"/>
      <c r="AA27" s="21"/>
      <c r="AB27" s="21"/>
      <c r="AC27" s="21"/>
      <c r="AD27" s="21"/>
      <c r="AE27" s="21"/>
    </row>
    <row r="28" spans="2:31" ht="13.5" customHeight="1" x14ac:dyDescent="0.3">
      <c r="B28" s="232" t="s">
        <v>283</v>
      </c>
      <c r="C28" s="208" t="str">
        <f>LOOKUP(B28, TRA_COMM_PRO!$C$6:$C$189, TRA_COMM_PRO!$D$6:$D$189)</f>
        <v>BicYcle.Electric.Passenger.City.01.</v>
      </c>
      <c r="D28" s="232" t="s">
        <v>27</v>
      </c>
      <c r="E28" s="232"/>
      <c r="F28" s="232"/>
      <c r="G28" s="10">
        <f>$G$20</f>
        <v>2019</v>
      </c>
      <c r="H28" s="11">
        <v>8</v>
      </c>
      <c r="I28" s="65">
        <v>1E-3</v>
      </c>
      <c r="J28" s="162">
        <v>1</v>
      </c>
      <c r="K28" s="10"/>
      <c r="L28" s="10">
        <v>0.5</v>
      </c>
      <c r="M28" s="164">
        <f>CEFF!F328</f>
        <v>4.53</v>
      </c>
      <c r="N28" s="164">
        <f>CEFF!G328</f>
        <v>4.53</v>
      </c>
      <c r="O28" s="164">
        <f>CEFF!H328</f>
        <v>4.53</v>
      </c>
      <c r="P28" s="164">
        <f>CEFF!I328</f>
        <v>4.53</v>
      </c>
      <c r="Q28" s="164">
        <f>CEFF!J328</f>
        <v>4.53</v>
      </c>
      <c r="R28" s="11">
        <v>8</v>
      </c>
      <c r="S28" s="11"/>
      <c r="T28" s="11"/>
      <c r="U28" s="11"/>
      <c r="V28" s="13"/>
      <c r="W28" s="14"/>
      <c r="X28" s="163">
        <f>LOOKUP($B28, INVCOST!$C$8:$C$193, INVCOST!D$8:D$193)</f>
        <v>1.5</v>
      </c>
      <c r="Y28" s="163">
        <f>LOOKUP($B28, INVCOST!$C$8:$C$193, INVCOST!E$8:E$193)</f>
        <v>1.4849999999999999</v>
      </c>
      <c r="Z28" s="163">
        <f>LOOKUP($B28, INVCOST!$C$8:$C$193, INVCOST!F$8:F$193)</f>
        <v>1.4701499999999998</v>
      </c>
      <c r="AA28" s="163">
        <f>LOOKUP($B28, INVCOST!$C$8:$C$193, INVCOST!G$8:G$193)</f>
        <v>1.4554484999999999</v>
      </c>
      <c r="AB28" s="163">
        <f>LOOKUP($B28, INVCOST!$C$8:$C$193, INVCOST!H$8:H$193)</f>
        <v>1.4408940149999998</v>
      </c>
      <c r="AC28" s="163">
        <f>LOOKUP($B28, INVCOST!$C$8:$C$193, INVCOST!I$8:I$193)</f>
        <v>1.4264850748499998</v>
      </c>
      <c r="AD28" s="163">
        <f>LOOKUP($B28, INVCOST!$C$8:$C$193, INVCOST!J$8:J$193)</f>
        <v>1.4122202241014998</v>
      </c>
      <c r="AE28" s="163">
        <f>LOOKUP($B28, INVCOST!$C$8:$C$193, INVCOST!K$8:K$193)</f>
        <v>1.3980980218604848</v>
      </c>
    </row>
    <row r="29" spans="2:31" ht="13.5" customHeight="1" x14ac:dyDescent="0.3">
      <c r="B29" s="232"/>
      <c r="C29" s="211"/>
      <c r="D29" s="232" t="s">
        <v>30</v>
      </c>
      <c r="E29" s="232"/>
      <c r="F29" s="232"/>
      <c r="G29" s="10"/>
      <c r="H29" s="11"/>
      <c r="I29" s="12"/>
      <c r="J29" s="162"/>
      <c r="K29" s="10"/>
      <c r="L29" s="10"/>
      <c r="M29" s="283">
        <f>CEFF!F327</f>
        <v>1000</v>
      </c>
      <c r="N29" s="283">
        <f>CEFF!G327</f>
        <v>1000</v>
      </c>
      <c r="O29" s="283">
        <f>CEFF!H327</f>
        <v>1000</v>
      </c>
      <c r="P29" s="283">
        <f>CEFF!I327</f>
        <v>1000</v>
      </c>
      <c r="Q29" s="283">
        <f>CEFF!J327</f>
        <v>1000</v>
      </c>
      <c r="R29" s="11"/>
      <c r="S29" s="11"/>
      <c r="T29" s="11"/>
      <c r="U29" s="11"/>
      <c r="V29" s="13"/>
      <c r="W29" s="14"/>
      <c r="X29" s="15"/>
      <c r="Y29" s="15"/>
      <c r="Z29" s="15"/>
      <c r="AA29" s="15"/>
      <c r="AB29" s="15"/>
      <c r="AC29" s="15"/>
      <c r="AD29" s="15"/>
      <c r="AE29" s="15"/>
    </row>
    <row r="30" spans="2:31" ht="13.5" customHeight="1" x14ac:dyDescent="0.3">
      <c r="B30" s="234"/>
      <c r="C30" s="233"/>
      <c r="D30" s="232"/>
      <c r="E30" s="232"/>
      <c r="F30" s="232" t="s">
        <v>389</v>
      </c>
      <c r="G30" s="16"/>
      <c r="H30" s="11"/>
      <c r="I30" s="18"/>
      <c r="J30" s="162"/>
      <c r="K30" s="10"/>
      <c r="L30" s="10"/>
      <c r="M30" s="284"/>
      <c r="N30" s="284"/>
      <c r="O30" s="284"/>
      <c r="P30" s="284"/>
      <c r="Q30" s="284"/>
      <c r="R30" s="11"/>
      <c r="S30" s="11"/>
      <c r="T30" s="11"/>
      <c r="U30" s="11"/>
      <c r="V30" s="14"/>
      <c r="W30" s="14"/>
      <c r="X30" s="21"/>
      <c r="Y30" s="21"/>
      <c r="Z30" s="21"/>
      <c r="AA30" s="21"/>
      <c r="AB30" s="21"/>
      <c r="AC30" s="21"/>
      <c r="AD30" s="21"/>
      <c r="AE30" s="21"/>
    </row>
    <row r="31" spans="2:31" x14ac:dyDescent="0.3">
      <c r="B31" s="235" t="s">
        <v>32</v>
      </c>
      <c r="C31" s="208" t="str">
        <f>LOOKUP(B31, TRA_COMM_PRO!$C$6:$C$189, TRA_COMM_PRO!$D$6:$D$189)</f>
        <v>BicYcle.Passenger.01.</v>
      </c>
      <c r="D31" s="235" t="s">
        <v>30</v>
      </c>
      <c r="E31" s="235"/>
      <c r="F31" s="235"/>
      <c r="G31" s="10">
        <f>$G$20</f>
        <v>2019</v>
      </c>
      <c r="H31" s="23">
        <v>15</v>
      </c>
      <c r="I31" s="65">
        <v>1E-3</v>
      </c>
      <c r="J31" s="166">
        <v>1</v>
      </c>
      <c r="K31" s="25"/>
      <c r="L31" s="25"/>
      <c r="M31" s="43">
        <f>LOOKUP($B31, CEFF!$C$163:$C$330, CEFF!F$163:F$330)</f>
        <v>1000</v>
      </c>
      <c r="N31" s="43">
        <f>LOOKUP($B31, CEFF!$C$163:$C$330, CEFF!G$163:G$330)</f>
        <v>1000</v>
      </c>
      <c r="O31" s="43">
        <f>LOOKUP($B31, CEFF!$C$163:$C$330, CEFF!H$163:H$330)</f>
        <v>1000</v>
      </c>
      <c r="P31" s="43">
        <f>LOOKUP($B31, CEFF!$C$163:$C$330, CEFF!I$163:I$330)</f>
        <v>1000</v>
      </c>
      <c r="Q31" s="43">
        <f>LOOKUP($B31, CEFF!$C$163:$C$330, CEFF!J$163:J$330)</f>
        <v>1000</v>
      </c>
      <c r="R31" s="23">
        <v>6</v>
      </c>
      <c r="S31" s="23"/>
      <c r="T31" s="23"/>
      <c r="U31" s="23"/>
      <c r="V31" s="26"/>
      <c r="W31" s="27"/>
      <c r="X31" s="163">
        <f>LOOKUP($B31, INVCOST!$C$8:$C$193, INVCOST!D$8:D$193)</f>
        <v>0.3</v>
      </c>
      <c r="Y31" s="163">
        <f>LOOKUP($B31, INVCOST!$C$8:$C$193, INVCOST!E$8:E$193)</f>
        <v>0.3</v>
      </c>
      <c r="Z31" s="163">
        <f>LOOKUP($B31, INVCOST!$C$8:$C$193, INVCOST!F$8:F$193)</f>
        <v>0.3</v>
      </c>
      <c r="AA31" s="163">
        <f>LOOKUP($B31, INVCOST!$C$8:$C$193, INVCOST!G$8:G$193)</f>
        <v>0.3</v>
      </c>
      <c r="AB31" s="163">
        <f>LOOKUP($B31, INVCOST!$C$8:$C$193, INVCOST!H$8:H$193)</f>
        <v>0.3</v>
      </c>
      <c r="AC31" s="163">
        <f>LOOKUP($B31, INVCOST!$C$8:$C$193, INVCOST!I$8:I$193)</f>
        <v>0.3</v>
      </c>
      <c r="AD31" s="163">
        <f>LOOKUP($B31, INVCOST!$C$8:$C$193, INVCOST!J$8:J$193)</f>
        <v>0.3</v>
      </c>
      <c r="AE31" s="163">
        <f>LOOKUP($B31, INVCOST!$C$8:$C$193, INVCOST!K$8:K$193)</f>
        <v>0.3</v>
      </c>
    </row>
    <row r="32" spans="2:31" x14ac:dyDescent="0.3">
      <c r="B32" s="236"/>
      <c r="C32" s="215"/>
      <c r="D32" s="233"/>
      <c r="E32" s="233"/>
      <c r="F32" s="233" t="s">
        <v>33</v>
      </c>
      <c r="G32" s="16"/>
      <c r="H32" s="17"/>
      <c r="I32" s="18"/>
      <c r="J32" s="165"/>
      <c r="K32" s="16"/>
      <c r="L32" s="16"/>
      <c r="M32" s="284"/>
      <c r="N32" s="284"/>
      <c r="O32" s="284"/>
      <c r="P32" s="284"/>
      <c r="Q32" s="284"/>
      <c r="R32" s="17"/>
      <c r="S32" s="17"/>
      <c r="T32" s="17"/>
      <c r="U32" s="17"/>
      <c r="V32" s="19"/>
      <c r="W32" s="20"/>
      <c r="X32" s="21"/>
      <c r="Y32" s="21"/>
      <c r="Z32" s="21"/>
      <c r="AA32" s="21"/>
      <c r="AB32" s="21"/>
      <c r="AC32" s="21"/>
      <c r="AD32" s="21"/>
      <c r="AE32" s="21"/>
    </row>
    <row r="33" spans="2:31" x14ac:dyDescent="0.3">
      <c r="B33" s="235" t="s">
        <v>287</v>
      </c>
      <c r="C33" s="208" t="str">
        <f>LOOKUP(B33, TRA_COMM_PRO!$C$6:$C$189, TRA_COMM_PRO!$D$6:$D$189)</f>
        <v>BicYcle.Passenger.City.01.</v>
      </c>
      <c r="D33" s="235" t="s">
        <v>30</v>
      </c>
      <c r="E33" s="235"/>
      <c r="F33" s="235"/>
      <c r="G33" s="10">
        <f>$G$20</f>
        <v>2019</v>
      </c>
      <c r="H33" s="23">
        <v>15</v>
      </c>
      <c r="I33" s="65">
        <v>1E-3</v>
      </c>
      <c r="J33" s="166">
        <v>1</v>
      </c>
      <c r="K33" s="25"/>
      <c r="L33" s="25"/>
      <c r="M33" s="43">
        <f>LOOKUP($B33, CEFF!$C$163:$C$330, CEFF!F$163:F$330)</f>
        <v>1000</v>
      </c>
      <c r="N33" s="43">
        <f>LOOKUP($B33, CEFF!$C$163:$C$330, CEFF!G$163:G$330)</f>
        <v>1000</v>
      </c>
      <c r="O33" s="43">
        <f>LOOKUP($B33, CEFF!$C$163:$C$330, CEFF!H$163:H$330)</f>
        <v>1000</v>
      </c>
      <c r="P33" s="43">
        <f>LOOKUP($B33, CEFF!$C$163:$C$330, CEFF!I$163:I$330)</f>
        <v>1000</v>
      </c>
      <c r="Q33" s="43">
        <f>LOOKUP($B33, CEFF!$C$163:$C$330, CEFF!J$163:J$330)</f>
        <v>1000</v>
      </c>
      <c r="R33" s="23">
        <v>6</v>
      </c>
      <c r="S33" s="23"/>
      <c r="T33" s="23"/>
      <c r="U33" s="23"/>
      <c r="V33" s="26"/>
      <c r="W33" s="27"/>
      <c r="X33" s="163">
        <f>LOOKUP($B33, INVCOST!$C$8:$C$193, INVCOST!D$8:D$193)</f>
        <v>0.3</v>
      </c>
      <c r="Y33" s="163">
        <f>LOOKUP($B33, INVCOST!$C$8:$C$193, INVCOST!E$8:E$193)</f>
        <v>0.3</v>
      </c>
      <c r="Z33" s="163">
        <f>LOOKUP($B33, INVCOST!$C$8:$C$193, INVCOST!F$8:F$193)</f>
        <v>0.3</v>
      </c>
      <c r="AA33" s="163">
        <f>LOOKUP($B33, INVCOST!$C$8:$C$193, INVCOST!G$8:G$193)</f>
        <v>0.3</v>
      </c>
      <c r="AB33" s="163">
        <f>LOOKUP($B33, INVCOST!$C$8:$C$193, INVCOST!H$8:H$193)</f>
        <v>0.3</v>
      </c>
      <c r="AC33" s="163">
        <f>LOOKUP($B33, INVCOST!$C$8:$C$193, INVCOST!I$8:I$193)</f>
        <v>0.3</v>
      </c>
      <c r="AD33" s="163">
        <f>LOOKUP($B33, INVCOST!$C$8:$C$193, INVCOST!J$8:J$193)</f>
        <v>0.3</v>
      </c>
      <c r="AE33" s="163">
        <f>LOOKUP($B33, INVCOST!$C$8:$C$193, INVCOST!K$8:K$193)</f>
        <v>0.3</v>
      </c>
    </row>
    <row r="34" spans="2:31" x14ac:dyDescent="0.3">
      <c r="B34" s="236"/>
      <c r="C34" s="215"/>
      <c r="D34" s="233"/>
      <c r="E34" s="233"/>
      <c r="F34" s="233" t="s">
        <v>390</v>
      </c>
      <c r="G34" s="16"/>
      <c r="H34" s="17"/>
      <c r="I34" s="18"/>
      <c r="J34" s="165"/>
      <c r="K34" s="16"/>
      <c r="L34" s="16"/>
      <c r="M34" s="284"/>
      <c r="N34" s="284"/>
      <c r="O34" s="284"/>
      <c r="P34" s="284"/>
      <c r="Q34" s="284"/>
      <c r="R34" s="17"/>
      <c r="S34" s="17"/>
      <c r="T34" s="17"/>
      <c r="U34" s="17"/>
      <c r="V34" s="19"/>
      <c r="W34" s="20"/>
      <c r="X34" s="21"/>
      <c r="Y34" s="21"/>
      <c r="Z34" s="21"/>
      <c r="AA34" s="21"/>
      <c r="AB34" s="21"/>
      <c r="AC34" s="21"/>
      <c r="AD34" s="21"/>
      <c r="AE34" s="21"/>
    </row>
    <row r="35" spans="2:31" x14ac:dyDescent="0.3">
      <c r="B35" s="235" t="s">
        <v>35</v>
      </c>
      <c r="C35" s="208" t="str">
        <f>LOOKUP(B35, TRA_COMM_PRO!$C$6:$C$189, TRA_COMM_PRO!$D$6:$D$189)</f>
        <v>Walking.Nonenergy.01.</v>
      </c>
      <c r="D35" s="235" t="s">
        <v>30</v>
      </c>
      <c r="E35" s="235"/>
      <c r="F35" s="235"/>
      <c r="G35" s="10">
        <f>$G$20</f>
        <v>2019</v>
      </c>
      <c r="H35" s="23"/>
      <c r="I35" s="65">
        <v>1E-3</v>
      </c>
      <c r="J35" s="166">
        <v>1</v>
      </c>
      <c r="K35" s="25"/>
      <c r="L35" s="25"/>
      <c r="M35" s="43">
        <f>LOOKUP($B35, CEFF!$C$163:$C$330, CEFF!F$163:F$330)</f>
        <v>1000</v>
      </c>
      <c r="N35" s="43">
        <f>LOOKUP($B35, CEFF!$C$163:$C$330, CEFF!G$163:G$330)</f>
        <v>1000</v>
      </c>
      <c r="O35" s="43">
        <f>LOOKUP($B35, CEFF!$C$163:$C$330, CEFF!H$163:H$330)</f>
        <v>1000</v>
      </c>
      <c r="P35" s="43">
        <f>LOOKUP($B35, CEFF!$C$163:$C$330, CEFF!I$163:I$330)</f>
        <v>1000</v>
      </c>
      <c r="Q35" s="43">
        <f>LOOKUP($B35, CEFF!$C$163:$C$330, CEFF!J$163:J$330)</f>
        <v>1000</v>
      </c>
      <c r="R35" s="29">
        <v>0.5</v>
      </c>
      <c r="S35" s="29"/>
      <c r="T35" s="29"/>
      <c r="U35" s="29"/>
      <c r="V35" s="27"/>
      <c r="W35" s="27"/>
      <c r="X35" s="163">
        <f>LOOKUP($B35, INVCOST!$C$8:$C$193, INVCOST!D$8:D$193)</f>
        <v>1E-3</v>
      </c>
      <c r="Y35" s="163">
        <f>LOOKUP($B35, INVCOST!$C$8:$C$193, INVCOST!E$8:E$193)</f>
        <v>1E-3</v>
      </c>
      <c r="Z35" s="163">
        <f>LOOKUP($B35, INVCOST!$C$8:$C$193, INVCOST!F$8:F$193)</f>
        <v>1E-3</v>
      </c>
      <c r="AA35" s="163">
        <f>LOOKUP($B35, INVCOST!$C$8:$C$193, INVCOST!G$8:G$193)</f>
        <v>1E-3</v>
      </c>
      <c r="AB35" s="163">
        <f>LOOKUP($B35, INVCOST!$C$8:$C$193, INVCOST!H$8:H$193)</f>
        <v>1E-3</v>
      </c>
      <c r="AC35" s="163">
        <f>LOOKUP($B35, INVCOST!$C$8:$C$193, INVCOST!I$8:I$193)</f>
        <v>1E-3</v>
      </c>
      <c r="AD35" s="163">
        <f>LOOKUP($B35, INVCOST!$C$8:$C$193, INVCOST!J$8:J$193)</f>
        <v>1E-3</v>
      </c>
      <c r="AE35" s="163">
        <f>LOOKUP($B35, INVCOST!$C$8:$C$193, INVCOST!K$8:K$193)</f>
        <v>1E-3</v>
      </c>
    </row>
    <row r="36" spans="2:31" x14ac:dyDescent="0.3">
      <c r="B36" s="236"/>
      <c r="C36" s="215"/>
      <c r="D36" s="233"/>
      <c r="E36" s="233"/>
      <c r="F36" s="233" t="s">
        <v>36</v>
      </c>
      <c r="G36" s="16"/>
      <c r="H36" s="17"/>
      <c r="I36" s="18"/>
      <c r="J36" s="165"/>
      <c r="K36" s="16"/>
      <c r="L36" s="16"/>
      <c r="M36" s="284"/>
      <c r="N36" s="284"/>
      <c r="O36" s="284"/>
      <c r="P36" s="284"/>
      <c r="Q36" s="284"/>
      <c r="R36" s="17"/>
      <c r="S36" s="17"/>
      <c r="T36" s="17"/>
      <c r="U36" s="17"/>
      <c r="V36" s="19"/>
      <c r="W36" s="20"/>
      <c r="X36" s="21"/>
      <c r="Y36" s="21"/>
      <c r="Z36" s="21"/>
      <c r="AA36" s="21"/>
      <c r="AB36" s="21"/>
      <c r="AC36" s="21"/>
      <c r="AD36" s="21"/>
      <c r="AE36" s="21"/>
    </row>
    <row r="37" spans="2:31" x14ac:dyDescent="0.3">
      <c r="B37" s="235" t="s">
        <v>279</v>
      </c>
      <c r="C37" s="208" t="str">
        <f>LOOKUP(B37, TRA_COMM_PRO!$C$6:$C$189, TRA_COMM_PRO!$D$6:$D$189)</f>
        <v>Walking.Nonenergy.City.01.</v>
      </c>
      <c r="D37" s="235" t="s">
        <v>30</v>
      </c>
      <c r="E37" s="235"/>
      <c r="F37" s="235"/>
      <c r="G37" s="10">
        <f>$G$20</f>
        <v>2019</v>
      </c>
      <c r="H37" s="23"/>
      <c r="I37" s="65">
        <v>1E-3</v>
      </c>
      <c r="J37" s="166">
        <v>1</v>
      </c>
      <c r="K37" s="25"/>
      <c r="L37" s="25"/>
      <c r="M37" s="43">
        <f>LOOKUP($B37, CEFF!$C$163:$C$330, CEFF!F$163:F$330)</f>
        <v>1000</v>
      </c>
      <c r="N37" s="43">
        <f>LOOKUP($B37, CEFF!$C$163:$C$330, CEFF!G$163:G$330)</f>
        <v>1000</v>
      </c>
      <c r="O37" s="43">
        <f>LOOKUP($B37, CEFF!$C$163:$C$330, CEFF!H$163:H$330)</f>
        <v>1000</v>
      </c>
      <c r="P37" s="43">
        <f>LOOKUP($B37, CEFF!$C$163:$C$330, CEFF!I$163:I$330)</f>
        <v>1000</v>
      </c>
      <c r="Q37" s="43">
        <f>LOOKUP($B37, CEFF!$C$163:$C$330, CEFF!J$163:J$330)</f>
        <v>1000</v>
      </c>
      <c r="R37" s="29">
        <v>0.5</v>
      </c>
      <c r="S37" s="29"/>
      <c r="T37" s="29"/>
      <c r="U37" s="29"/>
      <c r="V37" s="27"/>
      <c r="W37" s="27"/>
      <c r="X37" s="163">
        <f>LOOKUP($B37, INVCOST!$C$8:$C$193, INVCOST!D$8:D$193)</f>
        <v>1E-3</v>
      </c>
      <c r="Y37" s="163">
        <f>LOOKUP($B37, INVCOST!$C$8:$C$193, INVCOST!E$8:E$193)</f>
        <v>1E-3</v>
      </c>
      <c r="Z37" s="163">
        <f>LOOKUP($B37, INVCOST!$C$8:$C$193, INVCOST!F$8:F$193)</f>
        <v>1E-3</v>
      </c>
      <c r="AA37" s="163">
        <f>LOOKUP($B37, INVCOST!$C$8:$C$193, INVCOST!G$8:G$193)</f>
        <v>1E-3</v>
      </c>
      <c r="AB37" s="163">
        <f>LOOKUP($B37, INVCOST!$C$8:$C$193, INVCOST!H$8:H$193)</f>
        <v>1E-3</v>
      </c>
      <c r="AC37" s="163">
        <f>LOOKUP($B37, INVCOST!$C$8:$C$193, INVCOST!I$8:I$193)</f>
        <v>1E-3</v>
      </c>
      <c r="AD37" s="163">
        <f>LOOKUP($B37, INVCOST!$C$8:$C$193, INVCOST!J$8:J$193)</f>
        <v>1E-3</v>
      </c>
      <c r="AE37" s="163">
        <f>LOOKUP($B37, INVCOST!$C$8:$C$193, INVCOST!K$8:K$193)</f>
        <v>1E-3</v>
      </c>
    </row>
    <row r="38" spans="2:31" x14ac:dyDescent="0.3">
      <c r="B38" s="237"/>
      <c r="C38" s="238"/>
      <c r="D38" s="237"/>
      <c r="E38" s="237"/>
      <c r="F38" s="237" t="s">
        <v>388</v>
      </c>
      <c r="G38" s="183"/>
      <c r="H38" s="184"/>
      <c r="I38" s="185"/>
      <c r="J38" s="186"/>
      <c r="K38" s="183"/>
      <c r="L38" s="183"/>
      <c r="M38" s="187"/>
      <c r="N38" s="187"/>
      <c r="O38" s="187"/>
      <c r="P38" s="187"/>
      <c r="Q38" s="187"/>
      <c r="R38" s="188"/>
      <c r="S38" s="188"/>
      <c r="T38" s="188"/>
      <c r="U38" s="188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</row>
    <row r="39" spans="2:31" x14ac:dyDescent="0.3">
      <c r="B39" s="30"/>
      <c r="C39" s="30"/>
      <c r="D39" s="30"/>
      <c r="E39" s="30"/>
      <c r="F39" s="30"/>
      <c r="G39" s="30"/>
      <c r="H39" s="31"/>
      <c r="I39" s="32"/>
      <c r="J39" s="32"/>
      <c r="K39" s="30"/>
      <c r="L39" s="30"/>
      <c r="M39" s="33"/>
      <c r="N39" s="33"/>
      <c r="O39" s="33"/>
      <c r="P39" s="33"/>
      <c r="Q39" s="33"/>
      <c r="R39" s="34"/>
      <c r="S39" s="34"/>
      <c r="T39" s="34"/>
      <c r="U39" s="34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1" spans="2:31" x14ac:dyDescent="0.3">
      <c r="B41" s="6" t="s">
        <v>124</v>
      </c>
      <c r="C41" s="7"/>
      <c r="D41" s="8"/>
      <c r="E41" s="8"/>
      <c r="F41" s="9" t="s">
        <v>1</v>
      </c>
      <c r="G41" s="9"/>
    </row>
    <row r="42" spans="2:31" ht="28.8" x14ac:dyDescent="0.3">
      <c r="B42" s="199" t="s">
        <v>2</v>
      </c>
      <c r="C42" s="199" t="s">
        <v>3</v>
      </c>
      <c r="D42" s="199" t="s">
        <v>4</v>
      </c>
      <c r="E42" s="199" t="s">
        <v>5</v>
      </c>
      <c r="F42" s="200" t="s">
        <v>6</v>
      </c>
      <c r="G42" s="200" t="s">
        <v>186</v>
      </c>
      <c r="H42" s="201" t="s">
        <v>185</v>
      </c>
      <c r="I42" s="201" t="s">
        <v>11</v>
      </c>
      <c r="J42" s="200" t="s">
        <v>12</v>
      </c>
      <c r="K42" s="200" t="s">
        <v>7</v>
      </c>
      <c r="L42" s="200" t="s">
        <v>8</v>
      </c>
      <c r="M42" s="201" t="s">
        <v>688</v>
      </c>
      <c r="N42" s="201" t="s">
        <v>321</v>
      </c>
      <c r="O42" s="201" t="s">
        <v>322</v>
      </c>
      <c r="P42" s="201" t="s">
        <v>9</v>
      </c>
      <c r="Q42" s="201" t="s">
        <v>10</v>
      </c>
      <c r="R42" s="201" t="s">
        <v>687</v>
      </c>
      <c r="S42" s="201" t="s">
        <v>448</v>
      </c>
      <c r="T42" s="201" t="s">
        <v>13</v>
      </c>
      <c r="U42" s="201" t="s">
        <v>382</v>
      </c>
      <c r="V42" s="201" t="s">
        <v>42</v>
      </c>
      <c r="W42" s="201" t="s">
        <v>14</v>
      </c>
      <c r="X42" s="201" t="s">
        <v>381</v>
      </c>
      <c r="Y42" s="201" t="s">
        <v>15</v>
      </c>
      <c r="Z42" s="201" t="s">
        <v>16</v>
      </c>
      <c r="AA42" s="201" t="s">
        <v>17</v>
      </c>
      <c r="AB42" s="201" t="s">
        <v>18</v>
      </c>
      <c r="AC42" s="201" t="s">
        <v>19</v>
      </c>
      <c r="AD42" s="201" t="s">
        <v>20</v>
      </c>
      <c r="AE42" s="201" t="s">
        <v>21</v>
      </c>
    </row>
    <row r="43" spans="2:31" ht="33.75" customHeight="1" thickBot="1" x14ac:dyDescent="0.35">
      <c r="B43" s="202" t="s">
        <v>22</v>
      </c>
      <c r="C43" s="202"/>
      <c r="D43" s="202"/>
      <c r="E43" s="202"/>
      <c r="F43" s="203" t="s">
        <v>23</v>
      </c>
      <c r="G43" s="203">
        <v>2019</v>
      </c>
      <c r="H43" s="204" t="s">
        <v>26</v>
      </c>
      <c r="I43" s="204" t="s">
        <v>543</v>
      </c>
      <c r="J43" s="204" t="s">
        <v>126</v>
      </c>
      <c r="K43" s="203"/>
      <c r="L43" s="203"/>
      <c r="M43" s="205" t="s">
        <v>653</v>
      </c>
      <c r="N43" s="205" t="s">
        <v>653</v>
      </c>
      <c r="O43" s="205" t="s">
        <v>653</v>
      </c>
      <c r="P43" s="205" t="s">
        <v>653</v>
      </c>
      <c r="Q43" s="205" t="s">
        <v>653</v>
      </c>
      <c r="R43" s="204" t="s">
        <v>658</v>
      </c>
      <c r="S43" s="204" t="s">
        <v>658</v>
      </c>
      <c r="T43" s="204" t="s">
        <v>658</v>
      </c>
      <c r="U43" s="204" t="s">
        <v>658</v>
      </c>
      <c r="V43" s="206" t="s">
        <v>662</v>
      </c>
      <c r="W43" s="206" t="s">
        <v>661</v>
      </c>
      <c r="X43" s="206" t="s">
        <v>657</v>
      </c>
      <c r="Y43" s="206" t="s">
        <v>657</v>
      </c>
      <c r="Z43" s="206" t="s">
        <v>657</v>
      </c>
      <c r="AA43" s="206" t="s">
        <v>657</v>
      </c>
      <c r="AB43" s="206" t="s">
        <v>657</v>
      </c>
      <c r="AC43" s="206" t="s">
        <v>657</v>
      </c>
      <c r="AD43" s="206" t="s">
        <v>657</v>
      </c>
      <c r="AE43" s="206" t="s">
        <v>657</v>
      </c>
    </row>
    <row r="44" spans="2:31" s="39" customFormat="1" ht="13.5" customHeight="1" x14ac:dyDescent="0.3">
      <c r="B44" s="235" t="s">
        <v>574</v>
      </c>
      <c r="C44" s="235" t="str">
        <f>LOOKUP(B44, TRA_COMM_PRO!$C$6:$C$189, TRA_COMM_PRO!$D$6:$D$189)</f>
        <v>LightElectricVehicle(LEV).Freight.01.</v>
      </c>
      <c r="D44" s="235" t="s">
        <v>27</v>
      </c>
      <c r="E44" s="235"/>
      <c r="F44" s="235"/>
      <c r="G44" s="10">
        <f>$G$43</f>
        <v>2019</v>
      </c>
      <c r="H44" s="23">
        <v>8</v>
      </c>
      <c r="I44" s="65">
        <v>1E-3</v>
      </c>
      <c r="J44" s="24">
        <v>0.3</v>
      </c>
      <c r="K44" s="25"/>
      <c r="L44" s="25"/>
      <c r="M44" s="163">
        <f>LOOKUP($B44, CEFF!$C$163:$C$330, CEFF!F$163:F$330)</f>
        <v>1.51</v>
      </c>
      <c r="N44" s="163">
        <f>LOOKUP($B44, CEFF!$C$163:$C$330, CEFF!G$163:G$330)</f>
        <v>1.51</v>
      </c>
      <c r="O44" s="163">
        <f>LOOKUP($B44, CEFF!$C$163:$C$330, CEFF!H$163:H$330)</f>
        <v>1.51</v>
      </c>
      <c r="P44" s="163">
        <f>LOOKUP($B44, CEFF!$C$163:$C$330, CEFF!I$163:I$330)</f>
        <v>1.51</v>
      </c>
      <c r="Q44" s="163">
        <f>LOOKUP($B44, CEFF!$C$163:$C$330, CEFF!J$163:J$330)</f>
        <v>1.51</v>
      </c>
      <c r="R44" s="23">
        <v>5</v>
      </c>
      <c r="S44" s="23"/>
      <c r="T44" s="23"/>
      <c r="U44" s="23"/>
      <c r="V44" s="69"/>
      <c r="W44" s="69"/>
      <c r="X44" s="163">
        <f>LOOKUP($B44, INVCOST!$C$8:$C$193, INVCOST!D$8:D$193)</f>
        <v>7</v>
      </c>
      <c r="Y44" s="163">
        <f>LOOKUP($B44, INVCOST!$C$8:$C$193, INVCOST!E$8:E$193)</f>
        <v>6.93</v>
      </c>
      <c r="Z44" s="163">
        <f>LOOKUP($B44, INVCOST!$C$8:$C$193, INVCOST!F$8:F$193)</f>
        <v>6.8606999999999996</v>
      </c>
      <c r="AA44" s="163">
        <f>LOOKUP($B44, INVCOST!$C$8:$C$193, INVCOST!G$8:G$193)</f>
        <v>6.7920929999999995</v>
      </c>
      <c r="AB44" s="163">
        <f>LOOKUP($B44, INVCOST!$C$8:$C$193, INVCOST!H$8:H$193)</f>
        <v>6.7241720699999998</v>
      </c>
      <c r="AC44" s="163">
        <f>LOOKUP($B44, INVCOST!$C$8:$C$193, INVCOST!I$8:I$193)</f>
        <v>6.6569303492999996</v>
      </c>
      <c r="AD44" s="163">
        <f>LOOKUP($B44, INVCOST!$C$8:$C$193, INVCOST!J$8:J$193)</f>
        <v>6.5903610458069997</v>
      </c>
      <c r="AE44" s="163">
        <f>LOOKUP($B44, INVCOST!$C$8:$C$193, INVCOST!K$8:K$193)</f>
        <v>6.5244574353489293</v>
      </c>
    </row>
    <row r="45" spans="2:31" ht="13.5" customHeight="1" x14ac:dyDescent="0.3">
      <c r="B45" s="232"/>
      <c r="C45" s="232"/>
      <c r="D45" s="232"/>
      <c r="E45" s="232"/>
      <c r="F45" s="232" t="s">
        <v>576</v>
      </c>
      <c r="G45" s="144"/>
      <c r="H45" s="11"/>
      <c r="I45" s="18"/>
      <c r="J45" s="12"/>
      <c r="K45" s="10"/>
      <c r="L45" s="10"/>
      <c r="M45" s="256"/>
      <c r="N45" s="256"/>
      <c r="O45" s="256"/>
      <c r="P45" s="256"/>
      <c r="Q45" s="256"/>
      <c r="R45" s="11"/>
      <c r="S45" s="11"/>
      <c r="T45" s="11"/>
      <c r="U45" s="11"/>
      <c r="V45" s="68"/>
      <c r="W45" s="68"/>
      <c r="X45" s="167"/>
      <c r="Y45" s="167"/>
      <c r="Z45" s="167"/>
      <c r="AA45" s="167"/>
      <c r="AB45" s="167"/>
      <c r="AC45" s="167"/>
      <c r="AD45" s="167"/>
      <c r="AE45" s="167"/>
    </row>
    <row r="46" spans="2:31" s="39" customFormat="1" ht="13.5" customHeight="1" x14ac:dyDescent="0.3">
      <c r="B46" s="235" t="s">
        <v>577</v>
      </c>
      <c r="C46" s="235" t="str">
        <f>LOOKUP(B46, TRA_COMM_PRO!$C$6:$C$189, TRA_COMM_PRO!$D$6:$D$189)</f>
        <v>LightElectricVehicle(LEV).Freight.City.01.</v>
      </c>
      <c r="D46" s="235" t="s">
        <v>27</v>
      </c>
      <c r="E46" s="235"/>
      <c r="F46" s="235"/>
      <c r="G46" s="10">
        <f>$G$43</f>
        <v>2019</v>
      </c>
      <c r="H46" s="23">
        <v>8</v>
      </c>
      <c r="I46" s="65">
        <v>1E-3</v>
      </c>
      <c r="J46" s="24">
        <v>0.3</v>
      </c>
      <c r="K46" s="25"/>
      <c r="L46" s="25"/>
      <c r="M46" s="257">
        <f>LOOKUP($B46, CEFF!$C$163:$C$330, CEFF!F$163:F$330)</f>
        <v>1.51</v>
      </c>
      <c r="N46" s="257">
        <f>LOOKUP($B46, CEFF!$C$163:$C$330, CEFF!G$163:G$330)</f>
        <v>1.51</v>
      </c>
      <c r="O46" s="257">
        <f>LOOKUP($B46, CEFF!$C$163:$C$330, CEFF!H$163:H$330)</f>
        <v>1.51</v>
      </c>
      <c r="P46" s="257">
        <f>LOOKUP($B46, CEFF!$C$163:$C$330, CEFF!I$163:I$330)</f>
        <v>1.51</v>
      </c>
      <c r="Q46" s="257">
        <f>LOOKUP($B46, CEFF!$C$163:$C$330, CEFF!J$163:J$330)</f>
        <v>1.51</v>
      </c>
      <c r="R46" s="23">
        <v>5</v>
      </c>
      <c r="S46" s="23"/>
      <c r="T46" s="23"/>
      <c r="U46" s="23"/>
      <c r="V46" s="69"/>
      <c r="W46" s="69"/>
      <c r="X46" s="163">
        <f>LOOKUP($B46, INVCOST!$C$8:$C$193, INVCOST!D$8:D$193)</f>
        <v>7</v>
      </c>
      <c r="Y46" s="163">
        <f>LOOKUP($B46, INVCOST!$C$8:$C$193, INVCOST!E$8:E$193)</f>
        <v>6.93</v>
      </c>
      <c r="Z46" s="163">
        <f>LOOKUP($B46, INVCOST!$C$8:$C$193, INVCOST!F$8:F$193)</f>
        <v>6.8606999999999996</v>
      </c>
      <c r="AA46" s="163">
        <f>LOOKUP($B46, INVCOST!$C$8:$C$193, INVCOST!G$8:G$193)</f>
        <v>6.7920929999999995</v>
      </c>
      <c r="AB46" s="163">
        <f>LOOKUP($B46, INVCOST!$C$8:$C$193, INVCOST!H$8:H$193)</f>
        <v>6.7241720699999998</v>
      </c>
      <c r="AC46" s="163">
        <f>LOOKUP($B46, INVCOST!$C$8:$C$193, INVCOST!I$8:I$193)</f>
        <v>6.6569303492999996</v>
      </c>
      <c r="AD46" s="163">
        <f>LOOKUP($B46, INVCOST!$C$8:$C$193, INVCOST!J$8:J$193)</f>
        <v>6.5903610458069997</v>
      </c>
      <c r="AE46" s="163">
        <f>LOOKUP($B46, INVCOST!$C$8:$C$193, INVCOST!K$8:K$193)</f>
        <v>6.5244574353489293</v>
      </c>
    </row>
    <row r="47" spans="2:31" ht="13.5" customHeight="1" x14ac:dyDescent="0.3">
      <c r="B47" s="232"/>
      <c r="C47" s="232"/>
      <c r="D47" s="232"/>
      <c r="E47" s="232"/>
      <c r="F47" s="232" t="s">
        <v>622</v>
      </c>
      <c r="G47" s="144"/>
      <c r="H47" s="11"/>
      <c r="I47" s="18"/>
      <c r="J47" s="12"/>
      <c r="K47" s="10"/>
      <c r="L47" s="10"/>
      <c r="M47" s="256"/>
      <c r="N47" s="256"/>
      <c r="O47" s="256"/>
      <c r="P47" s="256"/>
      <c r="Q47" s="256"/>
      <c r="R47" s="11"/>
      <c r="S47" s="11"/>
      <c r="T47" s="11"/>
      <c r="U47" s="11"/>
      <c r="V47" s="68"/>
      <c r="W47" s="68"/>
      <c r="X47" s="167"/>
      <c r="Y47" s="167"/>
      <c r="Z47" s="167"/>
      <c r="AA47" s="167"/>
      <c r="AB47" s="167"/>
      <c r="AC47" s="167"/>
      <c r="AD47" s="167"/>
      <c r="AE47" s="167"/>
    </row>
    <row r="48" spans="2:31" s="39" customFormat="1" ht="13.5" customHeight="1" x14ac:dyDescent="0.3">
      <c r="B48" s="235" t="s">
        <v>129</v>
      </c>
      <c r="C48" s="235" t="str">
        <f>LOOKUP(B48, TRA_COMM_PRO!$C$6:$C$189, TRA_COMM_PRO!$D$6:$D$189)</f>
        <v>BicYcle.Electric.Freight.01.</v>
      </c>
      <c r="D48" s="235" t="s">
        <v>27</v>
      </c>
      <c r="E48" s="235"/>
      <c r="F48" s="235"/>
      <c r="G48" s="10">
        <f>$G$43</f>
        <v>2019</v>
      </c>
      <c r="H48" s="23">
        <v>8</v>
      </c>
      <c r="I48" s="65">
        <v>1E-3</v>
      </c>
      <c r="J48" s="24">
        <v>0.1</v>
      </c>
      <c r="K48" s="25"/>
      <c r="L48" s="25"/>
      <c r="M48" s="257">
        <f>CEFF!F319</f>
        <v>3.02</v>
      </c>
      <c r="N48" s="257">
        <f>CEFF!G319</f>
        <v>3.02</v>
      </c>
      <c r="O48" s="257">
        <f>CEFF!H319</f>
        <v>3.02</v>
      </c>
      <c r="P48" s="257">
        <f>CEFF!I319</f>
        <v>3.02</v>
      </c>
      <c r="Q48" s="257">
        <f>CEFF!J319</f>
        <v>3.02</v>
      </c>
      <c r="R48" s="23">
        <v>5</v>
      </c>
      <c r="S48" s="23"/>
      <c r="T48" s="23"/>
      <c r="U48" s="23"/>
      <c r="V48" s="69"/>
      <c r="W48" s="69"/>
      <c r="X48" s="163">
        <f>LOOKUP($B48, INVCOST!$C$8:$C$193, INVCOST!D$8:D$193)</f>
        <v>3</v>
      </c>
      <c r="Y48" s="163">
        <f>LOOKUP($B48, INVCOST!$C$8:$C$193, INVCOST!E$8:E$193)</f>
        <v>2.9699999999999998</v>
      </c>
      <c r="Z48" s="163">
        <f>LOOKUP($B48, INVCOST!$C$8:$C$193, INVCOST!F$8:F$193)</f>
        <v>2.9402999999999997</v>
      </c>
      <c r="AA48" s="163">
        <f>LOOKUP($B48, INVCOST!$C$8:$C$193, INVCOST!G$8:G$193)</f>
        <v>2.9108969999999998</v>
      </c>
      <c r="AB48" s="163">
        <f>LOOKUP($B48, INVCOST!$C$8:$C$193, INVCOST!H$8:H$193)</f>
        <v>2.8817880299999996</v>
      </c>
      <c r="AC48" s="163">
        <f>LOOKUP($B48, INVCOST!$C$8:$C$193, INVCOST!I$8:I$193)</f>
        <v>2.8529701496999995</v>
      </c>
      <c r="AD48" s="163">
        <f>LOOKUP($B48, INVCOST!$C$8:$C$193, INVCOST!J$8:J$193)</f>
        <v>2.8244404482029997</v>
      </c>
      <c r="AE48" s="163">
        <f>LOOKUP($B48, INVCOST!$C$8:$C$193, INVCOST!K$8:K$193)</f>
        <v>2.7961960437209696</v>
      </c>
    </row>
    <row r="49" spans="2:31" s="39" customFormat="1" ht="13.5" customHeight="1" x14ac:dyDescent="0.3">
      <c r="B49" s="232"/>
      <c r="C49" s="232"/>
      <c r="D49" s="232" t="s">
        <v>30</v>
      </c>
      <c r="E49" s="232"/>
      <c r="F49" s="232"/>
      <c r="G49" s="10"/>
      <c r="H49" s="11"/>
      <c r="I49" s="28"/>
      <c r="J49" s="12"/>
      <c r="K49" s="10"/>
      <c r="L49" s="10"/>
      <c r="M49" s="285">
        <f>CEFF!F320</f>
        <v>1000</v>
      </c>
      <c r="N49" s="285">
        <f>CEFF!G320</f>
        <v>1000</v>
      </c>
      <c r="O49" s="285">
        <f>CEFF!H320</f>
        <v>1000</v>
      </c>
      <c r="P49" s="285">
        <f>CEFF!I320</f>
        <v>1000</v>
      </c>
      <c r="Q49" s="285">
        <f>CEFF!J320</f>
        <v>1000</v>
      </c>
      <c r="R49" s="11"/>
      <c r="S49" s="11"/>
      <c r="T49" s="11"/>
      <c r="U49" s="11"/>
      <c r="V49" s="70"/>
      <c r="W49" s="70"/>
      <c r="X49" s="168"/>
      <c r="Y49" s="168"/>
      <c r="Z49" s="168"/>
      <c r="AA49" s="168"/>
      <c r="AB49" s="168"/>
      <c r="AC49" s="168"/>
      <c r="AD49" s="168"/>
      <c r="AE49" s="168"/>
    </row>
    <row r="50" spans="2:31" ht="13.5" customHeight="1" x14ac:dyDescent="0.3">
      <c r="B50" s="232"/>
      <c r="C50" s="232"/>
      <c r="D50" s="232"/>
      <c r="E50" s="232"/>
      <c r="F50" s="232" t="s">
        <v>130</v>
      </c>
      <c r="G50" s="144"/>
      <c r="H50" s="11"/>
      <c r="I50" s="18"/>
      <c r="J50" s="12"/>
      <c r="K50" s="10"/>
      <c r="L50" s="10"/>
      <c r="M50" s="256"/>
      <c r="N50" s="256"/>
      <c r="O50" s="256"/>
      <c r="P50" s="256"/>
      <c r="Q50" s="256"/>
      <c r="R50" s="11"/>
      <c r="S50" s="11"/>
      <c r="T50" s="11"/>
      <c r="U50" s="11"/>
      <c r="V50" s="68"/>
      <c r="W50" s="68"/>
      <c r="X50" s="167"/>
      <c r="Y50" s="167"/>
      <c r="Z50" s="167"/>
      <c r="AA50" s="167"/>
      <c r="AB50" s="167"/>
      <c r="AC50" s="167"/>
      <c r="AD50" s="167"/>
      <c r="AE50" s="167"/>
    </row>
    <row r="51" spans="2:31" s="39" customFormat="1" ht="13.5" customHeight="1" x14ac:dyDescent="0.3">
      <c r="B51" s="235" t="s">
        <v>281</v>
      </c>
      <c r="C51" s="235" t="str">
        <f>LOOKUP(B51, TRA_COMM_PRO!$C$6:$C$189, TRA_COMM_PRO!$D$6:$D$189)</f>
        <v>BicYcle.Electric.Freight.City.01.</v>
      </c>
      <c r="D51" s="235" t="s">
        <v>27</v>
      </c>
      <c r="E51" s="235"/>
      <c r="F51" s="235"/>
      <c r="G51" s="10">
        <f>$G$43</f>
        <v>2019</v>
      </c>
      <c r="H51" s="23">
        <v>8</v>
      </c>
      <c r="I51" s="65">
        <v>1E-3</v>
      </c>
      <c r="J51" s="24">
        <v>0.1</v>
      </c>
      <c r="K51" s="25"/>
      <c r="L51" s="25"/>
      <c r="M51" s="257">
        <f>CEFF!F321</f>
        <v>3.02</v>
      </c>
      <c r="N51" s="257">
        <f>CEFF!G321</f>
        <v>3.02</v>
      </c>
      <c r="O51" s="257">
        <f>CEFF!H321</f>
        <v>3.02</v>
      </c>
      <c r="P51" s="257">
        <f>CEFF!I321</f>
        <v>3.02</v>
      </c>
      <c r="Q51" s="257">
        <f>CEFF!J321</f>
        <v>3.02</v>
      </c>
      <c r="R51" s="23">
        <v>5</v>
      </c>
      <c r="S51" s="23"/>
      <c r="T51" s="23"/>
      <c r="U51" s="23"/>
      <c r="V51" s="69"/>
      <c r="W51" s="69"/>
      <c r="X51" s="163">
        <f>LOOKUP($B51, INVCOST!$C$8:$C$193, INVCOST!D$8:D$193)</f>
        <v>3</v>
      </c>
      <c r="Y51" s="163">
        <f>LOOKUP($B51, INVCOST!$C$8:$C$193, INVCOST!E$8:E$193)</f>
        <v>2.9699999999999998</v>
      </c>
      <c r="Z51" s="163">
        <f>LOOKUP($B51, INVCOST!$C$8:$C$193, INVCOST!F$8:F$193)</f>
        <v>2.9402999999999997</v>
      </c>
      <c r="AA51" s="163">
        <f>LOOKUP($B51, INVCOST!$C$8:$C$193, INVCOST!G$8:G$193)</f>
        <v>2.9108969999999998</v>
      </c>
      <c r="AB51" s="163">
        <f>LOOKUP($B51, INVCOST!$C$8:$C$193, INVCOST!H$8:H$193)</f>
        <v>2.8817880299999996</v>
      </c>
      <c r="AC51" s="163">
        <f>LOOKUP($B51, INVCOST!$C$8:$C$193, INVCOST!I$8:I$193)</f>
        <v>2.8529701496999995</v>
      </c>
      <c r="AD51" s="163">
        <f>LOOKUP($B51, INVCOST!$C$8:$C$193, INVCOST!J$8:J$193)</f>
        <v>2.8244404482029997</v>
      </c>
      <c r="AE51" s="163">
        <f>LOOKUP($B51, INVCOST!$C$8:$C$193, INVCOST!K$8:K$193)</f>
        <v>2.7961960437209696</v>
      </c>
    </row>
    <row r="52" spans="2:31" s="39" customFormat="1" ht="13.5" customHeight="1" x14ac:dyDescent="0.3">
      <c r="B52" s="232"/>
      <c r="C52" s="232"/>
      <c r="D52" s="232" t="s">
        <v>30</v>
      </c>
      <c r="E52" s="232"/>
      <c r="F52" s="232"/>
      <c r="G52" s="10"/>
      <c r="H52" s="11"/>
      <c r="I52" s="28"/>
      <c r="J52" s="12"/>
      <c r="K52" s="10"/>
      <c r="L52" s="10"/>
      <c r="M52" s="285">
        <f>CEFF!F322</f>
        <v>1000</v>
      </c>
      <c r="N52" s="285">
        <f>CEFF!G322</f>
        <v>1000</v>
      </c>
      <c r="O52" s="285">
        <f>CEFF!H322</f>
        <v>1000</v>
      </c>
      <c r="P52" s="285">
        <f>CEFF!I322</f>
        <v>1000</v>
      </c>
      <c r="Q52" s="285">
        <f>CEFF!J322</f>
        <v>1000</v>
      </c>
      <c r="R52" s="11"/>
      <c r="S52" s="11"/>
      <c r="T52" s="11"/>
      <c r="U52" s="11"/>
      <c r="V52" s="70"/>
      <c r="W52" s="70"/>
      <c r="X52" s="168"/>
      <c r="Y52" s="168"/>
      <c r="Z52" s="168"/>
      <c r="AA52" s="168"/>
      <c r="AB52" s="168"/>
      <c r="AC52" s="168"/>
      <c r="AD52" s="168"/>
      <c r="AE52" s="168"/>
    </row>
    <row r="53" spans="2:31" ht="13.5" customHeight="1" x14ac:dyDescent="0.3">
      <c r="B53" s="232"/>
      <c r="C53" s="232"/>
      <c r="D53" s="232"/>
      <c r="E53" s="232"/>
      <c r="F53" s="232" t="s">
        <v>386</v>
      </c>
      <c r="G53" s="144"/>
      <c r="H53" s="11"/>
      <c r="I53" s="18"/>
      <c r="J53" s="12"/>
      <c r="K53" s="10"/>
      <c r="L53" s="10"/>
      <c r="M53" s="283"/>
      <c r="N53" s="283"/>
      <c r="O53" s="283"/>
      <c r="P53" s="283"/>
      <c r="Q53" s="283"/>
      <c r="R53" s="11"/>
      <c r="S53" s="11"/>
      <c r="T53" s="11"/>
      <c r="U53" s="11"/>
      <c r="V53" s="68"/>
      <c r="W53" s="68"/>
      <c r="X53" s="167"/>
      <c r="Y53" s="167"/>
      <c r="Z53" s="167"/>
      <c r="AA53" s="167"/>
      <c r="AB53" s="167"/>
      <c r="AC53" s="167"/>
      <c r="AD53" s="167"/>
      <c r="AE53" s="167"/>
    </row>
    <row r="54" spans="2:31" s="39" customFormat="1" ht="13.5" customHeight="1" x14ac:dyDescent="0.3">
      <c r="B54" s="235" t="s">
        <v>127</v>
      </c>
      <c r="C54" s="235" t="str">
        <f>LOOKUP(B54, TRA_COMM_PRO!$C$6:$C$189, TRA_COMM_PRO!$D$6:$D$189)</f>
        <v>BicYcle.Freight.01.</v>
      </c>
      <c r="D54" s="235" t="s">
        <v>30</v>
      </c>
      <c r="E54" s="235"/>
      <c r="F54" s="235"/>
      <c r="G54" s="10">
        <f>$G$43</f>
        <v>2019</v>
      </c>
      <c r="H54" s="23">
        <v>8</v>
      </c>
      <c r="I54" s="65">
        <v>1E-3</v>
      </c>
      <c r="J54" s="24">
        <v>0.1</v>
      </c>
      <c r="K54" s="25"/>
      <c r="L54" s="25"/>
      <c r="M54" s="286">
        <f>CEFF!F323</f>
        <v>1000</v>
      </c>
      <c r="N54" s="286">
        <f>CEFF!G323</f>
        <v>1000</v>
      </c>
      <c r="O54" s="286">
        <f>CEFF!H323</f>
        <v>1000</v>
      </c>
      <c r="P54" s="286">
        <f>CEFF!I323</f>
        <v>1000</v>
      </c>
      <c r="Q54" s="286">
        <f>CEFF!J323</f>
        <v>1000</v>
      </c>
      <c r="R54" s="23">
        <v>10</v>
      </c>
      <c r="S54" s="23"/>
      <c r="T54" s="23"/>
      <c r="U54" s="23"/>
      <c r="V54" s="69"/>
      <c r="W54" s="69"/>
      <c r="X54" s="163">
        <f>LOOKUP($B54, INVCOST!$C$8:$C$193, INVCOST!D$8:D$193)</f>
        <v>1.5</v>
      </c>
      <c r="Y54" s="163">
        <f>LOOKUP($B54, INVCOST!$C$8:$C$193, INVCOST!E$8:E$193)</f>
        <v>1.4849999999999999</v>
      </c>
      <c r="Z54" s="163">
        <f>LOOKUP($B54, INVCOST!$C$8:$C$193, INVCOST!F$8:F$193)</f>
        <v>1.4701499999999998</v>
      </c>
      <c r="AA54" s="163">
        <f>LOOKUP($B54, INVCOST!$C$8:$C$193, INVCOST!G$8:G$193)</f>
        <v>1.4554484999999999</v>
      </c>
      <c r="AB54" s="163">
        <f>LOOKUP($B54, INVCOST!$C$8:$C$193, INVCOST!H$8:H$193)</f>
        <v>1.4408940149999998</v>
      </c>
      <c r="AC54" s="163">
        <f>LOOKUP($B54, INVCOST!$C$8:$C$193, INVCOST!I$8:I$193)</f>
        <v>1.4264850748499998</v>
      </c>
      <c r="AD54" s="163">
        <f>LOOKUP($B54, INVCOST!$C$8:$C$193, INVCOST!J$8:J$193)</f>
        <v>1.4122202241014998</v>
      </c>
      <c r="AE54" s="163">
        <f>LOOKUP($B54, INVCOST!$C$8:$C$193, INVCOST!K$8:K$193)</f>
        <v>1.3980980218604848</v>
      </c>
    </row>
    <row r="55" spans="2:31" ht="13.5" customHeight="1" x14ac:dyDescent="0.3">
      <c r="B55" s="232"/>
      <c r="C55" s="232"/>
      <c r="D55" s="232"/>
      <c r="E55" s="232"/>
      <c r="F55" s="232" t="s">
        <v>128</v>
      </c>
      <c r="G55" s="144"/>
      <c r="H55" s="11"/>
      <c r="I55" s="18"/>
      <c r="J55" s="12"/>
      <c r="K55" s="10"/>
      <c r="L55" s="10"/>
      <c r="M55" s="283"/>
      <c r="N55" s="283"/>
      <c r="O55" s="283"/>
      <c r="P55" s="283"/>
      <c r="Q55" s="283"/>
      <c r="R55" s="11"/>
      <c r="S55" s="11"/>
      <c r="T55" s="11"/>
      <c r="U55" s="11"/>
      <c r="V55" s="68"/>
      <c r="W55" s="68"/>
      <c r="X55" s="167"/>
      <c r="Y55" s="167"/>
      <c r="Z55" s="167"/>
      <c r="AA55" s="167"/>
      <c r="AB55" s="167"/>
      <c r="AC55" s="167"/>
      <c r="AD55" s="167"/>
      <c r="AE55" s="167"/>
    </row>
    <row r="56" spans="2:31" s="39" customFormat="1" ht="13.5" customHeight="1" x14ac:dyDescent="0.3">
      <c r="B56" s="235" t="s">
        <v>285</v>
      </c>
      <c r="C56" s="235" t="str">
        <f>LOOKUP(B56, TRA_COMM_PRO!$C$6:$C$189, TRA_COMM_PRO!$D$6:$D$189)</f>
        <v>BicYcle.Freight.City.01.</v>
      </c>
      <c r="D56" s="235" t="s">
        <v>30</v>
      </c>
      <c r="E56" s="235"/>
      <c r="F56" s="235"/>
      <c r="G56" s="10">
        <f>$G$43</f>
        <v>2019</v>
      </c>
      <c r="H56" s="23">
        <v>8</v>
      </c>
      <c r="I56" s="65">
        <v>1E-3</v>
      </c>
      <c r="J56" s="24">
        <v>0.1</v>
      </c>
      <c r="K56" s="25"/>
      <c r="L56" s="25"/>
      <c r="M56" s="286">
        <f>CEFF!F324</f>
        <v>1000</v>
      </c>
      <c r="N56" s="286">
        <f>CEFF!G324</f>
        <v>1000</v>
      </c>
      <c r="O56" s="286">
        <f>CEFF!H324</f>
        <v>1000</v>
      </c>
      <c r="P56" s="286">
        <f>CEFF!I324</f>
        <v>1000</v>
      </c>
      <c r="Q56" s="286">
        <f>CEFF!J324</f>
        <v>1000</v>
      </c>
      <c r="R56" s="23">
        <v>10</v>
      </c>
      <c r="S56" s="23"/>
      <c r="T56" s="23"/>
      <c r="U56" s="23"/>
      <c r="V56" s="69"/>
      <c r="W56" s="69"/>
      <c r="X56" s="163">
        <f>LOOKUP($B56, INVCOST!$C$8:$C$193, INVCOST!D$8:D$193)</f>
        <v>1.5</v>
      </c>
      <c r="Y56" s="163">
        <f>LOOKUP($B56, INVCOST!$C$8:$C$193, INVCOST!E$8:E$193)</f>
        <v>1.4849999999999999</v>
      </c>
      <c r="Z56" s="163">
        <f>LOOKUP($B56, INVCOST!$C$8:$C$193, INVCOST!F$8:F$193)</f>
        <v>1.4701499999999998</v>
      </c>
      <c r="AA56" s="163">
        <f>LOOKUP($B56, INVCOST!$C$8:$C$193, INVCOST!G$8:G$193)</f>
        <v>1.4554484999999999</v>
      </c>
      <c r="AB56" s="163">
        <f>LOOKUP($B56, INVCOST!$C$8:$C$193, INVCOST!H$8:H$193)</f>
        <v>1.4408940149999998</v>
      </c>
      <c r="AC56" s="163">
        <f>LOOKUP($B56, INVCOST!$C$8:$C$193, INVCOST!I$8:I$193)</f>
        <v>1.4264850748499998</v>
      </c>
      <c r="AD56" s="163">
        <f>LOOKUP($B56, INVCOST!$C$8:$C$193, INVCOST!J$8:J$193)</f>
        <v>1.4122202241014998</v>
      </c>
      <c r="AE56" s="163">
        <f>LOOKUP($B56, INVCOST!$C$8:$C$193, INVCOST!K$8:K$193)</f>
        <v>1.3980980218604848</v>
      </c>
    </row>
    <row r="57" spans="2:31" ht="13.5" customHeight="1" x14ac:dyDescent="0.3">
      <c r="B57" s="237"/>
      <c r="C57" s="237"/>
      <c r="D57" s="237"/>
      <c r="E57" s="237"/>
      <c r="F57" s="237" t="s">
        <v>385</v>
      </c>
      <c r="G57" s="188"/>
      <c r="H57" s="184"/>
      <c r="I57" s="190"/>
      <c r="J57" s="190"/>
      <c r="K57" s="183"/>
      <c r="L57" s="183"/>
      <c r="M57" s="187"/>
      <c r="N57" s="187"/>
      <c r="O57" s="187"/>
      <c r="P57" s="187"/>
      <c r="Q57" s="187"/>
      <c r="R57" s="184"/>
      <c r="S57" s="184"/>
      <c r="T57" s="184"/>
      <c r="U57" s="184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</row>
    <row r="61" spans="2:31" s="39" customFormat="1" x14ac:dyDescent="0.3">
      <c r="B61" s="6" t="s">
        <v>651</v>
      </c>
      <c r="C61" s="161"/>
      <c r="F61" s="9" t="s">
        <v>1</v>
      </c>
      <c r="G61" s="4"/>
    </row>
    <row r="62" spans="2:31" s="39" customFormat="1" x14ac:dyDescent="0.3">
      <c r="B62" s="199" t="s">
        <v>2</v>
      </c>
      <c r="C62" s="199" t="s">
        <v>3</v>
      </c>
      <c r="D62" s="199" t="s">
        <v>4</v>
      </c>
      <c r="E62" s="199" t="s">
        <v>5</v>
      </c>
      <c r="F62" s="200" t="s">
        <v>6</v>
      </c>
      <c r="G62" s="200" t="s">
        <v>186</v>
      </c>
      <c r="H62" s="201" t="s">
        <v>185</v>
      </c>
      <c r="I62" s="200" t="s">
        <v>689</v>
      </c>
      <c r="J62" s="200" t="s">
        <v>610</v>
      </c>
      <c r="K62" s="200" t="s">
        <v>611</v>
      </c>
      <c r="L62" s="200" t="s">
        <v>612</v>
      </c>
      <c r="M62" s="200" t="s">
        <v>613</v>
      </c>
      <c r="N62" s="201" t="s">
        <v>178</v>
      </c>
      <c r="O62" s="201" t="s">
        <v>14</v>
      </c>
      <c r="P62" s="201" t="s">
        <v>42</v>
      </c>
      <c r="Q62" s="201" t="s">
        <v>381</v>
      </c>
      <c r="R62" s="32"/>
      <c r="S62" s="32"/>
      <c r="T62" s="32"/>
      <c r="U62" s="32"/>
      <c r="V62" s="32"/>
      <c r="W62" s="32"/>
      <c r="X62" s="32"/>
      <c r="Y62" s="32"/>
    </row>
    <row r="63" spans="2:31" s="39" customFormat="1" ht="33.75" customHeight="1" thickBot="1" x14ac:dyDescent="0.35">
      <c r="B63" s="202" t="s">
        <v>22</v>
      </c>
      <c r="C63" s="202"/>
      <c r="D63" s="202"/>
      <c r="E63" s="202"/>
      <c r="F63" s="203" t="s">
        <v>23</v>
      </c>
      <c r="G63" s="203"/>
      <c r="H63" s="204" t="s">
        <v>26</v>
      </c>
      <c r="I63" s="204"/>
      <c r="J63" s="203"/>
      <c r="K63" s="203"/>
      <c r="L63" s="239"/>
      <c r="M63" s="239"/>
      <c r="N63" s="239"/>
      <c r="O63" s="239" t="s">
        <v>614</v>
      </c>
      <c r="P63" s="239" t="s">
        <v>617</v>
      </c>
      <c r="Q63" s="204" t="s">
        <v>617</v>
      </c>
      <c r="R63" s="32"/>
      <c r="S63" s="32"/>
      <c r="T63" s="32"/>
      <c r="U63" s="32"/>
      <c r="V63" s="32"/>
      <c r="W63" s="32"/>
      <c r="X63" s="32"/>
      <c r="Y63" s="32"/>
    </row>
    <row r="64" spans="2:31" s="39" customFormat="1" x14ac:dyDescent="0.3">
      <c r="B64" s="232" t="s">
        <v>628</v>
      </c>
      <c r="C64" s="240" t="str">
        <f>LOOKUP(B64, TRA_COMM_PRO!$C$6:$C$189, TRA_COMM_PRO!$D$6:$D$189)</f>
        <v>Other.Vehicles.01.</v>
      </c>
      <c r="D64" s="232" t="s">
        <v>27</v>
      </c>
      <c r="E64" s="232"/>
      <c r="F64" s="232"/>
      <c r="G64" s="10">
        <f>$G$20</f>
        <v>2019</v>
      </c>
      <c r="H64" s="11">
        <v>20</v>
      </c>
      <c r="I64" s="194">
        <v>1</v>
      </c>
      <c r="J64" s="194">
        <v>1</v>
      </c>
      <c r="K64" s="194">
        <v>1</v>
      </c>
      <c r="L64" s="194">
        <v>1</v>
      </c>
      <c r="M64" s="194">
        <v>1</v>
      </c>
      <c r="N64" s="22"/>
      <c r="O64" s="22"/>
      <c r="P64" s="22"/>
      <c r="Q64" s="40">
        <f>LOOKUP($B64, INVCOST!$C$8:$C$193, INVCOST!D$8:D$193)</f>
        <v>55</v>
      </c>
      <c r="R64" s="31"/>
      <c r="S64" s="31"/>
      <c r="T64" s="31"/>
      <c r="U64" s="31"/>
      <c r="V64" s="31"/>
      <c r="W64" s="31"/>
      <c r="X64" s="31"/>
      <c r="Y64" s="31"/>
    </row>
    <row r="65" spans="2:25" s="39" customFormat="1" x14ac:dyDescent="0.3">
      <c r="B65" s="237"/>
      <c r="C65" s="238"/>
      <c r="D65" s="237"/>
      <c r="E65" s="237"/>
      <c r="F65" s="237" t="s">
        <v>633</v>
      </c>
      <c r="G65" s="183"/>
      <c r="H65" s="192"/>
      <c r="I65" s="190"/>
      <c r="J65" s="183"/>
      <c r="K65" s="183"/>
      <c r="L65" s="193"/>
      <c r="M65" s="193"/>
      <c r="N65" s="193">
        <v>1</v>
      </c>
      <c r="O65" s="193"/>
      <c r="P65" s="193"/>
      <c r="Q65" s="184"/>
      <c r="R65" s="31"/>
      <c r="S65" s="31"/>
      <c r="T65" s="31"/>
      <c r="U65" s="31"/>
      <c r="V65" s="31"/>
      <c r="W65" s="31"/>
      <c r="X65" s="31"/>
      <c r="Y65" s="31"/>
    </row>
    <row r="66" spans="2:25" s="39" customFormat="1" x14ac:dyDescent="0.3">
      <c r="B66" s="30"/>
      <c r="C66" s="248"/>
      <c r="D66" s="30"/>
      <c r="E66" s="30"/>
      <c r="F66" s="30"/>
      <c r="G66" s="30"/>
      <c r="H66" s="249"/>
      <c r="I66" s="250"/>
      <c r="J66" s="30"/>
      <c r="K66" s="30"/>
      <c r="L66" s="251"/>
      <c r="M66" s="251"/>
      <c r="N66" s="251"/>
      <c r="O66" s="251"/>
      <c r="P66" s="251"/>
      <c r="Q66" s="31"/>
      <c r="R66" s="31"/>
      <c r="S66" s="31"/>
      <c r="T66" s="31"/>
      <c r="U66" s="31"/>
      <c r="V66" s="31"/>
      <c r="W66" s="31"/>
      <c r="X66" s="31"/>
      <c r="Y66" s="31"/>
    </row>
    <row r="67" spans="2:25" s="39" customFormat="1" x14ac:dyDescent="0.3">
      <c r="B67" s="30"/>
      <c r="C67" s="248"/>
      <c r="D67" s="30"/>
      <c r="E67" s="30"/>
      <c r="F67" s="30"/>
      <c r="G67" s="30"/>
      <c r="H67" s="249"/>
      <c r="I67" s="250"/>
      <c r="J67" s="30"/>
      <c r="K67" s="30"/>
      <c r="L67" s="251"/>
      <c r="M67" s="251"/>
      <c r="N67" s="251"/>
      <c r="O67" s="251"/>
      <c r="P67" s="251"/>
      <c r="Q67" s="31"/>
      <c r="R67" s="31"/>
      <c r="S67" s="31"/>
      <c r="T67" s="31"/>
      <c r="U67" s="31"/>
      <c r="V67" s="31"/>
      <c r="W67" s="31"/>
      <c r="X67" s="31"/>
      <c r="Y67" s="31"/>
    </row>
    <row r="68" spans="2:25" s="39" customFormat="1" x14ac:dyDescent="0.3">
      <c r="B68" s="6" t="s">
        <v>651</v>
      </c>
      <c r="C68" s="161"/>
      <c r="F68" s="9" t="s">
        <v>1</v>
      </c>
      <c r="G68" s="4"/>
    </row>
    <row r="69" spans="2:25" s="39" customFormat="1" x14ac:dyDescent="0.3">
      <c r="B69" s="199" t="s">
        <v>2</v>
      </c>
      <c r="C69" s="199" t="s">
        <v>3</v>
      </c>
      <c r="D69" s="199" t="s">
        <v>4</v>
      </c>
      <c r="E69" s="199" t="s">
        <v>5</v>
      </c>
      <c r="F69" s="200" t="s">
        <v>6</v>
      </c>
      <c r="G69" s="200" t="s">
        <v>186</v>
      </c>
      <c r="H69" s="201" t="s">
        <v>185</v>
      </c>
      <c r="I69" s="200" t="s">
        <v>689</v>
      </c>
      <c r="J69" s="200" t="s">
        <v>610</v>
      </c>
      <c r="K69" s="200" t="s">
        <v>611</v>
      </c>
      <c r="L69" s="200" t="s">
        <v>612</v>
      </c>
      <c r="M69" s="200" t="s">
        <v>613</v>
      </c>
      <c r="N69" s="201" t="s">
        <v>178</v>
      </c>
      <c r="O69" s="201" t="s">
        <v>14</v>
      </c>
      <c r="P69" s="201" t="s">
        <v>42</v>
      </c>
      <c r="Q69" s="201" t="s">
        <v>381</v>
      </c>
      <c r="R69" s="32"/>
      <c r="S69" s="32"/>
      <c r="T69" s="32"/>
      <c r="U69" s="32"/>
      <c r="V69" s="32"/>
      <c r="W69" s="32"/>
      <c r="X69" s="32"/>
      <c r="Y69" s="32"/>
    </row>
    <row r="70" spans="2:25" s="39" customFormat="1" ht="33.75" customHeight="1" thickBot="1" x14ac:dyDescent="0.35">
      <c r="B70" s="202" t="s">
        <v>22</v>
      </c>
      <c r="C70" s="202"/>
      <c r="D70" s="202"/>
      <c r="E70" s="202"/>
      <c r="F70" s="203" t="s">
        <v>23</v>
      </c>
      <c r="G70" s="203"/>
      <c r="H70" s="204" t="s">
        <v>26</v>
      </c>
      <c r="I70" s="204"/>
      <c r="J70" s="203"/>
      <c r="K70" s="203"/>
      <c r="L70" s="239"/>
      <c r="M70" s="239"/>
      <c r="N70" s="239"/>
      <c r="O70" s="239" t="s">
        <v>614</v>
      </c>
      <c r="P70" s="239" t="s">
        <v>617</v>
      </c>
      <c r="Q70" s="204" t="s">
        <v>617</v>
      </c>
      <c r="R70" s="32"/>
      <c r="S70" s="32"/>
      <c r="T70" s="32"/>
      <c r="U70" s="32"/>
      <c r="V70" s="32"/>
      <c r="W70" s="32"/>
      <c r="X70" s="32"/>
      <c r="Y70" s="32"/>
    </row>
    <row r="71" spans="2:25" s="39" customFormat="1" x14ac:dyDescent="0.3">
      <c r="B71" s="232" t="s">
        <v>629</v>
      </c>
      <c r="C71" s="240" t="str">
        <f>LOOKUP(B71, TRA_COMM_PRO!$C$6:$C$189, TRA_COMM_PRO!$D$6:$D$189)</f>
        <v>Other.Vehicles.City.01.</v>
      </c>
      <c r="D71" s="232" t="s">
        <v>27</v>
      </c>
      <c r="E71" s="232"/>
      <c r="F71" s="232"/>
      <c r="G71" s="10">
        <f>$G$20</f>
        <v>2019</v>
      </c>
      <c r="H71" s="11">
        <v>20</v>
      </c>
      <c r="I71" s="194">
        <v>1</v>
      </c>
      <c r="J71" s="194">
        <v>1</v>
      </c>
      <c r="K71" s="194">
        <v>1</v>
      </c>
      <c r="L71" s="194">
        <v>1</v>
      </c>
      <c r="M71" s="194">
        <v>1</v>
      </c>
      <c r="N71" s="22"/>
      <c r="O71" s="22"/>
      <c r="P71" s="22"/>
      <c r="Q71" s="40">
        <f>LOOKUP($B71, INVCOST!$C$8:$C$193, INVCOST!D$8:D$193)</f>
        <v>55</v>
      </c>
      <c r="R71" s="31"/>
      <c r="S71" s="31"/>
      <c r="T71" s="31"/>
      <c r="U71" s="31"/>
      <c r="V71" s="31"/>
      <c r="W71" s="31"/>
      <c r="X71" s="31"/>
      <c r="Y71" s="31"/>
    </row>
    <row r="72" spans="2:25" s="39" customFormat="1" x14ac:dyDescent="0.3">
      <c r="B72" s="237"/>
      <c r="C72" s="238"/>
      <c r="D72" s="237"/>
      <c r="E72" s="237"/>
      <c r="F72" s="237" t="s">
        <v>634</v>
      </c>
      <c r="G72" s="183"/>
      <c r="H72" s="192"/>
      <c r="I72" s="190"/>
      <c r="J72" s="183"/>
      <c r="K72" s="183"/>
      <c r="L72" s="193"/>
      <c r="M72" s="193"/>
      <c r="N72" s="193">
        <v>1</v>
      </c>
      <c r="O72" s="193"/>
      <c r="P72" s="193"/>
      <c r="Q72" s="184"/>
      <c r="R72" s="31"/>
      <c r="S72" s="31"/>
      <c r="T72" s="31"/>
      <c r="U72" s="31"/>
      <c r="V72" s="31"/>
      <c r="W72" s="31"/>
      <c r="X72" s="31"/>
      <c r="Y72" s="3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E106"/>
  <sheetViews>
    <sheetView topLeftCell="A5" zoomScale="75" zoomScaleNormal="75" workbookViewId="0">
      <selection activeCell="G5" sqref="G5"/>
    </sheetView>
  </sheetViews>
  <sheetFormatPr defaultRowHeight="14.4" x14ac:dyDescent="0.3"/>
  <cols>
    <col min="2" max="2" width="21" customWidth="1"/>
    <col min="3" max="3" width="43.5546875" bestFit="1" customWidth="1"/>
    <col min="4" max="4" width="11.33203125" bestFit="1" customWidth="1"/>
    <col min="5" max="5" width="12" bestFit="1" customWidth="1"/>
    <col min="6" max="6" width="11.6640625" bestFit="1" customWidth="1"/>
    <col min="7" max="7" width="11.44140625" style="39" bestFit="1" customWidth="1"/>
    <col min="8" max="8" width="6.5546875" bestFit="1" customWidth="1"/>
    <col min="9" max="9" width="9.33203125" bestFit="1" customWidth="1"/>
    <col min="10" max="10" width="15" bestFit="1" customWidth="1"/>
    <col min="11" max="11" width="10.109375" bestFit="1" customWidth="1"/>
    <col min="12" max="12" width="10.33203125" bestFit="1" customWidth="1"/>
    <col min="13" max="17" width="11" customWidth="1"/>
    <col min="18" max="18" width="11.5546875" bestFit="1" customWidth="1"/>
    <col min="19" max="19" width="11.5546875" customWidth="1"/>
    <col min="20" max="21" width="11.5546875" bestFit="1" customWidth="1"/>
    <col min="22" max="22" width="11.5546875" customWidth="1"/>
    <col min="23" max="23" width="12.5546875" customWidth="1"/>
    <col min="24" max="31" width="14.33203125" customWidth="1"/>
  </cols>
  <sheetData>
    <row r="3" spans="2:31" x14ac:dyDescent="0.3">
      <c r="B3" s="6" t="s">
        <v>65</v>
      </c>
      <c r="C3" s="7"/>
      <c r="D3" s="8"/>
      <c r="E3" s="8"/>
      <c r="F3" s="9" t="s">
        <v>1</v>
      </c>
      <c r="G3" s="4"/>
    </row>
    <row r="4" spans="2:31" ht="27.9" customHeight="1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200" t="s">
        <v>6</v>
      </c>
      <c r="G4" s="200" t="s">
        <v>186</v>
      </c>
      <c r="H4" s="201" t="s">
        <v>185</v>
      </c>
      <c r="I4" s="201" t="s">
        <v>11</v>
      </c>
      <c r="J4" s="200" t="s">
        <v>12</v>
      </c>
      <c r="K4" s="200" t="s">
        <v>7</v>
      </c>
      <c r="L4" s="200" t="s">
        <v>8</v>
      </c>
      <c r="M4" s="201" t="s">
        <v>688</v>
      </c>
      <c r="N4" s="201" t="s">
        <v>321</v>
      </c>
      <c r="O4" s="201" t="s">
        <v>322</v>
      </c>
      <c r="P4" s="201" t="s">
        <v>9</v>
      </c>
      <c r="Q4" s="201" t="s">
        <v>10</v>
      </c>
      <c r="R4" s="201" t="s">
        <v>687</v>
      </c>
      <c r="S4" s="201" t="s">
        <v>448</v>
      </c>
      <c r="T4" s="201" t="s">
        <v>13</v>
      </c>
      <c r="U4" s="201" t="s">
        <v>382</v>
      </c>
      <c r="V4" s="201" t="s">
        <v>42</v>
      </c>
      <c r="W4" s="201" t="s">
        <v>14</v>
      </c>
      <c r="X4" s="201" t="s">
        <v>381</v>
      </c>
      <c r="Y4" s="201" t="s">
        <v>15</v>
      </c>
      <c r="Z4" s="201" t="s">
        <v>16</v>
      </c>
      <c r="AA4" s="201" t="s">
        <v>17</v>
      </c>
      <c r="AB4" s="201" t="s">
        <v>18</v>
      </c>
      <c r="AC4" s="201" t="s">
        <v>19</v>
      </c>
      <c r="AD4" s="201" t="s">
        <v>20</v>
      </c>
      <c r="AE4" s="201" t="s">
        <v>21</v>
      </c>
    </row>
    <row r="5" spans="2:31" ht="33.75" customHeight="1" thickBot="1" x14ac:dyDescent="0.35">
      <c r="B5" s="202" t="s">
        <v>22</v>
      </c>
      <c r="C5" s="202"/>
      <c r="D5" s="202"/>
      <c r="E5" s="202"/>
      <c r="F5" s="203" t="s">
        <v>23</v>
      </c>
      <c r="G5" s="203">
        <v>2019</v>
      </c>
      <c r="H5" s="204" t="s">
        <v>26</v>
      </c>
      <c r="I5" s="204" t="s">
        <v>543</v>
      </c>
      <c r="J5" s="204" t="s">
        <v>25</v>
      </c>
      <c r="K5" s="203"/>
      <c r="L5" s="203"/>
      <c r="M5" s="205" t="s">
        <v>653</v>
      </c>
      <c r="N5" s="205" t="s">
        <v>653</v>
      </c>
      <c r="O5" s="205" t="s">
        <v>653</v>
      </c>
      <c r="P5" s="205" t="s">
        <v>653</v>
      </c>
      <c r="Q5" s="205" t="s">
        <v>653</v>
      </c>
      <c r="R5" s="204" t="s">
        <v>658</v>
      </c>
      <c r="S5" s="204" t="s">
        <v>658</v>
      </c>
      <c r="T5" s="204" t="s">
        <v>658</v>
      </c>
      <c r="U5" s="204" t="s">
        <v>658</v>
      </c>
      <c r="V5" s="206" t="s">
        <v>662</v>
      </c>
      <c r="W5" s="206" t="s">
        <v>661</v>
      </c>
      <c r="X5" s="206" t="s">
        <v>657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</row>
    <row r="6" spans="2:31" s="39" customFormat="1" x14ac:dyDescent="0.3">
      <c r="B6" s="209" t="s">
        <v>66</v>
      </c>
      <c r="C6" s="208" t="str">
        <f>LOOKUP(B6, TRA_COMM_PRO!$C$7:$C$189, TRA_COMM_PRO!$D$7:$D$189)</f>
        <v>Bus.Urban.BDL.01.</v>
      </c>
      <c r="D6" s="209" t="s">
        <v>44</v>
      </c>
      <c r="E6" s="209"/>
      <c r="F6" s="209"/>
      <c r="G6" s="59">
        <f>$G$5</f>
        <v>2019</v>
      </c>
      <c r="H6" s="40">
        <v>10</v>
      </c>
      <c r="I6" s="65">
        <f>10^-3</f>
        <v>1E-3</v>
      </c>
      <c r="J6" s="60">
        <v>14</v>
      </c>
      <c r="K6" s="42"/>
      <c r="L6" s="42"/>
      <c r="M6" s="263"/>
      <c r="N6" s="263"/>
      <c r="O6" s="263"/>
      <c r="P6" s="263"/>
      <c r="Q6" s="263"/>
      <c r="R6" s="40">
        <v>60</v>
      </c>
      <c r="S6" s="40"/>
      <c r="T6" s="40"/>
      <c r="U6" s="40"/>
      <c r="V6" s="61"/>
      <c r="W6" s="62">
        <f>LOOKUP(B6, FIXOM_VAROM!$C$8:$C$190, FIXOM_VAROM!$D$8:$D$190)</f>
        <v>100</v>
      </c>
      <c r="X6" s="40">
        <f>LOOKUP($B6, INVCOST!$C$8:$C$193, INVCOST!D$8:D$193)</f>
        <v>260</v>
      </c>
      <c r="Y6" s="40">
        <f>LOOKUP($B6, INVCOST!$C$8:$C$193, INVCOST!E$8:E$193)</f>
        <v>260</v>
      </c>
      <c r="Z6" s="40">
        <f>LOOKUP($B6, INVCOST!$C$8:$C$193, INVCOST!F$8:F$193)</f>
        <v>260</v>
      </c>
      <c r="AA6" s="40">
        <f>LOOKUP($B6, INVCOST!$C$8:$C$193, INVCOST!G$8:G$193)</f>
        <v>260</v>
      </c>
      <c r="AB6" s="40">
        <f>LOOKUP($B6, INVCOST!$C$8:$C$193, INVCOST!H$8:H$193)</f>
        <v>260</v>
      </c>
      <c r="AC6" s="40">
        <f>LOOKUP($B6, INVCOST!$C$8:$C$193, INVCOST!I$8:I$193)</f>
        <v>260</v>
      </c>
      <c r="AD6" s="40">
        <f>LOOKUP($B6, INVCOST!$C$8:$C$193, INVCOST!J$8:J$193)</f>
        <v>260</v>
      </c>
      <c r="AE6" s="40">
        <f>LOOKUP($B6, INVCOST!$C$8:$C$193, INVCOST!K$8:K$193)</f>
        <v>260</v>
      </c>
    </row>
    <row r="7" spans="2:31" s="39" customFormat="1" x14ac:dyDescent="0.3">
      <c r="B7" s="209"/>
      <c r="C7" s="209"/>
      <c r="D7" s="209"/>
      <c r="E7" s="209"/>
      <c r="F7" s="209" t="s">
        <v>68</v>
      </c>
      <c r="G7" s="59"/>
      <c r="H7" s="40"/>
      <c r="I7" s="41"/>
      <c r="J7" s="60"/>
      <c r="K7" s="42"/>
      <c r="L7" s="42"/>
      <c r="M7" s="263">
        <f>LOOKUP($B6, CEFF!$C$163:$C$330, CEFF!F$163:F$330)</f>
        <v>7.1940000000000004E-2</v>
      </c>
      <c r="N7" s="263">
        <f>LOOKUP($B6, CEFF!$C$163:$C$330, CEFF!G$163:G$330)</f>
        <v>7.6980000000000007E-2</v>
      </c>
      <c r="O7" s="263">
        <f>LOOKUP($B6, CEFF!$C$163:$C$330, CEFF!H$163:H$330)</f>
        <v>8.0909999999999996E-2</v>
      </c>
      <c r="P7" s="263">
        <f>LOOKUP($B6, CEFF!$C$163:$C$330, CEFF!I$163:I$330)</f>
        <v>8.5250000000000006E-2</v>
      </c>
      <c r="Q7" s="263">
        <f>LOOKUP($B6, CEFF!$C$163:$C$330, CEFF!J$163:J$330)</f>
        <v>8.9450000000000002E-2</v>
      </c>
      <c r="R7" s="40"/>
      <c r="S7" s="40"/>
      <c r="T7" s="40"/>
      <c r="U7" s="40"/>
      <c r="V7" s="61"/>
      <c r="W7" s="60"/>
      <c r="X7" s="40"/>
      <c r="Y7" s="40"/>
      <c r="Z7" s="40"/>
      <c r="AA7" s="40"/>
      <c r="AB7" s="40"/>
      <c r="AC7" s="40"/>
      <c r="AD7" s="40"/>
      <c r="AE7" s="40"/>
    </row>
    <row r="8" spans="2:31" s="39" customFormat="1" x14ac:dyDescent="0.3">
      <c r="B8" s="209"/>
      <c r="C8" s="209"/>
      <c r="D8" s="209"/>
      <c r="E8" s="209"/>
      <c r="F8" s="209" t="s">
        <v>366</v>
      </c>
      <c r="G8" s="63"/>
      <c r="H8" s="40"/>
      <c r="I8" s="41"/>
      <c r="J8" s="60"/>
      <c r="K8" s="42"/>
      <c r="L8" s="42"/>
      <c r="M8" s="263">
        <f>LOOKUP($B6, CEFF!$C$163:$C$330, CEFF!F$163:F$330)</f>
        <v>7.1940000000000004E-2</v>
      </c>
      <c r="N8" s="263">
        <f>LOOKUP($B6, CEFF!$C$163:$C$330, CEFF!G$163:G$330)</f>
        <v>7.6980000000000007E-2</v>
      </c>
      <c r="O8" s="263">
        <f>LOOKUP($B6, CEFF!$C$163:$C$330, CEFF!H$163:H$330)</f>
        <v>8.0909999999999996E-2</v>
      </c>
      <c r="P8" s="263">
        <f>LOOKUP($B6, CEFF!$C$163:$C$330, CEFF!I$163:I$330)</f>
        <v>8.5250000000000006E-2</v>
      </c>
      <c r="Q8" s="263">
        <f>LOOKUP($B6, CEFF!$C$163:$C$330, CEFF!J$163:J$330)</f>
        <v>8.9450000000000002E-2</v>
      </c>
      <c r="R8" s="40"/>
      <c r="S8" s="40"/>
      <c r="T8" s="40"/>
      <c r="U8" s="45"/>
      <c r="V8" s="41"/>
      <c r="W8" s="60"/>
      <c r="X8" s="45"/>
      <c r="Y8" s="45"/>
      <c r="Z8" s="45"/>
      <c r="AA8" s="45"/>
      <c r="AB8" s="45"/>
      <c r="AC8" s="45"/>
      <c r="AD8" s="45"/>
      <c r="AE8" s="45"/>
    </row>
    <row r="9" spans="2:31" s="39" customFormat="1" x14ac:dyDescent="0.3">
      <c r="B9" s="212" t="s">
        <v>69</v>
      </c>
      <c r="C9" s="212" t="str">
        <f>LOOKUP(B9, TRA_COMM_PRO!$C$7:$C$189, TRA_COMM_PRO!$D$7:$D$189)</f>
        <v>Bus.Urban.DME.01.</v>
      </c>
      <c r="D9" s="212" t="s">
        <v>71</v>
      </c>
      <c r="E9" s="212"/>
      <c r="F9" s="212"/>
      <c r="G9" s="59">
        <f>$G$5</f>
        <v>2019</v>
      </c>
      <c r="H9" s="54">
        <f>$H$6</f>
        <v>10</v>
      </c>
      <c r="I9" s="155">
        <f>$I$6</f>
        <v>1E-3</v>
      </c>
      <c r="J9" s="62">
        <f>J6</f>
        <v>14</v>
      </c>
      <c r="K9" s="56"/>
      <c r="L9" s="56"/>
      <c r="M9" s="267"/>
      <c r="N9" s="267"/>
      <c r="O9" s="267"/>
      <c r="P9" s="267"/>
      <c r="Q9" s="267"/>
      <c r="R9" s="54">
        <v>60</v>
      </c>
      <c r="S9" s="54"/>
      <c r="T9" s="54"/>
      <c r="U9" s="40"/>
      <c r="V9" s="55"/>
      <c r="W9" s="62">
        <f>LOOKUP(B9, FIXOM_VAROM!$C$8:$C$190, FIXOM_VAROM!$D$8:$D$190)</f>
        <v>100</v>
      </c>
      <c r="X9" s="40">
        <f>LOOKUP($B9, INVCOST!$C$8:$C$193, INVCOST!D$8:D$193)</f>
        <v>312</v>
      </c>
      <c r="Y9" s="40">
        <f>LOOKUP($B9, INVCOST!$C$8:$C$193, INVCOST!E$8:E$193)</f>
        <v>312</v>
      </c>
      <c r="Z9" s="40">
        <f>LOOKUP($B9, INVCOST!$C$8:$C$193, INVCOST!F$8:F$193)</f>
        <v>312</v>
      </c>
      <c r="AA9" s="40">
        <f>LOOKUP($B9, INVCOST!$C$8:$C$193, INVCOST!G$8:G$193)</f>
        <v>312</v>
      </c>
      <c r="AB9" s="40">
        <f>LOOKUP($B9, INVCOST!$C$8:$C$193, INVCOST!H$8:H$193)</f>
        <v>312</v>
      </c>
      <c r="AC9" s="40">
        <f>LOOKUP($B9, INVCOST!$C$8:$C$193, INVCOST!I$8:I$193)</f>
        <v>312</v>
      </c>
      <c r="AD9" s="40">
        <f>LOOKUP($B9, INVCOST!$C$8:$C$193, INVCOST!J$8:J$193)</f>
        <v>312</v>
      </c>
      <c r="AE9" s="40">
        <f>LOOKUP($B9, INVCOST!$C$8:$C$193, INVCOST!K$8:K$193)</f>
        <v>312</v>
      </c>
    </row>
    <row r="10" spans="2:31" s="39" customFormat="1" x14ac:dyDescent="0.3">
      <c r="B10" s="209"/>
      <c r="C10" s="209"/>
      <c r="D10" s="209"/>
      <c r="E10" s="209"/>
      <c r="F10" s="209" t="s">
        <v>68</v>
      </c>
      <c r="G10" s="59"/>
      <c r="H10" s="40"/>
      <c r="I10" s="41"/>
      <c r="J10" s="60"/>
      <c r="K10" s="42"/>
      <c r="L10" s="42"/>
      <c r="M10" s="263">
        <f>LOOKUP($B$9, CEFF!$C$163:$C$330, CEFF!F$163:F$330)</f>
        <v>7.1940000000000004E-2</v>
      </c>
      <c r="N10" s="263">
        <f>LOOKUP($B$9, CEFF!$C$163:$C$330, CEFF!G$163:G$330)</f>
        <v>7.6980000000000007E-2</v>
      </c>
      <c r="O10" s="263">
        <f>LOOKUP($B$9, CEFF!$C$163:$C$330, CEFF!H$163:H$330)</f>
        <v>8.0909999999999996E-2</v>
      </c>
      <c r="P10" s="263">
        <f>LOOKUP($B$9, CEFF!$C$163:$C$330, CEFF!I$163:I$330)</f>
        <v>8.5250000000000006E-2</v>
      </c>
      <c r="Q10" s="263">
        <f>LOOKUP($B$9, CEFF!$C$163:$C$330, CEFF!J$163:J$330)</f>
        <v>8.9450000000000002E-2</v>
      </c>
      <c r="R10" s="40"/>
      <c r="S10" s="40"/>
      <c r="T10" s="40"/>
      <c r="U10" s="40"/>
      <c r="V10" s="41"/>
      <c r="W10" s="60"/>
      <c r="X10" s="40"/>
      <c r="Y10" s="40"/>
      <c r="Z10" s="40"/>
      <c r="AA10" s="40"/>
      <c r="AB10" s="40"/>
      <c r="AC10" s="40"/>
      <c r="AD10" s="40"/>
      <c r="AE10" s="40"/>
    </row>
    <row r="11" spans="2:31" s="39" customFormat="1" x14ac:dyDescent="0.3">
      <c r="B11" s="210"/>
      <c r="C11" s="210"/>
      <c r="D11" s="210"/>
      <c r="E11" s="210"/>
      <c r="F11" s="210" t="s">
        <v>366</v>
      </c>
      <c r="G11" s="63"/>
      <c r="H11" s="45"/>
      <c r="I11" s="46"/>
      <c r="J11" s="64"/>
      <c r="K11" s="44"/>
      <c r="L11" s="44"/>
      <c r="M11" s="263">
        <f>LOOKUP($B$9, CEFF!$C$163:$C$330, CEFF!F$163:F$330)</f>
        <v>7.1940000000000004E-2</v>
      </c>
      <c r="N11" s="263">
        <f>LOOKUP($B$9, CEFF!$C$163:$C$330, CEFF!G$163:G$330)</f>
        <v>7.6980000000000007E-2</v>
      </c>
      <c r="O11" s="263">
        <f>LOOKUP($B$9, CEFF!$C$163:$C$330, CEFF!H$163:H$330)</f>
        <v>8.0909999999999996E-2</v>
      </c>
      <c r="P11" s="263">
        <f>LOOKUP($B$9, CEFF!$C$163:$C$330, CEFF!I$163:I$330)</f>
        <v>8.5250000000000006E-2</v>
      </c>
      <c r="Q11" s="263">
        <f>LOOKUP($B$9, CEFF!$C$163:$C$330, CEFF!J$163:J$330)</f>
        <v>8.9450000000000002E-2</v>
      </c>
      <c r="R11" s="45"/>
      <c r="S11" s="45"/>
      <c r="T11" s="45"/>
      <c r="U11" s="45"/>
      <c r="V11" s="46"/>
      <c r="W11" s="60"/>
      <c r="X11" s="45"/>
      <c r="Y11" s="45"/>
      <c r="Z11" s="45"/>
      <c r="AA11" s="45"/>
      <c r="AB11" s="45"/>
      <c r="AC11" s="45"/>
      <c r="AD11" s="45"/>
      <c r="AE11" s="45"/>
    </row>
    <row r="12" spans="2:31" s="39" customFormat="1" x14ac:dyDescent="0.3">
      <c r="B12" s="209" t="s">
        <v>72</v>
      </c>
      <c r="C12" s="208" t="str">
        <f>LOOKUP(B12, TRA_COMM_PRO!$C$7:$C$189, TRA_COMM_PRO!$D$7:$D$189)</f>
        <v>Bus.Urban.DST.01.</v>
      </c>
      <c r="D12" s="209" t="s">
        <v>44</v>
      </c>
      <c r="E12" s="209"/>
      <c r="F12" s="209"/>
      <c r="G12" s="59">
        <f>$G$5</f>
        <v>2019</v>
      </c>
      <c r="H12" s="54">
        <f>$H$6</f>
        <v>10</v>
      </c>
      <c r="I12" s="155">
        <f>$I$6</f>
        <v>1E-3</v>
      </c>
      <c r="J12" s="62">
        <f>J9</f>
        <v>14</v>
      </c>
      <c r="K12" s="42"/>
      <c r="L12" s="42"/>
      <c r="M12" s="267"/>
      <c r="N12" s="267"/>
      <c r="O12" s="267"/>
      <c r="P12" s="267"/>
      <c r="Q12" s="267"/>
      <c r="R12" s="54">
        <v>60</v>
      </c>
      <c r="S12" s="40"/>
      <c r="T12" s="40"/>
      <c r="U12" s="40"/>
      <c r="V12" s="41"/>
      <c r="W12" s="62">
        <f>LOOKUP(B12, FIXOM_VAROM!$C$8:$C$190, FIXOM_VAROM!$D$8:$D$190)</f>
        <v>100</v>
      </c>
      <c r="X12" s="40">
        <f>LOOKUP($B12, INVCOST!$C$8:$C$193, INVCOST!D$8:D$193)</f>
        <v>260</v>
      </c>
      <c r="Y12" s="40">
        <f>LOOKUP($B12, INVCOST!$C$8:$C$193, INVCOST!E$8:E$193)</f>
        <v>260</v>
      </c>
      <c r="Z12" s="40">
        <f>LOOKUP($B12, INVCOST!$C$8:$C$193, INVCOST!F$8:F$193)</f>
        <v>260</v>
      </c>
      <c r="AA12" s="40">
        <f>LOOKUP($B12, INVCOST!$C$8:$C$193, INVCOST!G$8:G$193)</f>
        <v>260</v>
      </c>
      <c r="AB12" s="40">
        <f>LOOKUP($B12, INVCOST!$C$8:$C$193, INVCOST!H$8:H$193)</f>
        <v>260</v>
      </c>
      <c r="AC12" s="40">
        <f>LOOKUP($B12, INVCOST!$C$8:$C$193, INVCOST!I$8:I$193)</f>
        <v>260</v>
      </c>
      <c r="AD12" s="40">
        <f>LOOKUP($B12, INVCOST!$C$8:$C$193, INVCOST!J$8:J$193)</f>
        <v>260</v>
      </c>
      <c r="AE12" s="40">
        <f>LOOKUP($B12, INVCOST!$C$8:$C$193, INVCOST!K$8:K$193)</f>
        <v>260</v>
      </c>
    </row>
    <row r="13" spans="2:31" s="39" customFormat="1" x14ac:dyDescent="0.3">
      <c r="B13" s="209"/>
      <c r="C13" s="209"/>
      <c r="D13" s="209" t="s">
        <v>48</v>
      </c>
      <c r="E13" s="209"/>
      <c r="F13" s="209"/>
      <c r="G13" s="59"/>
      <c r="H13" s="40"/>
      <c r="I13" s="41"/>
      <c r="J13" s="60"/>
      <c r="K13" s="42"/>
      <c r="L13" s="42"/>
      <c r="M13" s="263"/>
      <c r="N13" s="263"/>
      <c r="O13" s="263"/>
      <c r="P13" s="263"/>
      <c r="Q13" s="263"/>
      <c r="R13" s="40"/>
      <c r="S13" s="40"/>
      <c r="T13" s="40"/>
      <c r="U13" s="40"/>
      <c r="V13" s="41"/>
      <c r="W13" s="60"/>
      <c r="X13" s="40"/>
      <c r="Y13" s="40"/>
      <c r="Z13" s="40"/>
      <c r="AA13" s="40"/>
      <c r="AB13" s="40"/>
      <c r="AC13" s="40"/>
      <c r="AD13" s="40"/>
      <c r="AE13" s="40"/>
    </row>
    <row r="14" spans="2:31" s="39" customFormat="1" x14ac:dyDescent="0.3">
      <c r="B14" s="209"/>
      <c r="C14" s="209"/>
      <c r="D14" s="209"/>
      <c r="E14" s="209"/>
      <c r="F14" s="209" t="s">
        <v>68</v>
      </c>
      <c r="G14" s="59"/>
      <c r="H14" s="40"/>
      <c r="I14" s="41"/>
      <c r="J14" s="60"/>
      <c r="K14" s="42"/>
      <c r="L14" s="42"/>
      <c r="M14" s="263">
        <f>LOOKUP($B$12, CEFF!$C$163:$C$330, CEFF!F$163:F$330)</f>
        <v>7.1940000000000004E-2</v>
      </c>
      <c r="N14" s="263">
        <f>LOOKUP($B$12, CEFF!$C$163:$C$330, CEFF!G$163:G$330)</f>
        <v>7.6980000000000007E-2</v>
      </c>
      <c r="O14" s="263">
        <f>LOOKUP($B$12, CEFF!$C$163:$C$330, CEFF!H$163:H$330)</f>
        <v>8.0909999999999996E-2</v>
      </c>
      <c r="P14" s="263">
        <f>LOOKUP($B$12, CEFF!$C$163:$C$330, CEFF!I$163:I$330)</f>
        <v>8.5250000000000006E-2</v>
      </c>
      <c r="Q14" s="263">
        <f>LOOKUP($B$12, CEFF!$C$163:$C$330, CEFF!J$163:J$330)</f>
        <v>8.9450000000000002E-2</v>
      </c>
      <c r="R14" s="40"/>
      <c r="S14" s="40"/>
      <c r="T14" s="40"/>
      <c r="U14" s="40"/>
      <c r="V14" s="41"/>
      <c r="W14" s="60"/>
      <c r="X14" s="40"/>
      <c r="Y14" s="40"/>
      <c r="Z14" s="40"/>
      <c r="AA14" s="40"/>
      <c r="AB14" s="40"/>
      <c r="AC14" s="40"/>
      <c r="AD14" s="40"/>
      <c r="AE14" s="40"/>
    </row>
    <row r="15" spans="2:31" s="39" customFormat="1" x14ac:dyDescent="0.3">
      <c r="B15" s="209"/>
      <c r="C15" s="210"/>
      <c r="D15" s="209"/>
      <c r="E15" s="209"/>
      <c r="F15" s="209" t="s">
        <v>366</v>
      </c>
      <c r="G15" s="63"/>
      <c r="H15" s="40"/>
      <c r="I15" s="41"/>
      <c r="J15" s="60"/>
      <c r="K15" s="42"/>
      <c r="L15" s="42"/>
      <c r="M15" s="263">
        <f>LOOKUP($B$12, CEFF!$C$163:$C$330, CEFF!F$163:F$330)</f>
        <v>7.1940000000000004E-2</v>
      </c>
      <c r="N15" s="263">
        <f>LOOKUP($B$12, CEFF!$C$163:$C$330, CEFF!G$163:G$330)</f>
        <v>7.6980000000000007E-2</v>
      </c>
      <c r="O15" s="263">
        <f>LOOKUP($B$12, CEFF!$C$163:$C$330, CEFF!H$163:H$330)</f>
        <v>8.0909999999999996E-2</v>
      </c>
      <c r="P15" s="263">
        <f>LOOKUP($B$12, CEFF!$C$163:$C$330, CEFF!I$163:I$330)</f>
        <v>8.5250000000000006E-2</v>
      </c>
      <c r="Q15" s="263">
        <f>LOOKUP($B$12, CEFF!$C$163:$C$330, CEFF!J$163:J$330)</f>
        <v>8.9450000000000002E-2</v>
      </c>
      <c r="R15" s="40"/>
      <c r="S15" s="40"/>
      <c r="T15" s="40"/>
      <c r="U15" s="45"/>
      <c r="V15" s="41"/>
      <c r="W15" s="60"/>
      <c r="X15" s="45"/>
      <c r="Y15" s="45"/>
      <c r="Z15" s="45"/>
      <c r="AA15" s="45"/>
      <c r="AB15" s="45"/>
      <c r="AC15" s="45"/>
      <c r="AD15" s="45"/>
      <c r="AE15" s="45"/>
    </row>
    <row r="16" spans="2:31" s="39" customFormat="1" x14ac:dyDescent="0.3">
      <c r="B16" s="212" t="s">
        <v>74</v>
      </c>
      <c r="C16" s="208" t="str">
        <f>LOOKUP(B16, TRA_COMM_PRO!$C$7:$C$189, TRA_COMM_PRO!$D$7:$D$189)</f>
        <v>Bus.Urban.ELC.01.</v>
      </c>
      <c r="D16" s="212" t="s">
        <v>27</v>
      </c>
      <c r="E16" s="212"/>
      <c r="F16" s="212"/>
      <c r="G16" s="59">
        <f>$G$5</f>
        <v>2019</v>
      </c>
      <c r="H16" s="54">
        <f>$H$6</f>
        <v>10</v>
      </c>
      <c r="I16" s="155">
        <f>$I$6</f>
        <v>1E-3</v>
      </c>
      <c r="J16" s="62">
        <f>J12</f>
        <v>14</v>
      </c>
      <c r="K16" s="56"/>
      <c r="L16" s="56"/>
      <c r="M16" s="267"/>
      <c r="N16" s="267"/>
      <c r="O16" s="267"/>
      <c r="P16" s="267"/>
      <c r="Q16" s="267"/>
      <c r="R16" s="54">
        <v>40</v>
      </c>
      <c r="S16" s="54"/>
      <c r="T16" s="54">
        <v>60</v>
      </c>
      <c r="U16" s="40"/>
      <c r="V16" s="55"/>
      <c r="W16" s="62">
        <f>LOOKUP(B16, FIXOM_VAROM!$C$8:$C$190, FIXOM_VAROM!$D$8:$D$190)</f>
        <v>80.000000000000014</v>
      </c>
      <c r="X16" s="40">
        <f>LOOKUP($B16, INVCOST!$C$8:$C$193, INVCOST!D$8:D$193)</f>
        <v>430</v>
      </c>
      <c r="Y16" s="40">
        <f>LOOKUP($B16, INVCOST!$C$8:$C$193, INVCOST!E$8:E$193)</f>
        <v>430</v>
      </c>
      <c r="Z16" s="40">
        <f>LOOKUP($B16, INVCOST!$C$8:$C$193, INVCOST!F$8:F$193)</f>
        <v>430</v>
      </c>
      <c r="AA16" s="40">
        <f>LOOKUP($B16, INVCOST!$C$8:$C$193, INVCOST!G$8:G$193)</f>
        <v>430</v>
      </c>
      <c r="AB16" s="40">
        <f>LOOKUP($B16, INVCOST!$C$8:$C$193, INVCOST!H$8:H$193)</f>
        <v>430</v>
      </c>
      <c r="AC16" s="40">
        <f>LOOKUP($B16, INVCOST!$C$8:$C$193, INVCOST!I$8:I$193)</f>
        <v>430</v>
      </c>
      <c r="AD16" s="40">
        <f>LOOKUP($B16, INVCOST!$C$8:$C$193, INVCOST!J$8:J$193)</f>
        <v>430</v>
      </c>
      <c r="AE16" s="40">
        <f>LOOKUP($B16, INVCOST!$C$8:$C$193, INVCOST!K$8:K$193)</f>
        <v>430</v>
      </c>
    </row>
    <row r="17" spans="2:31" s="39" customFormat="1" x14ac:dyDescent="0.3">
      <c r="B17" s="209"/>
      <c r="C17" s="209"/>
      <c r="D17" s="209"/>
      <c r="E17" s="209"/>
      <c r="F17" s="209" t="s">
        <v>68</v>
      </c>
      <c r="G17" s="59"/>
      <c r="H17" s="40"/>
      <c r="I17" s="41"/>
      <c r="J17" s="60"/>
      <c r="K17" s="42"/>
      <c r="L17" s="42"/>
      <c r="M17" s="263">
        <f>LOOKUP($B$16, CEFF!$C$163:$C$330, CEFF!F$163:F$330)</f>
        <v>0.17985999999999999</v>
      </c>
      <c r="N17" s="263">
        <f>LOOKUP($B$16, CEFF!$C$163:$C$330, CEFF!G$163:G$330)</f>
        <v>0.17985999999999999</v>
      </c>
      <c r="O17" s="263">
        <f>LOOKUP($B$16, CEFF!$C$163:$C$330, CEFF!H$163:H$330)</f>
        <v>0.18970999999999999</v>
      </c>
      <c r="P17" s="263">
        <f>LOOKUP($B$16, CEFF!$C$163:$C$330, CEFF!I$163:I$330)</f>
        <v>0.19783999999999999</v>
      </c>
      <c r="Q17" s="263">
        <f>LOOKUP($B$16, CEFF!$C$163:$C$330, CEFF!J$163:J$330)</f>
        <v>0.20982999999999999</v>
      </c>
      <c r="R17" s="40"/>
      <c r="S17" s="40"/>
      <c r="T17" s="40"/>
      <c r="U17" s="40"/>
      <c r="V17" s="41"/>
      <c r="W17" s="60"/>
      <c r="X17" s="40"/>
      <c r="Y17" s="40"/>
      <c r="Z17" s="40"/>
      <c r="AA17" s="40"/>
      <c r="AB17" s="40"/>
      <c r="AC17" s="40"/>
      <c r="AD17" s="40"/>
      <c r="AE17" s="40"/>
    </row>
    <row r="18" spans="2:31" s="39" customFormat="1" x14ac:dyDescent="0.3">
      <c r="B18" s="210"/>
      <c r="C18" s="210"/>
      <c r="D18" s="210"/>
      <c r="E18" s="210"/>
      <c r="F18" s="210" t="s">
        <v>366</v>
      </c>
      <c r="G18" s="63"/>
      <c r="H18" s="45"/>
      <c r="I18" s="46"/>
      <c r="J18" s="64"/>
      <c r="K18" s="44"/>
      <c r="L18" s="44"/>
      <c r="M18" s="263">
        <f>LOOKUP($B$16, CEFF!$C$163:$C$330, CEFF!F$163:F$330)</f>
        <v>0.17985999999999999</v>
      </c>
      <c r="N18" s="263">
        <f>LOOKUP($B$16, CEFF!$C$163:$C$330, CEFF!G$163:G$330)</f>
        <v>0.17985999999999999</v>
      </c>
      <c r="O18" s="263">
        <f>LOOKUP($B$16, CEFF!$C$163:$C$330, CEFF!H$163:H$330)</f>
        <v>0.18970999999999999</v>
      </c>
      <c r="P18" s="263">
        <f>LOOKUP($B$16, CEFF!$C$163:$C$330, CEFF!I$163:I$330)</f>
        <v>0.19783999999999999</v>
      </c>
      <c r="Q18" s="263">
        <f>LOOKUP($B$16, CEFF!$C$163:$C$330, CEFF!J$163:J$330)</f>
        <v>0.20982999999999999</v>
      </c>
      <c r="R18" s="45"/>
      <c r="S18" s="45"/>
      <c r="T18" s="45"/>
      <c r="U18" s="45"/>
      <c r="V18" s="46"/>
      <c r="W18" s="60"/>
      <c r="X18" s="45"/>
      <c r="Y18" s="45"/>
      <c r="Z18" s="45"/>
      <c r="AA18" s="45"/>
      <c r="AB18" s="45"/>
      <c r="AC18" s="45"/>
      <c r="AD18" s="45"/>
      <c r="AE18" s="45"/>
    </row>
    <row r="19" spans="2:31" s="39" customFormat="1" x14ac:dyDescent="0.3">
      <c r="B19" s="212" t="s">
        <v>76</v>
      </c>
      <c r="C19" s="208" t="str">
        <f>LOOKUP(B19, TRA_COMM_PRO!$C$7:$C$189, TRA_COMM_PRO!$D$7:$D$189)</f>
        <v>Bus.Urban.ETH.01.</v>
      </c>
      <c r="D19" s="212" t="s">
        <v>51</v>
      </c>
      <c r="E19" s="212"/>
      <c r="F19" s="212"/>
      <c r="G19" s="59">
        <f>$G$5</f>
        <v>2019</v>
      </c>
      <c r="H19" s="54">
        <f>$H$6</f>
        <v>10</v>
      </c>
      <c r="I19" s="155">
        <f>$I$6</f>
        <v>1E-3</v>
      </c>
      <c r="J19" s="62">
        <f>J16</f>
        <v>14</v>
      </c>
      <c r="K19" s="56"/>
      <c r="L19" s="56"/>
      <c r="M19" s="267"/>
      <c r="N19" s="267"/>
      <c r="O19" s="267"/>
      <c r="P19" s="267"/>
      <c r="Q19" s="267"/>
      <c r="R19" s="54">
        <v>60</v>
      </c>
      <c r="S19" s="40"/>
      <c r="T19" s="40"/>
      <c r="U19" s="40"/>
      <c r="V19" s="55"/>
      <c r="W19" s="62">
        <f>LOOKUP(B19, FIXOM_VAROM!$C$8:$C$190, FIXOM_VAROM!$D$8:$D$190)</f>
        <v>100</v>
      </c>
      <c r="X19" s="40">
        <f>LOOKUP($B19, INVCOST!$C$8:$C$193, INVCOST!D$8:D$193)</f>
        <v>260</v>
      </c>
      <c r="Y19" s="40">
        <f>LOOKUP($B19, INVCOST!$C$8:$C$193, INVCOST!E$8:E$193)</f>
        <v>260</v>
      </c>
      <c r="Z19" s="40">
        <f>LOOKUP($B19, INVCOST!$C$8:$C$193, INVCOST!F$8:F$193)</f>
        <v>260</v>
      </c>
      <c r="AA19" s="40">
        <f>LOOKUP($B19, INVCOST!$C$8:$C$193, INVCOST!G$8:G$193)</f>
        <v>260</v>
      </c>
      <c r="AB19" s="40">
        <f>LOOKUP($B19, INVCOST!$C$8:$C$193, INVCOST!H$8:H$193)</f>
        <v>260</v>
      </c>
      <c r="AC19" s="40">
        <f>LOOKUP($B19, INVCOST!$C$8:$C$193, INVCOST!I$8:I$193)</f>
        <v>260</v>
      </c>
      <c r="AD19" s="40">
        <f>LOOKUP($B19, INVCOST!$C$8:$C$193, INVCOST!J$8:J$193)</f>
        <v>260</v>
      </c>
      <c r="AE19" s="40">
        <f>LOOKUP($B19, INVCOST!$C$8:$C$193, INVCOST!K$8:K$193)</f>
        <v>260</v>
      </c>
    </row>
    <row r="20" spans="2:31" s="39" customFormat="1" x14ac:dyDescent="0.3">
      <c r="B20" s="209"/>
      <c r="C20" s="209"/>
      <c r="D20" s="209"/>
      <c r="E20" s="209"/>
      <c r="F20" s="209" t="s">
        <v>68</v>
      </c>
      <c r="G20" s="59"/>
      <c r="H20" s="40"/>
      <c r="I20" s="41"/>
      <c r="J20" s="60"/>
      <c r="K20" s="42"/>
      <c r="L20" s="42"/>
      <c r="M20" s="263">
        <f>LOOKUP($B$19, CEFF!$C$163:$C$330, CEFF!F$163:F$330)</f>
        <v>7.1940000000000004E-2</v>
      </c>
      <c r="N20" s="263">
        <f>LOOKUP($B$19, CEFF!$C$163:$C$330, CEFF!G$163:G$330)</f>
        <v>7.6980000000000007E-2</v>
      </c>
      <c r="O20" s="263">
        <f>LOOKUP($B$19, CEFF!$C$163:$C$330, CEFF!H$163:H$330)</f>
        <v>8.0909999999999996E-2</v>
      </c>
      <c r="P20" s="263">
        <f>LOOKUP($B$19, CEFF!$C$163:$C$330, CEFF!I$163:I$330)</f>
        <v>8.5250000000000006E-2</v>
      </c>
      <c r="Q20" s="263">
        <f>LOOKUP($B$19, CEFF!$C$163:$C$330, CEFF!J$163:J$330)</f>
        <v>8.9450000000000002E-2</v>
      </c>
      <c r="R20" s="40"/>
      <c r="S20" s="40"/>
      <c r="T20" s="40"/>
      <c r="U20" s="40"/>
      <c r="V20" s="41"/>
      <c r="W20" s="60"/>
      <c r="X20" s="40"/>
      <c r="Y20" s="40"/>
      <c r="Z20" s="40"/>
      <c r="AA20" s="40"/>
      <c r="AB20" s="40"/>
      <c r="AC20" s="40"/>
      <c r="AD20" s="40"/>
      <c r="AE20" s="40"/>
    </row>
    <row r="21" spans="2:31" s="39" customFormat="1" x14ac:dyDescent="0.3">
      <c r="B21" s="210"/>
      <c r="C21" s="210"/>
      <c r="D21" s="210"/>
      <c r="E21" s="210"/>
      <c r="F21" s="210" t="s">
        <v>366</v>
      </c>
      <c r="G21" s="63"/>
      <c r="H21" s="45"/>
      <c r="I21" s="46"/>
      <c r="J21" s="64"/>
      <c r="K21" s="44"/>
      <c r="L21" s="44"/>
      <c r="M21" s="263">
        <f>LOOKUP($B$19, CEFF!$C$163:$C$330, CEFF!F$163:F$330)</f>
        <v>7.1940000000000004E-2</v>
      </c>
      <c r="N21" s="263">
        <f>LOOKUP($B$19, CEFF!$C$163:$C$330, CEFF!G$163:G$330)</f>
        <v>7.6980000000000007E-2</v>
      </c>
      <c r="O21" s="263">
        <f>LOOKUP($B$19, CEFF!$C$163:$C$330, CEFF!H$163:H$330)</f>
        <v>8.0909999999999996E-2</v>
      </c>
      <c r="P21" s="263">
        <f>LOOKUP($B$19, CEFF!$C$163:$C$330, CEFF!I$163:I$330)</f>
        <v>8.5250000000000006E-2</v>
      </c>
      <c r="Q21" s="263">
        <f>LOOKUP($B$19, CEFF!$C$163:$C$330, CEFF!J$163:J$330)</f>
        <v>8.9450000000000002E-2</v>
      </c>
      <c r="R21" s="45"/>
      <c r="S21" s="45"/>
      <c r="T21" s="45"/>
      <c r="U21" s="45"/>
      <c r="V21" s="46"/>
      <c r="W21" s="60"/>
      <c r="X21" s="45"/>
      <c r="Y21" s="45"/>
      <c r="Z21" s="45"/>
      <c r="AA21" s="45"/>
      <c r="AB21" s="45"/>
      <c r="AC21" s="45"/>
      <c r="AD21" s="45"/>
      <c r="AE21" s="45"/>
    </row>
    <row r="22" spans="2:31" s="39" customFormat="1" x14ac:dyDescent="0.3">
      <c r="B22" s="209" t="s">
        <v>78</v>
      </c>
      <c r="C22" s="208" t="str">
        <f>LOOKUP(B22, TRA_COMM_PRO!$C$7:$C$189, TRA_COMM_PRO!$D$7:$D$189)</f>
        <v>Bus.Urban.GAS.01.</v>
      </c>
      <c r="D22" s="209" t="s">
        <v>53</v>
      </c>
      <c r="E22" s="209"/>
      <c r="F22" s="209"/>
      <c r="G22" s="59">
        <f>$G$5</f>
        <v>2019</v>
      </c>
      <c r="H22" s="54">
        <f>$H$6</f>
        <v>10</v>
      </c>
      <c r="I22" s="155">
        <f>$I$6</f>
        <v>1E-3</v>
      </c>
      <c r="J22" s="62">
        <f>J19</f>
        <v>14</v>
      </c>
      <c r="K22" s="42"/>
      <c r="L22" s="42"/>
      <c r="M22" s="267"/>
      <c r="N22" s="267"/>
      <c r="O22" s="267"/>
      <c r="P22" s="267"/>
      <c r="Q22" s="267"/>
      <c r="R22" s="54">
        <v>60</v>
      </c>
      <c r="S22" s="40"/>
      <c r="T22" s="40"/>
      <c r="U22" s="40"/>
      <c r="V22" s="41"/>
      <c r="W22" s="62">
        <f>LOOKUP(B22, FIXOM_VAROM!$C$8:$C$190, FIXOM_VAROM!$D$8:$D$190)</f>
        <v>100</v>
      </c>
      <c r="X22" s="40">
        <f>LOOKUP($B22, INVCOST!$C$8:$C$193, INVCOST!D$8:D$193)</f>
        <v>260</v>
      </c>
      <c r="Y22" s="40">
        <f>LOOKUP($B22, INVCOST!$C$8:$C$193, INVCOST!E$8:E$193)</f>
        <v>260</v>
      </c>
      <c r="Z22" s="40">
        <f>LOOKUP($B22, INVCOST!$C$8:$C$193, INVCOST!F$8:F$193)</f>
        <v>260</v>
      </c>
      <c r="AA22" s="40">
        <f>LOOKUP($B22, INVCOST!$C$8:$C$193, INVCOST!G$8:G$193)</f>
        <v>260</v>
      </c>
      <c r="AB22" s="40">
        <f>LOOKUP($B22, INVCOST!$C$8:$C$193, INVCOST!H$8:H$193)</f>
        <v>260</v>
      </c>
      <c r="AC22" s="40">
        <f>LOOKUP($B22, INVCOST!$C$8:$C$193, INVCOST!I$8:I$193)</f>
        <v>260</v>
      </c>
      <c r="AD22" s="40">
        <f>LOOKUP($B22, INVCOST!$C$8:$C$193, INVCOST!J$8:J$193)</f>
        <v>260</v>
      </c>
      <c r="AE22" s="40">
        <f>LOOKUP($B22, INVCOST!$C$8:$C$193, INVCOST!K$8:K$193)</f>
        <v>260</v>
      </c>
    </row>
    <row r="23" spans="2:31" s="39" customFormat="1" x14ac:dyDescent="0.3">
      <c r="B23" s="209"/>
      <c r="C23" s="209"/>
      <c r="D23" s="209" t="s">
        <v>54</v>
      </c>
      <c r="E23" s="209"/>
      <c r="F23" s="209"/>
      <c r="G23" s="59"/>
      <c r="H23" s="40"/>
      <c r="I23" s="41"/>
      <c r="J23" s="60"/>
      <c r="K23" s="42"/>
      <c r="L23" s="42"/>
      <c r="M23" s="263"/>
      <c r="N23" s="263"/>
      <c r="O23" s="263"/>
      <c r="P23" s="263"/>
      <c r="Q23" s="263"/>
      <c r="R23" s="40"/>
      <c r="S23" s="40"/>
      <c r="T23" s="40"/>
      <c r="U23" s="40"/>
      <c r="V23" s="41"/>
      <c r="W23" s="60"/>
      <c r="X23" s="40"/>
      <c r="Y23" s="40"/>
      <c r="Z23" s="40"/>
      <c r="AA23" s="40"/>
      <c r="AB23" s="40"/>
      <c r="AC23" s="40"/>
      <c r="AD23" s="40"/>
      <c r="AE23" s="40"/>
    </row>
    <row r="24" spans="2:31" s="39" customFormat="1" x14ac:dyDescent="0.3">
      <c r="B24" s="209"/>
      <c r="C24" s="209"/>
      <c r="D24" s="209"/>
      <c r="E24" s="209"/>
      <c r="F24" s="209" t="s">
        <v>68</v>
      </c>
      <c r="G24" s="59"/>
      <c r="H24" s="40"/>
      <c r="I24" s="41"/>
      <c r="J24" s="60"/>
      <c r="K24" s="42"/>
      <c r="L24" s="42"/>
      <c r="M24" s="263">
        <f>LOOKUP($B$22, CEFF!$C$163:$C$330, CEFF!F$163:F$330)</f>
        <v>4.8079999999999998E-2</v>
      </c>
      <c r="N24" s="263">
        <f>LOOKUP($B$22, CEFF!$C$163:$C$330, CEFF!G$163:G$330)</f>
        <v>5.1360000000000003E-2</v>
      </c>
      <c r="O24" s="263">
        <f>LOOKUP($B$22, CEFF!$C$163:$C$330, CEFF!H$163:H$330)</f>
        <v>5.4050000000000001E-2</v>
      </c>
      <c r="P24" s="263">
        <f>LOOKUP($B$22, CEFF!$C$163:$C$330, CEFF!I$163:I$330)</f>
        <v>5.679E-2</v>
      </c>
      <c r="Q24" s="263">
        <f>LOOKUP($B$22, CEFF!$C$163:$C$330, CEFF!J$163:J$330)</f>
        <v>5.9769999999999997E-2</v>
      </c>
      <c r="R24" s="40"/>
      <c r="S24" s="40"/>
      <c r="T24" s="40"/>
      <c r="U24" s="40"/>
      <c r="V24" s="41"/>
      <c r="W24" s="60"/>
      <c r="X24" s="40"/>
      <c r="Y24" s="40"/>
      <c r="Z24" s="40"/>
      <c r="AA24" s="40"/>
      <c r="AB24" s="40"/>
      <c r="AC24" s="40"/>
      <c r="AD24" s="40"/>
      <c r="AE24" s="40"/>
    </row>
    <row r="25" spans="2:31" s="39" customFormat="1" x14ac:dyDescent="0.3">
      <c r="B25" s="209"/>
      <c r="C25" s="210"/>
      <c r="D25" s="210"/>
      <c r="E25" s="209"/>
      <c r="F25" s="209" t="s">
        <v>366</v>
      </c>
      <c r="G25" s="63"/>
      <c r="H25" s="40"/>
      <c r="I25" s="41"/>
      <c r="J25" s="60"/>
      <c r="K25" s="42"/>
      <c r="L25" s="42"/>
      <c r="M25" s="263">
        <f>LOOKUP($B$22, CEFF!$C$163:$C$330, CEFF!F$163:F$330)</f>
        <v>4.8079999999999998E-2</v>
      </c>
      <c r="N25" s="263">
        <f>LOOKUP($B$22, CEFF!$C$163:$C$330, CEFF!G$163:G$330)</f>
        <v>5.1360000000000003E-2</v>
      </c>
      <c r="O25" s="263">
        <f>LOOKUP($B$22, CEFF!$C$163:$C$330, CEFF!H$163:H$330)</f>
        <v>5.4050000000000001E-2</v>
      </c>
      <c r="P25" s="263">
        <f>LOOKUP($B$22, CEFF!$C$163:$C$330, CEFF!I$163:I$330)</f>
        <v>5.679E-2</v>
      </c>
      <c r="Q25" s="263">
        <f>LOOKUP($B$22, CEFF!$C$163:$C$330, CEFF!J$163:J$330)</f>
        <v>5.9769999999999997E-2</v>
      </c>
      <c r="R25" s="40"/>
      <c r="S25" s="40"/>
      <c r="T25" s="40"/>
      <c r="U25" s="45"/>
      <c r="V25" s="41"/>
      <c r="W25" s="60"/>
      <c r="X25" s="45"/>
      <c r="Y25" s="45"/>
      <c r="Z25" s="45"/>
      <c r="AA25" s="45"/>
      <c r="AB25" s="45"/>
      <c r="AC25" s="45"/>
      <c r="AD25" s="45"/>
      <c r="AE25" s="45"/>
    </row>
    <row r="26" spans="2:31" s="39" customFormat="1" x14ac:dyDescent="0.3">
      <c r="B26" s="212" t="s">
        <v>80</v>
      </c>
      <c r="C26" s="208" t="str">
        <f>LOOKUP(B26, TRA_COMM_PRO!$C$7:$C$189, TRA_COMM_PRO!$D$7:$D$189)</f>
        <v>Bus.Urban.GSL.01.</v>
      </c>
      <c r="D26" s="208" t="s">
        <v>40</v>
      </c>
      <c r="E26" s="212"/>
      <c r="F26" s="212"/>
      <c r="G26" s="59">
        <f>$G$5</f>
        <v>2019</v>
      </c>
      <c r="H26" s="54">
        <f>$H$6</f>
        <v>10</v>
      </c>
      <c r="I26" s="155">
        <f>$I$6</f>
        <v>1E-3</v>
      </c>
      <c r="J26" s="62">
        <f>J22</f>
        <v>14</v>
      </c>
      <c r="K26" s="56"/>
      <c r="L26" s="56">
        <v>0.05</v>
      </c>
      <c r="M26" s="267"/>
      <c r="N26" s="267"/>
      <c r="O26" s="267"/>
      <c r="P26" s="267"/>
      <c r="Q26" s="267"/>
      <c r="R26" s="54">
        <v>60</v>
      </c>
      <c r="S26" s="54"/>
      <c r="T26" s="54"/>
      <c r="U26" s="40"/>
      <c r="V26" s="55"/>
      <c r="W26" s="62">
        <f>LOOKUP(B26, FIXOM_VAROM!$C$8:$C$190, FIXOM_VAROM!$D$8:$D$190)</f>
        <v>100</v>
      </c>
      <c r="X26" s="40">
        <f>LOOKUP($B26, INVCOST!$C$8:$C$193, INVCOST!D$8:D$193)</f>
        <v>260</v>
      </c>
      <c r="Y26" s="40">
        <f>LOOKUP($B26, INVCOST!$C$8:$C$193, INVCOST!E$8:E$193)</f>
        <v>260</v>
      </c>
      <c r="Z26" s="40">
        <f>LOOKUP($B26, INVCOST!$C$8:$C$193, INVCOST!F$8:F$193)</f>
        <v>260</v>
      </c>
      <c r="AA26" s="40">
        <f>LOOKUP($B26, INVCOST!$C$8:$C$193, INVCOST!G$8:G$193)</f>
        <v>260</v>
      </c>
      <c r="AB26" s="40">
        <f>LOOKUP($B26, INVCOST!$C$8:$C$193, INVCOST!H$8:H$193)</f>
        <v>260</v>
      </c>
      <c r="AC26" s="40">
        <f>LOOKUP($B26, INVCOST!$C$8:$C$193, INVCOST!I$8:I$193)</f>
        <v>260</v>
      </c>
      <c r="AD26" s="40">
        <f>LOOKUP($B26, INVCOST!$C$8:$C$193, INVCOST!J$8:J$193)</f>
        <v>260</v>
      </c>
      <c r="AE26" s="40">
        <f>LOOKUP($B26, INVCOST!$C$8:$C$193, INVCOST!K$8:K$193)</f>
        <v>260</v>
      </c>
    </row>
    <row r="27" spans="2:31" s="39" customFormat="1" x14ac:dyDescent="0.3">
      <c r="B27" s="209"/>
      <c r="C27" s="208"/>
      <c r="D27" s="209" t="s">
        <v>39</v>
      </c>
      <c r="E27" s="209"/>
      <c r="F27" s="209"/>
      <c r="G27" s="59"/>
      <c r="H27" s="40"/>
      <c r="I27" s="65"/>
      <c r="J27" s="60"/>
      <c r="K27" s="42"/>
      <c r="L27" s="42"/>
      <c r="M27" s="263"/>
      <c r="N27" s="263"/>
      <c r="O27" s="263"/>
      <c r="P27" s="263"/>
      <c r="Q27" s="263"/>
      <c r="R27" s="40"/>
      <c r="S27" s="40"/>
      <c r="T27" s="40"/>
      <c r="U27" s="40"/>
      <c r="V27" s="41"/>
      <c r="W27" s="60"/>
      <c r="X27" s="40"/>
      <c r="Y27" s="40"/>
      <c r="Z27" s="40"/>
      <c r="AA27" s="40"/>
      <c r="AB27" s="40"/>
      <c r="AC27" s="40"/>
      <c r="AD27" s="40"/>
      <c r="AE27" s="40"/>
    </row>
    <row r="28" spans="2:31" s="39" customFormat="1" x14ac:dyDescent="0.3">
      <c r="B28" s="209"/>
      <c r="C28" s="209"/>
      <c r="D28" s="209"/>
      <c r="E28" s="209"/>
      <c r="F28" s="209" t="s">
        <v>68</v>
      </c>
      <c r="G28" s="59"/>
      <c r="H28" s="40"/>
      <c r="I28" s="41"/>
      <c r="J28" s="60"/>
      <c r="K28" s="42"/>
      <c r="L28" s="42"/>
      <c r="M28" s="263">
        <f>LOOKUP($B$26, CEFF!$C$163:$C$330, CEFF!F$163:F$330)</f>
        <v>4.8079999999999998E-2</v>
      </c>
      <c r="N28" s="263">
        <f>LOOKUP($B$26, CEFF!$C$163:$C$330, CEFF!G$163:G$330)</f>
        <v>5.1360000000000003E-2</v>
      </c>
      <c r="O28" s="263">
        <f>LOOKUP($B$26, CEFF!$C$163:$C$330, CEFF!H$163:H$330)</f>
        <v>5.4050000000000001E-2</v>
      </c>
      <c r="P28" s="263">
        <f>LOOKUP($B$26, CEFF!$C$163:$C$330, CEFF!I$163:I$330)</f>
        <v>5.679E-2</v>
      </c>
      <c r="Q28" s="263">
        <f>LOOKUP($B$26, CEFF!$C$163:$C$330, CEFF!J$163:J$330)</f>
        <v>5.9769999999999997E-2</v>
      </c>
      <c r="R28" s="40"/>
      <c r="S28" s="40"/>
      <c r="T28" s="40"/>
      <c r="U28" s="40"/>
      <c r="V28" s="41"/>
      <c r="W28" s="60"/>
      <c r="X28" s="40"/>
      <c r="Y28" s="40"/>
      <c r="Z28" s="40"/>
      <c r="AA28" s="40"/>
      <c r="AB28" s="40"/>
      <c r="AC28" s="40"/>
      <c r="AD28" s="40"/>
      <c r="AE28" s="40"/>
    </row>
    <row r="29" spans="2:31" s="39" customFormat="1" x14ac:dyDescent="0.3">
      <c r="B29" s="210"/>
      <c r="C29" s="210"/>
      <c r="D29" s="210"/>
      <c r="E29" s="210"/>
      <c r="F29" s="210" t="s">
        <v>366</v>
      </c>
      <c r="G29" s="63"/>
      <c r="H29" s="45"/>
      <c r="I29" s="46"/>
      <c r="J29" s="64"/>
      <c r="K29" s="44"/>
      <c r="L29" s="44"/>
      <c r="M29" s="263">
        <f>LOOKUP($B$26, CEFF!$C$163:$C$330, CEFF!F$163:F$330)</f>
        <v>4.8079999999999998E-2</v>
      </c>
      <c r="N29" s="263">
        <f>LOOKUP($B$26, CEFF!$C$163:$C$330, CEFF!G$163:G$330)</f>
        <v>5.1360000000000003E-2</v>
      </c>
      <c r="O29" s="263">
        <f>LOOKUP($B$26, CEFF!$C$163:$C$330, CEFF!H$163:H$330)</f>
        <v>5.4050000000000001E-2</v>
      </c>
      <c r="P29" s="263">
        <f>LOOKUP($B$26, CEFF!$C$163:$C$330, CEFF!I$163:I$330)</f>
        <v>5.679E-2</v>
      </c>
      <c r="Q29" s="263">
        <f>LOOKUP($B$26, CEFF!$C$163:$C$330, CEFF!J$163:J$330)</f>
        <v>5.9769999999999997E-2</v>
      </c>
      <c r="R29" s="45"/>
      <c r="S29" s="45"/>
      <c r="T29" s="45"/>
      <c r="U29" s="45"/>
      <c r="V29" s="46"/>
      <c r="W29" s="60"/>
      <c r="X29" s="45"/>
      <c r="Y29" s="45"/>
      <c r="Z29" s="45"/>
      <c r="AA29" s="45"/>
      <c r="AB29" s="45"/>
      <c r="AC29" s="45"/>
      <c r="AD29" s="45"/>
      <c r="AE29" s="45"/>
    </row>
    <row r="30" spans="2:31" s="39" customFormat="1" x14ac:dyDescent="0.3">
      <c r="B30" s="212" t="s">
        <v>82</v>
      </c>
      <c r="C30" s="208" t="str">
        <f>LOOKUP(B30, TRA_COMM_PRO!$C$7:$C$189, TRA_COMM_PRO!$D$7:$D$189)</f>
        <v>Bus.Urban.H2G.01.</v>
      </c>
      <c r="D30" s="212" t="s">
        <v>57</v>
      </c>
      <c r="E30" s="212"/>
      <c r="F30" s="212"/>
      <c r="G30" s="59">
        <v>2019</v>
      </c>
      <c r="H30" s="54">
        <f>$H$6</f>
        <v>10</v>
      </c>
      <c r="I30" s="155">
        <f>$I$6</f>
        <v>1E-3</v>
      </c>
      <c r="J30" s="62">
        <f>J33</f>
        <v>14</v>
      </c>
      <c r="K30" s="56"/>
      <c r="L30" s="56"/>
      <c r="M30" s="267"/>
      <c r="N30" s="267"/>
      <c r="O30" s="267"/>
      <c r="P30" s="267"/>
      <c r="Q30" s="267"/>
      <c r="R30" s="54">
        <v>60</v>
      </c>
      <c r="S30" s="54"/>
      <c r="T30" s="54"/>
      <c r="U30" s="40"/>
      <c r="V30" s="55"/>
      <c r="W30" s="62">
        <f>LOOKUP(B30, FIXOM_VAROM!$C$8:$C$190, FIXOM_VAROM!$D$8:$D$190)</f>
        <v>80.000000000000014</v>
      </c>
      <c r="X30" s="40">
        <f>LOOKUP($B30, INVCOST!$C$8:$C$193, INVCOST!D$8:D$193)</f>
        <v>1000</v>
      </c>
      <c r="Y30" s="40">
        <f>LOOKUP($B30, INVCOST!$C$8:$C$193, INVCOST!E$8:E$193)</f>
        <v>1000</v>
      </c>
      <c r="Z30" s="40">
        <f>LOOKUP($B30, INVCOST!$C$8:$C$193, INVCOST!F$8:F$193)</f>
        <v>1000</v>
      </c>
      <c r="AA30" s="40">
        <f>LOOKUP($B30, INVCOST!$C$8:$C$193, INVCOST!G$8:G$193)</f>
        <v>1000</v>
      </c>
      <c r="AB30" s="40">
        <f>LOOKUP($B30, INVCOST!$C$8:$C$193, INVCOST!H$8:H$193)</f>
        <v>1000</v>
      </c>
      <c r="AC30" s="40">
        <f>LOOKUP($B30, INVCOST!$C$8:$C$193, INVCOST!I$8:I$193)</f>
        <v>1000</v>
      </c>
      <c r="AD30" s="40">
        <f>LOOKUP($B30, INVCOST!$C$8:$C$193, INVCOST!J$8:J$193)</f>
        <v>1000</v>
      </c>
      <c r="AE30" s="40">
        <f>LOOKUP($B30, INVCOST!$C$8:$C$193, INVCOST!K$8:K$193)</f>
        <v>1000</v>
      </c>
    </row>
    <row r="31" spans="2:31" s="39" customFormat="1" x14ac:dyDescent="0.3">
      <c r="B31" s="209"/>
      <c r="C31" s="209"/>
      <c r="D31" s="209"/>
      <c r="E31" s="209"/>
      <c r="F31" s="209" t="s">
        <v>68</v>
      </c>
      <c r="G31" s="59"/>
      <c r="H31" s="40"/>
      <c r="I31" s="41"/>
      <c r="J31" s="60"/>
      <c r="K31" s="42"/>
      <c r="L31" s="42"/>
      <c r="M31" s="263">
        <f>LOOKUP($B$30, CEFF!$C$163:$C$330, CEFF!F$163:F$330)</f>
        <v>0.11990000000000001</v>
      </c>
      <c r="N31" s="263">
        <f>LOOKUP($B$30, CEFF!$C$163:$C$330, CEFF!G$163:G$330)</f>
        <v>0.1283</v>
      </c>
      <c r="O31" s="263">
        <f>LOOKUP($B$30, CEFF!$C$163:$C$330, CEFF!H$163:H$330)</f>
        <v>0.13483999999999999</v>
      </c>
      <c r="P31" s="263">
        <f>LOOKUP($B$30, CEFF!$C$163:$C$330, CEFF!I$163:I$330)</f>
        <v>0.14208999999999999</v>
      </c>
      <c r="Q31" s="263">
        <f>LOOKUP($B$30, CEFF!$C$163:$C$330, CEFF!J$163:J$330)</f>
        <v>0.14907999999999999</v>
      </c>
      <c r="R31" s="40"/>
      <c r="S31" s="40"/>
      <c r="T31" s="40"/>
      <c r="U31" s="40"/>
      <c r="V31" s="41"/>
      <c r="W31" s="60"/>
      <c r="X31" s="40"/>
      <c r="Y31" s="40"/>
      <c r="Z31" s="40"/>
      <c r="AA31" s="40"/>
      <c r="AB31" s="40"/>
      <c r="AC31" s="40"/>
      <c r="AD31" s="40"/>
      <c r="AE31" s="40"/>
    </row>
    <row r="32" spans="2:31" s="39" customFormat="1" x14ac:dyDescent="0.3">
      <c r="B32" s="210"/>
      <c r="C32" s="210"/>
      <c r="D32" s="210"/>
      <c r="E32" s="210"/>
      <c r="F32" s="210" t="s">
        <v>366</v>
      </c>
      <c r="G32" s="63"/>
      <c r="H32" s="45"/>
      <c r="I32" s="46"/>
      <c r="J32" s="64"/>
      <c r="K32" s="44"/>
      <c r="L32" s="44"/>
      <c r="M32" s="263">
        <f>LOOKUP($B$30, CEFF!$C$163:$C$330, CEFF!F$163:F$330)</f>
        <v>0.11990000000000001</v>
      </c>
      <c r="N32" s="263">
        <f>LOOKUP($B$30, CEFF!$C$163:$C$330, CEFF!G$163:G$330)</f>
        <v>0.1283</v>
      </c>
      <c r="O32" s="263">
        <f>LOOKUP($B$30, CEFF!$C$163:$C$330, CEFF!H$163:H$330)</f>
        <v>0.13483999999999999</v>
      </c>
      <c r="P32" s="263">
        <f>LOOKUP($B$30, CEFF!$C$163:$C$330, CEFF!I$163:I$330)</f>
        <v>0.14208999999999999</v>
      </c>
      <c r="Q32" s="263">
        <f>LOOKUP($B$30, CEFF!$C$163:$C$330, CEFF!J$163:J$330)</f>
        <v>0.14907999999999999</v>
      </c>
      <c r="R32" s="45"/>
      <c r="S32" s="45"/>
      <c r="T32" s="45"/>
      <c r="U32" s="45"/>
      <c r="V32" s="46"/>
      <c r="W32" s="60"/>
      <c r="X32" s="45"/>
      <c r="Y32" s="45"/>
      <c r="Z32" s="45"/>
      <c r="AA32" s="45"/>
      <c r="AB32" s="45"/>
      <c r="AC32" s="45"/>
      <c r="AD32" s="45"/>
      <c r="AE32" s="45"/>
    </row>
    <row r="33" spans="2:31" s="39" customFormat="1" x14ac:dyDescent="0.3">
      <c r="B33" s="212" t="s">
        <v>338</v>
      </c>
      <c r="C33" s="208" t="str">
        <f>LOOKUP(B33, TRA_COMM_PRO!$C$7:$C$189, TRA_COMM_PRO!$D$7:$D$189)</f>
        <v>Bus.Urban.Hybrid.DST.01.</v>
      </c>
      <c r="D33" s="209" t="s">
        <v>44</v>
      </c>
      <c r="E33" s="212"/>
      <c r="F33" s="212"/>
      <c r="G33" s="59">
        <f>$G$5</f>
        <v>2019</v>
      </c>
      <c r="H33" s="54">
        <f>$H$6</f>
        <v>10</v>
      </c>
      <c r="I33" s="155">
        <f>$I$6</f>
        <v>1E-3</v>
      </c>
      <c r="J33" s="62">
        <f>J26</f>
        <v>14</v>
      </c>
      <c r="K33" s="56"/>
      <c r="L33" s="56"/>
      <c r="M33" s="267"/>
      <c r="N33" s="267"/>
      <c r="O33" s="267"/>
      <c r="P33" s="267"/>
      <c r="Q33" s="267"/>
      <c r="R33" s="54">
        <v>60</v>
      </c>
      <c r="S33" s="40"/>
      <c r="T33" s="40"/>
      <c r="U33" s="40"/>
      <c r="V33" s="56"/>
      <c r="W33" s="62">
        <f>LOOKUP(B33, FIXOM_VAROM!$C$8:$C$190, FIXOM_VAROM!$D$8:$D$190)</f>
        <v>100</v>
      </c>
      <c r="X33" s="40">
        <f>LOOKUP($B33, INVCOST!$C$8:$C$193, INVCOST!D$8:D$193)</f>
        <v>602</v>
      </c>
      <c r="Y33" s="40">
        <f>LOOKUP($B33, INVCOST!$C$8:$C$193, INVCOST!E$8:E$193)</f>
        <v>602</v>
      </c>
      <c r="Z33" s="40">
        <f>LOOKUP($B33, INVCOST!$C$8:$C$193, INVCOST!F$8:F$193)</f>
        <v>602</v>
      </c>
      <c r="AA33" s="40">
        <f>LOOKUP($B33, INVCOST!$C$8:$C$193, INVCOST!G$8:G$193)</f>
        <v>602</v>
      </c>
      <c r="AB33" s="40">
        <f>LOOKUP($B33, INVCOST!$C$8:$C$193, INVCOST!H$8:H$193)</f>
        <v>602</v>
      </c>
      <c r="AC33" s="40">
        <f>LOOKUP($B33, INVCOST!$C$8:$C$193, INVCOST!I$8:I$193)</f>
        <v>602</v>
      </c>
      <c r="AD33" s="40">
        <f>LOOKUP($B33, INVCOST!$C$8:$C$193, INVCOST!J$8:J$193)</f>
        <v>602</v>
      </c>
      <c r="AE33" s="40">
        <f>LOOKUP($B33, INVCOST!$C$8:$C$193, INVCOST!K$8:K$193)</f>
        <v>602</v>
      </c>
    </row>
    <row r="34" spans="2:31" s="39" customFormat="1" x14ac:dyDescent="0.3">
      <c r="B34" s="209"/>
      <c r="C34" s="209"/>
      <c r="D34" s="209" t="s">
        <v>48</v>
      </c>
      <c r="E34" s="209"/>
      <c r="F34" s="209"/>
      <c r="G34" s="59"/>
      <c r="H34" s="40"/>
      <c r="I34" s="41"/>
      <c r="J34" s="60"/>
      <c r="K34" s="42"/>
      <c r="L34" s="42"/>
      <c r="M34" s="263"/>
      <c r="N34" s="263"/>
      <c r="O34" s="263"/>
      <c r="P34" s="263"/>
      <c r="Q34" s="263"/>
      <c r="R34" s="40"/>
      <c r="S34" s="40"/>
      <c r="T34" s="40"/>
      <c r="U34" s="40"/>
      <c r="V34" s="41"/>
      <c r="W34" s="60"/>
      <c r="X34" s="40"/>
      <c r="Y34" s="40"/>
      <c r="Z34" s="40"/>
      <c r="AA34" s="40"/>
      <c r="AB34" s="40"/>
      <c r="AC34" s="40"/>
      <c r="AD34" s="40"/>
      <c r="AE34" s="40"/>
    </row>
    <row r="35" spans="2:31" s="39" customFormat="1" x14ac:dyDescent="0.3">
      <c r="B35" s="209"/>
      <c r="C35" s="209"/>
      <c r="D35" s="209"/>
      <c r="E35" s="209"/>
      <c r="F35" s="209" t="s">
        <v>68</v>
      </c>
      <c r="G35" s="59"/>
      <c r="H35" s="40"/>
      <c r="I35" s="41"/>
      <c r="J35" s="60"/>
      <c r="K35" s="42"/>
      <c r="L35" s="42"/>
      <c r="M35" s="263">
        <f>LOOKUP($B$33, CEFF!$C$163:$C$330, CEFF!F$163:F$330)</f>
        <v>0.11990000000000001</v>
      </c>
      <c r="N35" s="263">
        <f>LOOKUP($B$33, CEFF!$C$163:$C$330, CEFF!G$163:G$330)</f>
        <v>0.1283</v>
      </c>
      <c r="O35" s="263">
        <f>LOOKUP($B$33, CEFF!$C$163:$C$330, CEFF!H$163:H$330)</f>
        <v>0.13483999999999999</v>
      </c>
      <c r="P35" s="263">
        <f>LOOKUP($B$33, CEFF!$C$163:$C$330, CEFF!I$163:I$330)</f>
        <v>0.14208999999999999</v>
      </c>
      <c r="Q35" s="263">
        <f>LOOKUP($B$33, CEFF!$C$163:$C$330, CEFF!J$163:J$330)</f>
        <v>0.14907999999999999</v>
      </c>
      <c r="R35" s="40"/>
      <c r="S35" s="40"/>
      <c r="T35" s="40"/>
      <c r="U35" s="40"/>
      <c r="V35" s="41"/>
      <c r="W35" s="60"/>
      <c r="X35" s="40"/>
      <c r="Y35" s="40"/>
      <c r="Z35" s="40"/>
      <c r="AA35" s="40"/>
      <c r="AB35" s="40"/>
      <c r="AC35" s="40"/>
      <c r="AD35" s="40"/>
      <c r="AE35" s="40"/>
    </row>
    <row r="36" spans="2:31" s="39" customFormat="1" x14ac:dyDescent="0.3">
      <c r="B36" s="209"/>
      <c r="C36" s="210"/>
      <c r="D36" s="209"/>
      <c r="E36" s="209"/>
      <c r="F36" s="209" t="s">
        <v>366</v>
      </c>
      <c r="G36" s="63"/>
      <c r="H36" s="40"/>
      <c r="I36" s="41"/>
      <c r="J36" s="60"/>
      <c r="K36" s="42"/>
      <c r="L36" s="42"/>
      <c r="M36" s="263">
        <f>LOOKUP($B$33, CEFF!$C$163:$C$330, CEFF!F$163:F$330)</f>
        <v>0.11990000000000001</v>
      </c>
      <c r="N36" s="263">
        <f>LOOKUP($B$33, CEFF!$C$163:$C$330, CEFF!G$163:G$330)</f>
        <v>0.1283</v>
      </c>
      <c r="O36" s="263">
        <f>LOOKUP($B$33, CEFF!$C$163:$C$330, CEFF!H$163:H$330)</f>
        <v>0.13483999999999999</v>
      </c>
      <c r="P36" s="263">
        <f>LOOKUP($B$33, CEFF!$C$163:$C$330, CEFF!I$163:I$330)</f>
        <v>0.14208999999999999</v>
      </c>
      <c r="Q36" s="263">
        <f>LOOKUP($B$33, CEFF!$C$163:$C$330, CEFF!J$163:J$330)</f>
        <v>0.14907999999999999</v>
      </c>
      <c r="R36" s="40"/>
      <c r="S36" s="40"/>
      <c r="T36" s="40"/>
      <c r="U36" s="45"/>
      <c r="V36" s="41"/>
      <c r="W36" s="60"/>
      <c r="X36" s="45"/>
      <c r="Y36" s="45"/>
      <c r="Z36" s="45"/>
      <c r="AA36" s="45"/>
      <c r="AB36" s="45"/>
      <c r="AC36" s="45"/>
      <c r="AD36" s="45"/>
      <c r="AE36" s="45"/>
    </row>
    <row r="37" spans="2:31" s="39" customFormat="1" x14ac:dyDescent="0.3">
      <c r="B37" s="212" t="s">
        <v>375</v>
      </c>
      <c r="C37" s="208" t="str">
        <f>LOOKUP(B37, TRA_COMM_PRO!$C$7:$C$189, TRA_COMM_PRO!$D$7:$D$189)</f>
        <v>Bus.Urban.Hybrid.GSL.01.</v>
      </c>
      <c r="D37" s="212" t="s">
        <v>40</v>
      </c>
      <c r="E37" s="212"/>
      <c r="F37" s="212"/>
      <c r="G37" s="59">
        <f>$G$5</f>
        <v>2019</v>
      </c>
      <c r="H37" s="54">
        <f>$H$6</f>
        <v>10</v>
      </c>
      <c r="I37" s="155">
        <f>$I$6</f>
        <v>1E-3</v>
      </c>
      <c r="J37" s="62">
        <f>J33</f>
        <v>14</v>
      </c>
      <c r="K37" s="56"/>
      <c r="L37" s="56">
        <v>0.05</v>
      </c>
      <c r="M37" s="267"/>
      <c r="N37" s="267"/>
      <c r="O37" s="267"/>
      <c r="P37" s="267"/>
      <c r="Q37" s="267"/>
      <c r="R37" s="54">
        <v>60</v>
      </c>
      <c r="S37" s="54"/>
      <c r="T37" s="54"/>
      <c r="U37" s="40"/>
      <c r="V37" s="55"/>
      <c r="W37" s="62">
        <f>LOOKUP(B37, FIXOM_VAROM!$C$8:$C$190, FIXOM_VAROM!$D$8:$D$190)</f>
        <v>100</v>
      </c>
      <c r="X37" s="40">
        <f>LOOKUP($B37, INVCOST!$C$8:$C$193, INVCOST!D$8:D$193)</f>
        <v>602</v>
      </c>
      <c r="Y37" s="40">
        <f>LOOKUP($B37, INVCOST!$C$8:$C$193, INVCOST!E$8:E$193)</f>
        <v>602</v>
      </c>
      <c r="Z37" s="40">
        <f>LOOKUP($B37, INVCOST!$C$8:$C$193, INVCOST!F$8:F$193)</f>
        <v>602</v>
      </c>
      <c r="AA37" s="40">
        <f>LOOKUP($B37, INVCOST!$C$8:$C$193, INVCOST!G$8:G$193)</f>
        <v>602</v>
      </c>
      <c r="AB37" s="40">
        <f>LOOKUP($B37, INVCOST!$C$8:$C$193, INVCOST!H$8:H$193)</f>
        <v>602</v>
      </c>
      <c r="AC37" s="40">
        <f>LOOKUP($B37, INVCOST!$C$8:$C$193, INVCOST!I$8:I$193)</f>
        <v>602</v>
      </c>
      <c r="AD37" s="40">
        <f>LOOKUP($B37, INVCOST!$C$8:$C$193, INVCOST!J$8:J$193)</f>
        <v>602</v>
      </c>
      <c r="AE37" s="40">
        <f>LOOKUP($B37, INVCOST!$C$8:$C$193, INVCOST!K$8:K$193)</f>
        <v>602</v>
      </c>
    </row>
    <row r="38" spans="2:31" s="39" customFormat="1" x14ac:dyDescent="0.3">
      <c r="B38" s="209"/>
      <c r="C38" s="208"/>
      <c r="D38" s="209" t="s">
        <v>39</v>
      </c>
      <c r="E38" s="209"/>
      <c r="F38" s="209"/>
      <c r="G38" s="59"/>
      <c r="H38" s="40"/>
      <c r="I38" s="65"/>
      <c r="J38" s="60"/>
      <c r="K38" s="42"/>
      <c r="L38" s="42"/>
      <c r="M38" s="263"/>
      <c r="N38" s="263"/>
      <c r="O38" s="263"/>
      <c r="P38" s="263"/>
      <c r="Q38" s="263"/>
      <c r="R38" s="40"/>
      <c r="S38" s="40"/>
      <c r="T38" s="40"/>
      <c r="U38" s="40"/>
      <c r="V38" s="41"/>
      <c r="W38" s="60"/>
      <c r="X38" s="40"/>
      <c r="Y38" s="40"/>
      <c r="Z38" s="40"/>
      <c r="AA38" s="40"/>
      <c r="AB38" s="40"/>
      <c r="AC38" s="40"/>
      <c r="AD38" s="40"/>
      <c r="AE38" s="40"/>
    </row>
    <row r="39" spans="2:31" s="39" customFormat="1" x14ac:dyDescent="0.3">
      <c r="B39" s="209"/>
      <c r="C39" s="209"/>
      <c r="D39" s="209"/>
      <c r="E39" s="209"/>
      <c r="F39" s="209" t="s">
        <v>68</v>
      </c>
      <c r="G39" s="59"/>
      <c r="H39" s="40"/>
      <c r="I39" s="41"/>
      <c r="J39" s="60"/>
      <c r="K39" s="42"/>
      <c r="L39" s="42"/>
      <c r="M39" s="263">
        <f>LOOKUP($B$37, CEFF!$C$163:$C$330, CEFF!F$163:F$330)</f>
        <v>0.11990000000000001</v>
      </c>
      <c r="N39" s="263">
        <f>LOOKUP($B$37, CEFF!$C$163:$C$330, CEFF!G$163:G$330)</f>
        <v>0.1283</v>
      </c>
      <c r="O39" s="263">
        <f>LOOKUP($B$37, CEFF!$C$163:$C$330, CEFF!H$163:H$330)</f>
        <v>0.13483999999999999</v>
      </c>
      <c r="P39" s="263">
        <f>LOOKUP($B$37, CEFF!$C$163:$C$330, CEFF!I$163:I$330)</f>
        <v>0.14208999999999999</v>
      </c>
      <c r="Q39" s="263">
        <f>LOOKUP($B$37, CEFF!$C$163:$C$330, CEFF!J$163:J$330)</f>
        <v>0.14907999999999999</v>
      </c>
      <c r="R39" s="40"/>
      <c r="S39" s="40"/>
      <c r="T39" s="40"/>
      <c r="U39" s="40"/>
      <c r="V39" s="41"/>
      <c r="W39" s="60"/>
      <c r="X39" s="40"/>
      <c r="Y39" s="40"/>
      <c r="Z39" s="40"/>
      <c r="AA39" s="40"/>
      <c r="AB39" s="40"/>
      <c r="AC39" s="40"/>
      <c r="AD39" s="40"/>
      <c r="AE39" s="40"/>
    </row>
    <row r="40" spans="2:31" s="39" customFormat="1" x14ac:dyDescent="0.3">
      <c r="B40" s="210"/>
      <c r="C40" s="210"/>
      <c r="D40" s="210"/>
      <c r="E40" s="210"/>
      <c r="F40" s="210" t="s">
        <v>366</v>
      </c>
      <c r="G40" s="63"/>
      <c r="H40" s="45"/>
      <c r="I40" s="46"/>
      <c r="J40" s="64"/>
      <c r="K40" s="44"/>
      <c r="L40" s="44"/>
      <c r="M40" s="263">
        <f>LOOKUP($B$37, CEFF!$C$163:$C$330, CEFF!F$163:F$330)</f>
        <v>0.11990000000000001</v>
      </c>
      <c r="N40" s="263">
        <f>LOOKUP($B$37, CEFF!$C$163:$C$330, CEFF!G$163:G$330)</f>
        <v>0.1283</v>
      </c>
      <c r="O40" s="263">
        <f>LOOKUP($B$37, CEFF!$C$163:$C$330, CEFF!H$163:H$330)</f>
        <v>0.13483999999999999</v>
      </c>
      <c r="P40" s="263">
        <f>LOOKUP($B$37, CEFF!$C$163:$C$330, CEFF!I$163:I$330)</f>
        <v>0.14208999999999999</v>
      </c>
      <c r="Q40" s="263">
        <f>LOOKUP($B$37, CEFF!$C$163:$C$330, CEFF!J$163:J$330)</f>
        <v>0.14907999999999999</v>
      </c>
      <c r="R40" s="45"/>
      <c r="S40" s="45"/>
      <c r="T40" s="45"/>
      <c r="U40" s="45"/>
      <c r="V40" s="46"/>
      <c r="W40" s="60"/>
      <c r="X40" s="45"/>
      <c r="Y40" s="45"/>
      <c r="Z40" s="45"/>
      <c r="AA40" s="45"/>
      <c r="AB40" s="45"/>
      <c r="AC40" s="45"/>
      <c r="AD40" s="45"/>
      <c r="AE40" s="45"/>
    </row>
    <row r="41" spans="2:31" s="39" customFormat="1" x14ac:dyDescent="0.3">
      <c r="B41" s="209" t="s">
        <v>84</v>
      </c>
      <c r="C41" s="208" t="str">
        <f>LOOKUP(B41, TRA_COMM_PRO!$C$7:$C$189, TRA_COMM_PRO!$D$7:$D$189)</f>
        <v>Bus.Urban.LPG.01</v>
      </c>
      <c r="D41" s="209" t="s">
        <v>62</v>
      </c>
      <c r="E41" s="209"/>
      <c r="F41" s="209"/>
      <c r="G41" s="59">
        <f>$G$5</f>
        <v>2019</v>
      </c>
      <c r="H41" s="54">
        <f>$H$6</f>
        <v>10</v>
      </c>
      <c r="I41" s="155">
        <f>$I$6</f>
        <v>1E-3</v>
      </c>
      <c r="J41" s="60">
        <f>J30</f>
        <v>14</v>
      </c>
      <c r="K41" s="42"/>
      <c r="L41" s="42"/>
      <c r="M41" s="267"/>
      <c r="N41" s="267"/>
      <c r="O41" s="267"/>
      <c r="P41" s="267"/>
      <c r="Q41" s="267"/>
      <c r="R41" s="40">
        <v>60</v>
      </c>
      <c r="S41" s="40"/>
      <c r="T41" s="40"/>
      <c r="U41" s="40"/>
      <c r="V41" s="41"/>
      <c r="W41" s="62">
        <f>LOOKUP(B41, FIXOM_VAROM!$C$8:$C$190, FIXOM_VAROM!$D$8:$D$190)</f>
        <v>80.000000000000014</v>
      </c>
      <c r="X41" s="40">
        <f>LOOKUP($B41, INVCOST!$C$8:$C$193, INVCOST!D$8:D$193)</f>
        <v>260</v>
      </c>
      <c r="Y41" s="40">
        <f>LOOKUP($B41, INVCOST!$C$8:$C$193, INVCOST!E$8:E$193)</f>
        <v>260</v>
      </c>
      <c r="Z41" s="40">
        <f>LOOKUP($B41, INVCOST!$C$8:$C$193, INVCOST!F$8:F$193)</f>
        <v>260</v>
      </c>
      <c r="AA41" s="40">
        <f>LOOKUP($B41, INVCOST!$C$8:$C$193, INVCOST!G$8:G$193)</f>
        <v>260</v>
      </c>
      <c r="AB41" s="40">
        <f>LOOKUP($B41, INVCOST!$C$8:$C$193, INVCOST!H$8:H$193)</f>
        <v>260</v>
      </c>
      <c r="AC41" s="40">
        <f>LOOKUP($B41, INVCOST!$C$8:$C$193, INVCOST!I$8:I$193)</f>
        <v>260</v>
      </c>
      <c r="AD41" s="40">
        <f>LOOKUP($B41, INVCOST!$C$8:$C$193, INVCOST!J$8:J$193)</f>
        <v>260</v>
      </c>
      <c r="AE41" s="40">
        <f>LOOKUP($B41, INVCOST!$C$8:$C$193, INVCOST!K$8:K$193)</f>
        <v>260</v>
      </c>
    </row>
    <row r="42" spans="2:31" s="39" customFormat="1" x14ac:dyDescent="0.3">
      <c r="B42" s="209"/>
      <c r="C42" s="209"/>
      <c r="D42" s="209"/>
      <c r="E42" s="209"/>
      <c r="F42" s="209" t="s">
        <v>68</v>
      </c>
      <c r="G42" s="59"/>
      <c r="H42" s="40"/>
      <c r="I42" s="41"/>
      <c r="J42" s="60"/>
      <c r="K42" s="42"/>
      <c r="L42" s="42"/>
      <c r="M42" s="263">
        <f>LOOKUP($B$41, CEFF!$C$163:$C$330, CEFF!F$163:F$330)</f>
        <v>4.8079999999999998E-2</v>
      </c>
      <c r="N42" s="263">
        <f>LOOKUP($B$41, CEFF!$C$163:$C$330, CEFF!G$163:G$330)</f>
        <v>5.1360000000000003E-2</v>
      </c>
      <c r="O42" s="263">
        <f>LOOKUP($B$41, CEFF!$C$163:$C$330, CEFF!H$163:H$330)</f>
        <v>5.4050000000000001E-2</v>
      </c>
      <c r="P42" s="263">
        <f>LOOKUP($B$41, CEFF!$C$163:$C$330, CEFF!I$163:I$330)</f>
        <v>5.679E-2</v>
      </c>
      <c r="Q42" s="263">
        <f>LOOKUP($B$41, CEFF!$C$163:$C$330, CEFF!J$163:J$330)</f>
        <v>5.9769999999999997E-2</v>
      </c>
      <c r="R42" s="40"/>
      <c r="S42" s="40"/>
      <c r="T42" s="40"/>
      <c r="U42" s="40"/>
      <c r="V42" s="41"/>
      <c r="W42" s="60"/>
      <c r="X42" s="40"/>
      <c r="Y42" s="40"/>
      <c r="Z42" s="40"/>
      <c r="AA42" s="40"/>
      <c r="AB42" s="40"/>
      <c r="AC42" s="40"/>
      <c r="AD42" s="40"/>
      <c r="AE42" s="40"/>
    </row>
    <row r="43" spans="2:31" s="39" customFormat="1" x14ac:dyDescent="0.3">
      <c r="B43" s="209"/>
      <c r="C43" s="210"/>
      <c r="D43" s="209"/>
      <c r="E43" s="209"/>
      <c r="F43" s="209" t="s">
        <v>366</v>
      </c>
      <c r="G43" s="63"/>
      <c r="H43" s="40"/>
      <c r="I43" s="41"/>
      <c r="J43" s="60"/>
      <c r="K43" s="42"/>
      <c r="L43" s="42"/>
      <c r="M43" s="263">
        <f>LOOKUP($B$41, CEFF!$C$163:$C$330, CEFF!F$163:F$330)</f>
        <v>4.8079999999999998E-2</v>
      </c>
      <c r="N43" s="263">
        <f>LOOKUP($B$41, CEFF!$C$163:$C$330, CEFF!G$163:G$330)</f>
        <v>5.1360000000000003E-2</v>
      </c>
      <c r="O43" s="263">
        <f>LOOKUP($B$41, CEFF!$C$163:$C$330, CEFF!H$163:H$330)</f>
        <v>5.4050000000000001E-2</v>
      </c>
      <c r="P43" s="263">
        <f>LOOKUP($B$41, CEFF!$C$163:$C$330, CEFF!I$163:I$330)</f>
        <v>5.679E-2</v>
      </c>
      <c r="Q43" s="263">
        <f>LOOKUP($B$41, CEFF!$C$163:$C$330, CEFF!J$163:J$330)</f>
        <v>5.9769999999999997E-2</v>
      </c>
      <c r="R43" s="45"/>
      <c r="S43" s="45"/>
      <c r="T43" s="45"/>
      <c r="U43" s="45"/>
      <c r="V43" s="41"/>
      <c r="W43" s="60"/>
      <c r="X43" s="45"/>
      <c r="Y43" s="45"/>
      <c r="Z43" s="45"/>
      <c r="AA43" s="45"/>
      <c r="AB43" s="45"/>
      <c r="AC43" s="45"/>
      <c r="AD43" s="45"/>
      <c r="AE43" s="45"/>
    </row>
    <row r="44" spans="2:31" s="39" customFormat="1" x14ac:dyDescent="0.3">
      <c r="B44" s="212" t="s">
        <v>587</v>
      </c>
      <c r="C44" s="208" t="str">
        <f>LOOKUP(B44, TRA_COMM_PRO!$C$7:$C$189, TRA_COMM_PRO!$D$7:$D$189)</f>
        <v>Bus.Urban.MTH.01.</v>
      </c>
      <c r="D44" s="212" t="s">
        <v>582</v>
      </c>
      <c r="E44" s="212"/>
      <c r="F44" s="212"/>
      <c r="G44" s="59">
        <f>$G$5</f>
        <v>2019</v>
      </c>
      <c r="H44" s="54">
        <f>$H$6</f>
        <v>10</v>
      </c>
      <c r="I44" s="155">
        <f>$I$6</f>
        <v>1E-3</v>
      </c>
      <c r="J44" s="62">
        <f>J30</f>
        <v>14</v>
      </c>
      <c r="K44" s="56"/>
      <c r="L44" s="56"/>
      <c r="M44" s="267"/>
      <c r="N44" s="267"/>
      <c r="O44" s="267"/>
      <c r="P44" s="267"/>
      <c r="Q44" s="267"/>
      <c r="R44" s="54">
        <v>60</v>
      </c>
      <c r="S44" s="40"/>
      <c r="T44" s="40"/>
      <c r="U44" s="40"/>
      <c r="V44" s="55"/>
      <c r="W44" s="62">
        <f>LOOKUP(B44, FIXOM_VAROM!$C$8:$C$190, FIXOM_VAROM!$D$8:$D$190)</f>
        <v>100</v>
      </c>
      <c r="X44" s="40">
        <f>LOOKUP($B44, INVCOST!$C$8:$C$193, INVCOST!D$8:D$193)</f>
        <v>312</v>
      </c>
      <c r="Y44" s="40">
        <f>LOOKUP($B44, INVCOST!$C$8:$C$193, INVCOST!E$8:E$193)</f>
        <v>312</v>
      </c>
      <c r="Z44" s="40">
        <f>LOOKUP($B44, INVCOST!$C$8:$C$193, INVCOST!F$8:F$193)</f>
        <v>312</v>
      </c>
      <c r="AA44" s="40">
        <f>LOOKUP($B44, INVCOST!$C$8:$C$193, INVCOST!G$8:G$193)</f>
        <v>312</v>
      </c>
      <c r="AB44" s="40">
        <f>LOOKUP($B44, INVCOST!$C$8:$C$193, INVCOST!H$8:H$193)</f>
        <v>312</v>
      </c>
      <c r="AC44" s="40">
        <f>LOOKUP($B44, INVCOST!$C$8:$C$193, INVCOST!I$8:I$193)</f>
        <v>312</v>
      </c>
      <c r="AD44" s="40">
        <f>LOOKUP($B44, INVCOST!$C$8:$C$193, INVCOST!J$8:J$193)</f>
        <v>312</v>
      </c>
      <c r="AE44" s="40">
        <f>LOOKUP($B44, INVCOST!$C$8:$C$193, INVCOST!K$8:K$193)</f>
        <v>312</v>
      </c>
    </row>
    <row r="45" spans="2:31" s="39" customFormat="1" x14ac:dyDescent="0.3">
      <c r="B45" s="209"/>
      <c r="C45" s="209"/>
      <c r="D45" s="209"/>
      <c r="E45" s="209"/>
      <c r="F45" s="209" t="s">
        <v>68</v>
      </c>
      <c r="G45" s="59"/>
      <c r="H45" s="40"/>
      <c r="I45" s="41"/>
      <c r="J45" s="60"/>
      <c r="K45" s="42"/>
      <c r="L45" s="42"/>
      <c r="M45" s="263">
        <f>LOOKUP($B$44, CEFF!$C$163:$C$330, CEFF!F$163:F$330)</f>
        <v>4.8079999999999998E-2</v>
      </c>
      <c r="N45" s="263">
        <f>LOOKUP($B$44, CEFF!$C$163:$C$330, CEFF!G$163:G$330)</f>
        <v>5.1360000000000003E-2</v>
      </c>
      <c r="O45" s="263">
        <f>LOOKUP($B$44, CEFF!$C$163:$C$330, CEFF!H$163:H$330)</f>
        <v>5.4050000000000001E-2</v>
      </c>
      <c r="P45" s="263">
        <f>LOOKUP($B$44, CEFF!$C$163:$C$330, CEFF!I$163:I$330)</f>
        <v>5.679E-2</v>
      </c>
      <c r="Q45" s="263">
        <f>LOOKUP($B$44, CEFF!$C$163:$C$330, CEFF!J$163:J$330)</f>
        <v>5.9769999999999997E-2</v>
      </c>
      <c r="R45" s="40"/>
      <c r="S45" s="40"/>
      <c r="T45" s="40"/>
      <c r="U45" s="40"/>
      <c r="V45" s="41"/>
      <c r="W45" s="60"/>
      <c r="X45" s="40"/>
      <c r="Y45" s="40"/>
      <c r="Z45" s="40"/>
      <c r="AA45" s="40"/>
      <c r="AB45" s="40"/>
      <c r="AC45" s="40"/>
      <c r="AD45" s="40"/>
      <c r="AE45" s="40"/>
    </row>
    <row r="46" spans="2:31" s="39" customFormat="1" x14ac:dyDescent="0.3">
      <c r="B46" s="209"/>
      <c r="C46" s="210"/>
      <c r="D46" s="209"/>
      <c r="E46" s="209"/>
      <c r="F46" s="209" t="s">
        <v>366</v>
      </c>
      <c r="G46" s="63"/>
      <c r="H46" s="40"/>
      <c r="I46" s="41"/>
      <c r="J46" s="60"/>
      <c r="K46" s="42"/>
      <c r="L46" s="44"/>
      <c r="M46" s="263">
        <f>LOOKUP($B$44, CEFF!$C$163:$C$330, CEFF!F$163:F$330)</f>
        <v>4.8079999999999998E-2</v>
      </c>
      <c r="N46" s="263">
        <f>LOOKUP($B$44, CEFF!$C$163:$C$330, CEFF!G$163:G$330)</f>
        <v>5.1360000000000003E-2</v>
      </c>
      <c r="O46" s="263">
        <f>LOOKUP($B$44, CEFF!$C$163:$C$330, CEFF!H$163:H$330)</f>
        <v>5.4050000000000001E-2</v>
      </c>
      <c r="P46" s="263">
        <f>LOOKUP($B$44, CEFF!$C$163:$C$330, CEFF!I$163:I$330)</f>
        <v>5.679E-2</v>
      </c>
      <c r="Q46" s="263">
        <f>LOOKUP($B$44, CEFF!$C$163:$C$330, CEFF!J$163:J$330)</f>
        <v>5.9769999999999997E-2</v>
      </c>
      <c r="R46" s="40"/>
      <c r="S46" s="40"/>
      <c r="T46" s="40"/>
      <c r="U46" s="45"/>
      <c r="V46" s="41"/>
      <c r="W46" s="60"/>
      <c r="X46" s="45"/>
      <c r="Y46" s="45"/>
      <c r="Z46" s="45"/>
      <c r="AA46" s="45"/>
      <c r="AB46" s="45"/>
      <c r="AC46" s="45"/>
      <c r="AD46" s="45"/>
      <c r="AE46" s="45"/>
    </row>
    <row r="47" spans="2:31" s="39" customFormat="1" x14ac:dyDescent="0.3">
      <c r="B47" s="212" t="s">
        <v>340</v>
      </c>
      <c r="C47" s="208" t="str">
        <f>LOOKUP(B47, TRA_COMM_PRO!$C$7:$C$189, TRA_COMM_PRO!$D$7:$D$189)</f>
        <v>Bus.Urban.Plugin-Hybrid.DST.01.</v>
      </c>
      <c r="D47" s="212" t="s">
        <v>44</v>
      </c>
      <c r="E47" s="212"/>
      <c r="F47" s="212"/>
      <c r="G47" s="59">
        <f>$G$5</f>
        <v>2019</v>
      </c>
      <c r="H47" s="54">
        <f>$H$6</f>
        <v>10</v>
      </c>
      <c r="I47" s="155">
        <f>$I$6</f>
        <v>1E-3</v>
      </c>
      <c r="J47" s="62">
        <f>J44</f>
        <v>14</v>
      </c>
      <c r="K47" s="56"/>
      <c r="L47" s="42"/>
      <c r="M47" s="267"/>
      <c r="N47" s="267"/>
      <c r="O47" s="267"/>
      <c r="P47" s="267"/>
      <c r="Q47" s="267"/>
      <c r="R47" s="54">
        <v>60</v>
      </c>
      <c r="S47" s="54"/>
      <c r="T47" s="54"/>
      <c r="U47" s="40"/>
      <c r="V47" s="55"/>
      <c r="W47" s="62">
        <f>LOOKUP(B47, FIXOM_VAROM!$C$8:$C$190, FIXOM_VAROM!$D$8:$D$190)</f>
        <v>100</v>
      </c>
      <c r="X47" s="40">
        <f>LOOKUP($B47, INVCOST!$C$8:$C$193, INVCOST!D$8:D$193)</f>
        <v>722.4</v>
      </c>
      <c r="Y47" s="40">
        <f>LOOKUP($B47, INVCOST!$C$8:$C$193, INVCOST!E$8:E$193)</f>
        <v>722.4</v>
      </c>
      <c r="Z47" s="40">
        <f>LOOKUP($B47, INVCOST!$C$8:$C$193, INVCOST!F$8:F$193)</f>
        <v>722.4</v>
      </c>
      <c r="AA47" s="40">
        <f>LOOKUP($B47, INVCOST!$C$8:$C$193, INVCOST!G$8:G$193)</f>
        <v>722.4</v>
      </c>
      <c r="AB47" s="40">
        <f>LOOKUP($B47, INVCOST!$C$8:$C$193, INVCOST!H$8:H$193)</f>
        <v>722.4</v>
      </c>
      <c r="AC47" s="40">
        <f>LOOKUP($B47, INVCOST!$C$8:$C$193, INVCOST!I$8:I$193)</f>
        <v>722.4</v>
      </c>
      <c r="AD47" s="40">
        <f>LOOKUP($B47, INVCOST!$C$8:$C$193, INVCOST!J$8:J$193)</f>
        <v>722.4</v>
      </c>
      <c r="AE47" s="40">
        <f>LOOKUP($B47, INVCOST!$C$8:$C$193, INVCOST!K$8:K$193)</f>
        <v>722.4</v>
      </c>
    </row>
    <row r="48" spans="2:31" s="39" customFormat="1" x14ac:dyDescent="0.3">
      <c r="B48" s="209"/>
      <c r="C48" s="209"/>
      <c r="D48" s="209" t="s">
        <v>48</v>
      </c>
      <c r="E48" s="209"/>
      <c r="F48" s="209"/>
      <c r="G48" s="50"/>
      <c r="H48" s="40"/>
      <c r="I48" s="65"/>
      <c r="J48" s="60"/>
      <c r="K48" s="42"/>
      <c r="L48" s="42"/>
      <c r="M48" s="263"/>
      <c r="N48" s="263"/>
      <c r="O48" s="263"/>
      <c r="P48" s="263"/>
      <c r="Q48" s="263"/>
      <c r="R48" s="40"/>
      <c r="S48" s="40"/>
      <c r="T48" s="40"/>
      <c r="U48" s="40"/>
      <c r="V48" s="41"/>
      <c r="W48" s="60"/>
      <c r="X48" s="40"/>
      <c r="Y48" s="40"/>
      <c r="Z48" s="40"/>
      <c r="AA48" s="40"/>
      <c r="AB48" s="40"/>
      <c r="AC48" s="40"/>
      <c r="AD48" s="40"/>
      <c r="AE48" s="40"/>
    </row>
    <row r="49" spans="2:31" s="39" customFormat="1" x14ac:dyDescent="0.3">
      <c r="B49" s="209"/>
      <c r="C49" s="209"/>
      <c r="D49" s="209"/>
      <c r="E49" s="209"/>
      <c r="F49" s="209" t="s">
        <v>68</v>
      </c>
      <c r="G49" s="50"/>
      <c r="H49" s="40"/>
      <c r="I49" s="65"/>
      <c r="J49" s="60"/>
      <c r="K49" s="42"/>
      <c r="L49" s="42"/>
      <c r="M49" s="263">
        <f>LOOKUP($B$47, CEFF!$C$163:$C$330, CEFF!F$163:F$330)</f>
        <v>0.10277</v>
      </c>
      <c r="N49" s="263">
        <f>LOOKUP($B$47, CEFF!$C$163:$C$330, CEFF!G$163:G$330)</f>
        <v>0.10997</v>
      </c>
      <c r="O49" s="263">
        <f>LOOKUP($B$47, CEFF!$C$163:$C$330, CEFF!H$163:H$330)</f>
        <v>0.11558</v>
      </c>
      <c r="P49" s="263">
        <f>LOOKUP($B$47, CEFF!$C$163:$C$330, CEFF!I$163:I$330)</f>
        <v>0.12179</v>
      </c>
      <c r="Q49" s="263">
        <f>LOOKUP($B$47, CEFF!$C$163:$C$330, CEFF!J$163:J$330)</f>
        <v>0.12778</v>
      </c>
      <c r="R49" s="40"/>
      <c r="S49" s="40"/>
      <c r="T49" s="40"/>
      <c r="U49" s="40"/>
      <c r="V49" s="41"/>
      <c r="W49" s="60"/>
      <c r="X49" s="40"/>
      <c r="Y49" s="40"/>
      <c r="Z49" s="40"/>
      <c r="AA49" s="40"/>
      <c r="AB49" s="40"/>
      <c r="AC49" s="40"/>
      <c r="AD49" s="40"/>
      <c r="AE49" s="40"/>
    </row>
    <row r="50" spans="2:31" s="39" customFormat="1" x14ac:dyDescent="0.3">
      <c r="B50" s="209"/>
      <c r="C50" s="210"/>
      <c r="D50" s="210"/>
      <c r="E50" s="209"/>
      <c r="F50" s="209" t="s">
        <v>366</v>
      </c>
      <c r="G50" s="63"/>
      <c r="H50" s="40"/>
      <c r="I50" s="41"/>
      <c r="J50" s="60"/>
      <c r="K50" s="42"/>
      <c r="L50" s="42"/>
      <c r="M50" s="263">
        <f>LOOKUP($B$47, CEFF!$C$163:$C$330, CEFF!F$163:F$330)</f>
        <v>0.10277</v>
      </c>
      <c r="N50" s="263">
        <f>LOOKUP($B$47, CEFF!$C$163:$C$330, CEFF!G$163:G$330)</f>
        <v>0.10997</v>
      </c>
      <c r="O50" s="263">
        <f>LOOKUP($B$47, CEFF!$C$163:$C$330, CEFF!H$163:H$330)</f>
        <v>0.11558</v>
      </c>
      <c r="P50" s="263">
        <f>LOOKUP($B$47, CEFF!$C$163:$C$330, CEFF!I$163:I$330)</f>
        <v>0.12179</v>
      </c>
      <c r="Q50" s="263">
        <f>LOOKUP($B$47, CEFF!$C$163:$C$330, CEFF!J$163:J$330)</f>
        <v>0.12778</v>
      </c>
      <c r="R50" s="40"/>
      <c r="S50" s="40"/>
      <c r="T50" s="40"/>
      <c r="U50" s="40"/>
      <c r="V50" s="41"/>
      <c r="W50" s="60"/>
      <c r="X50" s="45"/>
      <c r="Y50" s="45"/>
      <c r="Z50" s="45"/>
      <c r="AA50" s="45"/>
      <c r="AB50" s="45"/>
      <c r="AC50" s="45"/>
      <c r="AD50" s="45"/>
      <c r="AE50" s="45"/>
    </row>
    <row r="51" spans="2:31" s="39" customFormat="1" x14ac:dyDescent="0.3">
      <c r="B51" s="212" t="s">
        <v>378</v>
      </c>
      <c r="C51" s="208" t="str">
        <f>LOOKUP(B51, TRA_COMM_PRO!$C$7:$C$189, TRA_COMM_PRO!$D$7:$D$189)</f>
        <v>Bus.Urban.Plugin-Hybrid.GSL.01.</v>
      </c>
      <c r="D51" s="208" t="s">
        <v>40</v>
      </c>
      <c r="E51" s="212"/>
      <c r="F51" s="212"/>
      <c r="G51" s="59">
        <f>$G$5</f>
        <v>2019</v>
      </c>
      <c r="H51" s="54">
        <f>$H$6</f>
        <v>10</v>
      </c>
      <c r="I51" s="155">
        <f>$I$6</f>
        <v>1E-3</v>
      </c>
      <c r="J51" s="62">
        <f>J47</f>
        <v>14</v>
      </c>
      <c r="K51" s="56"/>
      <c r="L51" s="56">
        <v>0.05</v>
      </c>
      <c r="M51" s="267"/>
      <c r="N51" s="267"/>
      <c r="O51" s="267"/>
      <c r="P51" s="267"/>
      <c r="Q51" s="267"/>
      <c r="R51" s="54">
        <v>60</v>
      </c>
      <c r="S51" s="54"/>
      <c r="T51" s="54"/>
      <c r="U51" s="54"/>
      <c r="V51" s="55"/>
      <c r="W51" s="62">
        <f>LOOKUP(B51, FIXOM_VAROM!$C$8:$C$190, FIXOM_VAROM!$D$8:$D$190)</f>
        <v>100</v>
      </c>
      <c r="X51" s="40">
        <f>LOOKUP($B51, INVCOST!$C$8:$C$193, INVCOST!D$8:D$193)</f>
        <v>722.4</v>
      </c>
      <c r="Y51" s="40">
        <f>LOOKUP($B51, INVCOST!$C$8:$C$193, INVCOST!E$8:E$193)</f>
        <v>722.4</v>
      </c>
      <c r="Z51" s="40">
        <f>LOOKUP($B51, INVCOST!$C$8:$C$193, INVCOST!F$8:F$193)</f>
        <v>722.4</v>
      </c>
      <c r="AA51" s="40">
        <f>LOOKUP($B51, INVCOST!$C$8:$C$193, INVCOST!G$8:G$193)</f>
        <v>722.4</v>
      </c>
      <c r="AB51" s="40">
        <f>LOOKUP($B51, INVCOST!$C$8:$C$193, INVCOST!H$8:H$193)</f>
        <v>722.4</v>
      </c>
      <c r="AC51" s="40">
        <f>LOOKUP($B51, INVCOST!$C$8:$C$193, INVCOST!I$8:I$193)</f>
        <v>722.4</v>
      </c>
      <c r="AD51" s="40">
        <f>LOOKUP($B51, INVCOST!$C$8:$C$193, INVCOST!J$8:J$193)</f>
        <v>722.4</v>
      </c>
      <c r="AE51" s="40">
        <f>LOOKUP($B51, INVCOST!$C$8:$C$193, INVCOST!K$8:K$193)</f>
        <v>722.4</v>
      </c>
    </row>
    <row r="52" spans="2:31" s="39" customFormat="1" x14ac:dyDescent="0.3">
      <c r="B52" s="209"/>
      <c r="C52" s="208"/>
      <c r="D52" s="209" t="s">
        <v>39</v>
      </c>
      <c r="E52" s="209"/>
      <c r="F52" s="209"/>
      <c r="G52" s="59"/>
      <c r="H52" s="40"/>
      <c r="I52" s="65"/>
      <c r="J52" s="60"/>
      <c r="K52" s="42"/>
      <c r="L52" s="42"/>
      <c r="M52" s="60"/>
      <c r="N52" s="60"/>
      <c r="O52" s="60"/>
      <c r="P52" s="60"/>
      <c r="Q52" s="60"/>
      <c r="R52" s="40"/>
      <c r="S52" s="40"/>
      <c r="T52" s="40"/>
      <c r="U52" s="40"/>
      <c r="V52" s="41"/>
      <c r="W52" s="42"/>
      <c r="X52" s="40"/>
      <c r="Y52" s="40"/>
      <c r="Z52" s="40"/>
      <c r="AA52" s="40"/>
      <c r="AB52" s="40"/>
      <c r="AC52" s="40"/>
      <c r="AD52" s="40"/>
      <c r="AE52" s="40"/>
    </row>
    <row r="53" spans="2:31" s="39" customFormat="1" x14ac:dyDescent="0.3">
      <c r="B53" s="209"/>
      <c r="C53" s="209"/>
      <c r="D53" s="209"/>
      <c r="E53" s="209"/>
      <c r="F53" s="209" t="s">
        <v>68</v>
      </c>
      <c r="G53" s="50"/>
      <c r="H53" s="40"/>
      <c r="I53" s="65"/>
      <c r="J53" s="60"/>
      <c r="K53" s="42"/>
      <c r="L53" s="42"/>
      <c r="M53" s="266">
        <f>LOOKUP($B$51, CEFF!$C$163:$C$330, CEFF!F$163:F$330)</f>
        <v>6.8680000000000005E-2</v>
      </c>
      <c r="N53" s="266">
        <f>LOOKUP($B$51, CEFF!$C$163:$C$330, CEFF!G$163:G$330)</f>
        <v>7.3370000000000005E-2</v>
      </c>
      <c r="O53" s="266">
        <f>LOOKUP($B$51, CEFF!$C$163:$C$330, CEFF!H$163:H$330)</f>
        <v>7.7219999999999997E-2</v>
      </c>
      <c r="P53" s="266">
        <f>LOOKUP($B$51, CEFF!$C$163:$C$330, CEFF!I$163:I$330)</f>
        <v>8.1119999999999998E-2</v>
      </c>
      <c r="Q53" s="266">
        <f>LOOKUP($B$51, CEFF!$C$163:$C$330, CEFF!J$163:J$330)</f>
        <v>8.5389999999999994E-2</v>
      </c>
      <c r="R53" s="40"/>
      <c r="S53" s="40"/>
      <c r="T53" s="40"/>
      <c r="U53" s="40"/>
      <c r="V53" s="41"/>
      <c r="W53" s="41"/>
      <c r="X53" s="40"/>
      <c r="Y53" s="40"/>
      <c r="Z53" s="40"/>
      <c r="AA53" s="40"/>
      <c r="AB53" s="40"/>
      <c r="AC53" s="40"/>
      <c r="AD53" s="40"/>
      <c r="AE53" s="40"/>
    </row>
    <row r="54" spans="2:31" s="39" customFormat="1" x14ac:dyDescent="0.3">
      <c r="B54" s="213"/>
      <c r="C54" s="213"/>
      <c r="D54" s="213"/>
      <c r="E54" s="213"/>
      <c r="F54" s="213" t="s">
        <v>366</v>
      </c>
      <c r="G54" s="195"/>
      <c r="H54" s="181"/>
      <c r="I54" s="179"/>
      <c r="J54" s="182"/>
      <c r="K54" s="177"/>
      <c r="L54" s="177"/>
      <c r="M54" s="279">
        <f>LOOKUP($B$51, CEFF!$C$163:$C$330, CEFF!F$163:F$330)</f>
        <v>6.8680000000000005E-2</v>
      </c>
      <c r="N54" s="279">
        <f>LOOKUP($B$51, CEFF!$C$163:$C$330, CEFF!G$163:G$330)</f>
        <v>7.3370000000000005E-2</v>
      </c>
      <c r="O54" s="279">
        <f>LOOKUP($B$51, CEFF!$C$163:$C$330, CEFF!H$163:H$330)</f>
        <v>7.7219999999999997E-2</v>
      </c>
      <c r="P54" s="279">
        <f>LOOKUP($B$51, CEFF!$C$163:$C$330, CEFF!I$163:I$330)</f>
        <v>8.1119999999999998E-2</v>
      </c>
      <c r="Q54" s="279">
        <f>LOOKUP($B$51, CEFF!$C$163:$C$330, CEFF!J$163:J$330)</f>
        <v>8.5389999999999994E-2</v>
      </c>
      <c r="R54" s="181"/>
      <c r="S54" s="181"/>
      <c r="T54" s="181"/>
      <c r="U54" s="181"/>
      <c r="V54" s="179"/>
      <c r="W54" s="179"/>
      <c r="X54" s="181"/>
      <c r="Y54" s="181"/>
      <c r="Z54" s="181"/>
      <c r="AA54" s="181"/>
      <c r="AB54" s="181"/>
      <c r="AC54" s="181"/>
      <c r="AD54" s="181"/>
      <c r="AE54" s="181"/>
    </row>
    <row r="55" spans="2:31" s="39" customFormat="1" x14ac:dyDescent="0.3">
      <c r="H55" s="36"/>
      <c r="I55" s="37"/>
      <c r="J55" s="58"/>
      <c r="K55" s="47"/>
      <c r="L55" s="47"/>
      <c r="M55" s="66"/>
      <c r="N55" s="66"/>
      <c r="O55" s="66"/>
      <c r="P55" s="66"/>
      <c r="Q55" s="66"/>
      <c r="R55" s="36"/>
      <c r="S55" s="36"/>
      <c r="T55" s="36"/>
      <c r="U55" s="36"/>
      <c r="V55" s="38"/>
      <c r="W55" s="38"/>
      <c r="X55" s="36"/>
      <c r="Y55" s="36"/>
      <c r="Z55" s="36"/>
      <c r="AA55" s="36"/>
      <c r="AB55" s="36"/>
      <c r="AC55" s="36"/>
      <c r="AD55" s="36"/>
      <c r="AE55" s="36"/>
    </row>
    <row r="56" spans="2:31" s="39" customFormat="1" x14ac:dyDescent="0.3">
      <c r="H56" s="36"/>
      <c r="I56" s="37"/>
      <c r="J56" s="58"/>
      <c r="K56" s="47"/>
      <c r="L56" s="47"/>
      <c r="M56" s="66"/>
      <c r="N56" s="66"/>
      <c r="O56" s="66"/>
      <c r="P56" s="66"/>
      <c r="Q56" s="66"/>
      <c r="R56" s="36"/>
      <c r="S56" s="36"/>
      <c r="T56" s="36"/>
      <c r="U56" s="36"/>
      <c r="V56" s="38"/>
      <c r="W56" s="38"/>
      <c r="X56" s="36"/>
      <c r="Y56" s="36"/>
      <c r="Z56" s="36"/>
      <c r="AA56" s="36"/>
      <c r="AB56" s="36"/>
      <c r="AC56" s="36"/>
      <c r="AD56" s="36"/>
      <c r="AE56" s="36"/>
    </row>
    <row r="57" spans="2:31" x14ac:dyDescent="0.3">
      <c r="B57" s="6" t="s">
        <v>86</v>
      </c>
      <c r="C57" s="7"/>
      <c r="D57" s="8"/>
      <c r="E57" s="8"/>
      <c r="F57" s="9" t="s">
        <v>1</v>
      </c>
      <c r="G57" s="4"/>
    </row>
    <row r="58" spans="2:31" x14ac:dyDescent="0.3">
      <c r="B58" s="199" t="s">
        <v>2</v>
      </c>
      <c r="C58" s="199" t="s">
        <v>3</v>
      </c>
      <c r="D58" s="199" t="s">
        <v>4</v>
      </c>
      <c r="E58" s="199" t="s">
        <v>5</v>
      </c>
      <c r="F58" s="200" t="s">
        <v>6</v>
      </c>
      <c r="G58" s="200" t="s">
        <v>186</v>
      </c>
      <c r="H58" s="201" t="s">
        <v>185</v>
      </c>
      <c r="I58" s="201" t="s">
        <v>11</v>
      </c>
      <c r="J58" s="200" t="s">
        <v>12</v>
      </c>
      <c r="K58" s="200" t="s">
        <v>7</v>
      </c>
      <c r="L58" s="200" t="s">
        <v>8</v>
      </c>
      <c r="M58" s="201" t="s">
        <v>688</v>
      </c>
      <c r="N58" s="201" t="s">
        <v>321</v>
      </c>
      <c r="O58" s="201" t="s">
        <v>322</v>
      </c>
      <c r="P58" s="201" t="s">
        <v>9</v>
      </c>
      <c r="Q58" s="201" t="s">
        <v>10</v>
      </c>
      <c r="R58" s="201" t="s">
        <v>687</v>
      </c>
      <c r="S58" s="201" t="s">
        <v>448</v>
      </c>
      <c r="T58" s="201" t="s">
        <v>13</v>
      </c>
      <c r="U58" s="201" t="s">
        <v>382</v>
      </c>
      <c r="V58" s="201" t="s">
        <v>42</v>
      </c>
      <c r="W58" s="201" t="s">
        <v>14</v>
      </c>
      <c r="X58" s="201" t="s">
        <v>381</v>
      </c>
      <c r="Y58" s="201" t="s">
        <v>15</v>
      </c>
      <c r="Z58" s="201" t="s">
        <v>16</v>
      </c>
      <c r="AA58" s="201" t="s">
        <v>17</v>
      </c>
      <c r="AB58" s="201" t="s">
        <v>18</v>
      </c>
      <c r="AC58" s="201" t="s">
        <v>19</v>
      </c>
      <c r="AD58" s="201" t="s">
        <v>20</v>
      </c>
      <c r="AE58" s="201" t="s">
        <v>21</v>
      </c>
    </row>
    <row r="59" spans="2:31" ht="33.75" customHeight="1" thickBot="1" x14ac:dyDescent="0.35">
      <c r="B59" s="202" t="s">
        <v>22</v>
      </c>
      <c r="C59" s="202"/>
      <c r="D59" s="202"/>
      <c r="E59" s="202"/>
      <c r="F59" s="203" t="s">
        <v>23</v>
      </c>
      <c r="G59" s="203">
        <v>2019</v>
      </c>
      <c r="H59" s="204" t="s">
        <v>26</v>
      </c>
      <c r="I59" s="204" t="s">
        <v>24</v>
      </c>
      <c r="J59" s="204" t="s">
        <v>25</v>
      </c>
      <c r="K59" s="203"/>
      <c r="L59" s="203"/>
      <c r="M59" s="205" t="s">
        <v>653</v>
      </c>
      <c r="N59" s="205" t="s">
        <v>653</v>
      </c>
      <c r="O59" s="205" t="s">
        <v>653</v>
      </c>
      <c r="P59" s="205" t="s">
        <v>653</v>
      </c>
      <c r="Q59" s="205" t="s">
        <v>653</v>
      </c>
      <c r="R59" s="204" t="s">
        <v>658</v>
      </c>
      <c r="S59" s="204" t="s">
        <v>658</v>
      </c>
      <c r="T59" s="204" t="s">
        <v>658</v>
      </c>
      <c r="U59" s="204" t="s">
        <v>658</v>
      </c>
      <c r="V59" s="206" t="s">
        <v>662</v>
      </c>
      <c r="W59" s="206" t="s">
        <v>661</v>
      </c>
      <c r="X59" s="206" t="s">
        <v>657</v>
      </c>
      <c r="Y59" s="206" t="s">
        <v>657</v>
      </c>
      <c r="Z59" s="206" t="s">
        <v>657</v>
      </c>
      <c r="AA59" s="206" t="s">
        <v>657</v>
      </c>
      <c r="AB59" s="206" t="s">
        <v>657</v>
      </c>
      <c r="AC59" s="206" t="s">
        <v>657</v>
      </c>
      <c r="AD59" s="206" t="s">
        <v>657</v>
      </c>
      <c r="AE59" s="206" t="s">
        <v>657</v>
      </c>
    </row>
    <row r="60" spans="2:31" s="39" customFormat="1" x14ac:dyDescent="0.3">
      <c r="B60" s="209" t="s">
        <v>87</v>
      </c>
      <c r="C60" s="208" t="str">
        <f>LOOKUP(B60, TRA_COMM_PRO!$C$7:$C$189, TRA_COMM_PRO!$D$7:$D$189)</f>
        <v>Bus.Intercity.BDL.01.</v>
      </c>
      <c r="D60" s="209" t="s">
        <v>44</v>
      </c>
      <c r="E60" s="209"/>
      <c r="F60" s="209"/>
      <c r="G60" s="59">
        <f>$G$59</f>
        <v>2019</v>
      </c>
      <c r="H60" s="40">
        <v>10</v>
      </c>
      <c r="I60" s="65">
        <f>10^-3</f>
        <v>1E-3</v>
      </c>
      <c r="J60" s="60">
        <v>9</v>
      </c>
      <c r="K60" s="42"/>
      <c r="L60" s="42"/>
      <c r="M60" s="263"/>
      <c r="N60" s="263"/>
      <c r="O60" s="263"/>
      <c r="P60" s="263"/>
      <c r="Q60" s="263"/>
      <c r="R60" s="40">
        <v>70</v>
      </c>
      <c r="S60" s="40"/>
      <c r="T60" s="40"/>
      <c r="U60" s="40"/>
      <c r="V60" s="41"/>
      <c r="W60" s="62">
        <f>LOOKUP(B60, FIXOM_VAROM!$C$8:$C$190, FIXOM_VAROM!$D$8:$D$190)</f>
        <v>100</v>
      </c>
      <c r="X60" s="40">
        <f>LOOKUP($B60, INVCOST!$C$8:$C$193, INVCOST!D$8:D$193)</f>
        <v>260</v>
      </c>
      <c r="Y60" s="40">
        <f>LOOKUP($B60, INVCOST!$C$8:$C$193, INVCOST!E$8:E$193)</f>
        <v>260</v>
      </c>
      <c r="Z60" s="40">
        <f>LOOKUP($B60, INVCOST!$C$8:$C$193, INVCOST!F$8:F$193)</f>
        <v>260</v>
      </c>
      <c r="AA60" s="40">
        <f>LOOKUP($B60, INVCOST!$C$8:$C$193, INVCOST!G$8:G$193)</f>
        <v>260</v>
      </c>
      <c r="AB60" s="40">
        <f>LOOKUP($B60, INVCOST!$C$8:$C$193, INVCOST!H$8:H$193)</f>
        <v>260</v>
      </c>
      <c r="AC60" s="40">
        <f>LOOKUP($B60, INVCOST!$C$8:$C$193, INVCOST!I$8:I$193)</f>
        <v>260</v>
      </c>
      <c r="AD60" s="40">
        <f>LOOKUP($B60, INVCOST!$C$8:$C$193, INVCOST!J$8:J$193)</f>
        <v>260</v>
      </c>
      <c r="AE60" s="40">
        <f>LOOKUP($B60, INVCOST!$C$8:$C$193, INVCOST!K$8:K$193)</f>
        <v>260</v>
      </c>
    </row>
    <row r="61" spans="2:31" s="39" customFormat="1" x14ac:dyDescent="0.3">
      <c r="B61" s="209"/>
      <c r="C61" s="209"/>
      <c r="D61" s="209"/>
      <c r="E61" s="209"/>
      <c r="F61" s="209" t="s">
        <v>89</v>
      </c>
      <c r="G61" s="59"/>
      <c r="H61" s="40"/>
      <c r="I61" s="41"/>
      <c r="J61" s="60"/>
      <c r="K61" s="42"/>
      <c r="L61" s="42"/>
      <c r="M61" s="263">
        <f>LOOKUP($B$60, CEFF!$C$8:$C$156, CEFF!F$8:F$156)</f>
        <v>7.5700000000000003E-2</v>
      </c>
      <c r="N61" s="263">
        <f>LOOKUP($B$60, CEFF!$C$8:$C$156, CEFF!G$8:G$156)</f>
        <v>8.0820000000000003E-2</v>
      </c>
      <c r="O61" s="263">
        <f>LOOKUP($B$60, CEFF!$C$8:$C$156, CEFF!H$8:H$156)</f>
        <v>8.4930000000000005E-2</v>
      </c>
      <c r="P61" s="263">
        <f>LOOKUP($B$60, CEFF!$C$8:$C$156, CEFF!I$8:I$156)</f>
        <v>8.9480000000000004E-2</v>
      </c>
      <c r="Q61" s="263">
        <f>LOOKUP($B$60, CEFF!$C$8:$C$156, CEFF!J$8:J$156)</f>
        <v>9.3950000000000006E-2</v>
      </c>
      <c r="R61" s="40"/>
      <c r="S61" s="40"/>
      <c r="T61" s="40"/>
      <c r="U61" s="40"/>
      <c r="V61" s="41"/>
      <c r="W61" s="60"/>
      <c r="X61" s="40"/>
      <c r="Y61" s="40"/>
      <c r="Z61" s="40"/>
      <c r="AA61" s="40"/>
      <c r="AB61" s="40"/>
      <c r="AC61" s="40"/>
      <c r="AD61" s="40"/>
      <c r="AE61" s="40"/>
    </row>
    <row r="62" spans="2:31" s="39" customFormat="1" x14ac:dyDescent="0.3">
      <c r="B62" s="209"/>
      <c r="C62" s="209"/>
      <c r="D62" s="209"/>
      <c r="E62" s="209"/>
      <c r="F62" s="209" t="s">
        <v>367</v>
      </c>
      <c r="G62" s="63"/>
      <c r="H62" s="40"/>
      <c r="I62" s="41"/>
      <c r="J62" s="60"/>
      <c r="K62" s="42"/>
      <c r="L62" s="42"/>
      <c r="M62" s="264">
        <f>LOOKUP($B$60, CEFF!$C$8:$C$156, CEFF!F$8:F$156)</f>
        <v>7.5700000000000003E-2</v>
      </c>
      <c r="N62" s="264">
        <f>LOOKUP($B$60, CEFF!$C$8:$C$156, CEFF!G$8:G$156)</f>
        <v>8.0820000000000003E-2</v>
      </c>
      <c r="O62" s="264">
        <f>LOOKUP($B$60, CEFF!$C$8:$C$156, CEFF!H$8:H$156)</f>
        <v>8.4930000000000005E-2</v>
      </c>
      <c r="P62" s="264">
        <f>LOOKUP($B$60, CEFF!$C$8:$C$156, CEFF!I$8:I$156)</f>
        <v>8.9480000000000004E-2</v>
      </c>
      <c r="Q62" s="264">
        <f>LOOKUP($B$60, CEFF!$C$8:$C$156, CEFF!J$8:J$156)</f>
        <v>9.3950000000000006E-2</v>
      </c>
      <c r="R62" s="40"/>
      <c r="S62" s="40"/>
      <c r="T62" s="40"/>
      <c r="U62" s="40"/>
      <c r="V62" s="41"/>
      <c r="W62" s="60"/>
      <c r="X62" s="45"/>
      <c r="Y62" s="45"/>
      <c r="Z62" s="45"/>
      <c r="AA62" s="45"/>
      <c r="AB62" s="45"/>
      <c r="AC62" s="45"/>
      <c r="AD62" s="45"/>
      <c r="AE62" s="45"/>
    </row>
    <row r="63" spans="2:31" s="39" customFormat="1" x14ac:dyDescent="0.3">
      <c r="B63" s="212" t="s">
        <v>90</v>
      </c>
      <c r="C63" s="212" t="str">
        <f>LOOKUP(B63, TRA_COMM_PRO!$C$7:$C$189, TRA_COMM_PRO!$D$7:$D$189)</f>
        <v>Bus.Intercity.DME.01.</v>
      </c>
      <c r="D63" s="212" t="s">
        <v>71</v>
      </c>
      <c r="E63" s="212"/>
      <c r="F63" s="212"/>
      <c r="G63" s="59">
        <f>$G$59</f>
        <v>2019</v>
      </c>
      <c r="H63" s="54">
        <f>$H$60</f>
        <v>10</v>
      </c>
      <c r="I63" s="155">
        <f>$I$60</f>
        <v>1E-3</v>
      </c>
      <c r="J63" s="62">
        <f>J60</f>
        <v>9</v>
      </c>
      <c r="K63" s="56"/>
      <c r="L63" s="56"/>
      <c r="M63" s="263"/>
      <c r="N63" s="263"/>
      <c r="O63" s="263"/>
      <c r="P63" s="263"/>
      <c r="Q63" s="263"/>
      <c r="R63" s="54">
        <f>$R$60</f>
        <v>70</v>
      </c>
      <c r="S63" s="54"/>
      <c r="T63" s="54"/>
      <c r="U63" s="54"/>
      <c r="V63" s="55"/>
      <c r="W63" s="62">
        <f>LOOKUP(B63, FIXOM_VAROM!$C$8:$C$190, FIXOM_VAROM!$D$8:$D$190)</f>
        <v>100</v>
      </c>
      <c r="X63" s="40">
        <f>LOOKUP($B63, INVCOST!$C$8:$C$193, INVCOST!D$8:D$193)</f>
        <v>312</v>
      </c>
      <c r="Y63" s="40">
        <f>LOOKUP($B63, INVCOST!$C$8:$C$193, INVCOST!E$8:E$193)</f>
        <v>312</v>
      </c>
      <c r="Z63" s="40">
        <f>LOOKUP($B63, INVCOST!$C$8:$C$193, INVCOST!F$8:F$193)</f>
        <v>312</v>
      </c>
      <c r="AA63" s="40">
        <f>LOOKUP($B63, INVCOST!$C$8:$C$193, INVCOST!G$8:G$193)</f>
        <v>312</v>
      </c>
      <c r="AB63" s="40">
        <f>LOOKUP($B63, INVCOST!$C$8:$C$193, INVCOST!H$8:H$193)</f>
        <v>312</v>
      </c>
      <c r="AC63" s="40">
        <f>LOOKUP($B63, INVCOST!$C$8:$C$193, INVCOST!I$8:I$193)</f>
        <v>312</v>
      </c>
      <c r="AD63" s="40">
        <f>LOOKUP($B63, INVCOST!$C$8:$C$193, INVCOST!J$8:J$193)</f>
        <v>312</v>
      </c>
      <c r="AE63" s="40">
        <f>LOOKUP($B63, INVCOST!$C$8:$C$193, INVCOST!K$8:K$193)</f>
        <v>312</v>
      </c>
    </row>
    <row r="64" spans="2:31" s="39" customFormat="1" x14ac:dyDescent="0.3">
      <c r="B64" s="209"/>
      <c r="C64" s="209"/>
      <c r="D64" s="209"/>
      <c r="E64" s="209"/>
      <c r="F64" s="209" t="s">
        <v>89</v>
      </c>
      <c r="G64" s="59"/>
      <c r="H64" s="40"/>
      <c r="I64" s="41"/>
      <c r="J64" s="60"/>
      <c r="K64" s="42"/>
      <c r="L64" s="42"/>
      <c r="M64" s="263">
        <f>LOOKUP($B$63, CEFF!$C$8:$C$156, CEFF!F$8:F$156)</f>
        <v>7.5700000000000003E-2</v>
      </c>
      <c r="N64" s="263">
        <f>LOOKUP($B$63, CEFF!$C$8:$C$156, CEFF!G$8:G$156)</f>
        <v>8.0820000000000003E-2</v>
      </c>
      <c r="O64" s="263">
        <f>LOOKUP($B$63, CEFF!$C$8:$C$156, CEFF!H$8:H$156)</f>
        <v>8.4930000000000005E-2</v>
      </c>
      <c r="P64" s="263">
        <f>LOOKUP($B$63, CEFF!$C$8:$C$156, CEFF!I$8:I$156)</f>
        <v>8.9480000000000004E-2</v>
      </c>
      <c r="Q64" s="263">
        <f>LOOKUP($B$63, CEFF!$C$8:$C$156, CEFF!J$8:J$156)</f>
        <v>9.3950000000000006E-2</v>
      </c>
      <c r="R64" s="40"/>
      <c r="S64" s="40"/>
      <c r="T64" s="40"/>
      <c r="U64" s="40"/>
      <c r="V64" s="41"/>
      <c r="W64" s="60"/>
      <c r="X64" s="40"/>
      <c r="Y64" s="40"/>
      <c r="Z64" s="40"/>
      <c r="AA64" s="40"/>
      <c r="AB64" s="40"/>
      <c r="AC64" s="40"/>
      <c r="AD64" s="40"/>
      <c r="AE64" s="40"/>
    </row>
    <row r="65" spans="2:31" s="39" customFormat="1" x14ac:dyDescent="0.3">
      <c r="B65" s="209"/>
      <c r="C65" s="209"/>
      <c r="D65" s="209"/>
      <c r="E65" s="209"/>
      <c r="F65" s="209" t="s">
        <v>367</v>
      </c>
      <c r="G65" s="63"/>
      <c r="H65" s="40"/>
      <c r="I65" s="41"/>
      <c r="J65" s="60"/>
      <c r="K65" s="42"/>
      <c r="L65" s="42"/>
      <c r="M65" s="264">
        <f>LOOKUP($B$63, CEFF!$C$8:$C$156, CEFF!F$8:F$156)</f>
        <v>7.5700000000000003E-2</v>
      </c>
      <c r="N65" s="264">
        <f>LOOKUP($B$63, CEFF!$C$8:$C$156, CEFF!G$8:G$156)</f>
        <v>8.0820000000000003E-2</v>
      </c>
      <c r="O65" s="264">
        <f>LOOKUP($B$63, CEFF!$C$8:$C$156, CEFF!H$8:H$156)</f>
        <v>8.4930000000000005E-2</v>
      </c>
      <c r="P65" s="264">
        <f>LOOKUP($B$63, CEFF!$C$8:$C$156, CEFF!I$8:I$156)</f>
        <v>8.9480000000000004E-2</v>
      </c>
      <c r="Q65" s="264">
        <f>LOOKUP($B$63, CEFF!$C$8:$C$156, CEFF!J$8:J$156)</f>
        <v>9.3950000000000006E-2</v>
      </c>
      <c r="R65" s="40"/>
      <c r="S65" s="40"/>
      <c r="T65" s="40"/>
      <c r="U65" s="40"/>
      <c r="V65" s="41"/>
      <c r="W65" s="60"/>
      <c r="X65" s="45"/>
      <c r="Y65" s="45"/>
      <c r="Z65" s="45"/>
      <c r="AA65" s="45"/>
      <c r="AB65" s="45"/>
      <c r="AC65" s="45"/>
      <c r="AD65" s="45"/>
      <c r="AE65" s="45"/>
    </row>
    <row r="66" spans="2:31" s="39" customFormat="1" x14ac:dyDescent="0.3">
      <c r="B66" s="212" t="s">
        <v>92</v>
      </c>
      <c r="C66" s="212" t="str">
        <f>LOOKUP(B66, TRA_COMM_PRO!$C$7:$C$189, TRA_COMM_PRO!$D$7:$D$189)</f>
        <v>Bus.Intercity.DST.01.</v>
      </c>
      <c r="D66" s="212" t="s">
        <v>44</v>
      </c>
      <c r="E66" s="212"/>
      <c r="F66" s="212"/>
      <c r="G66" s="59">
        <f>$G$59</f>
        <v>2019</v>
      </c>
      <c r="H66" s="54">
        <f>$H$60</f>
        <v>10</v>
      </c>
      <c r="I66" s="155">
        <f>$I$60</f>
        <v>1E-3</v>
      </c>
      <c r="J66" s="67">
        <f>J63</f>
        <v>9</v>
      </c>
      <c r="K66" s="56"/>
      <c r="L66" s="56"/>
      <c r="M66" s="263"/>
      <c r="N66" s="263"/>
      <c r="O66" s="263"/>
      <c r="P66" s="263"/>
      <c r="Q66" s="263"/>
      <c r="R66" s="54">
        <f>$R$60</f>
        <v>70</v>
      </c>
      <c r="S66" s="54"/>
      <c r="T66" s="54"/>
      <c r="U66" s="54"/>
      <c r="V66" s="55"/>
      <c r="W66" s="62">
        <f>LOOKUP(B66, FIXOM_VAROM!$C$8:$C$190, FIXOM_VAROM!$D$8:$D$190)</f>
        <v>100</v>
      </c>
      <c r="X66" s="40">
        <f>LOOKUP($B66, INVCOST!$C$8:$C$193, INVCOST!D$8:D$193)</f>
        <v>260</v>
      </c>
      <c r="Y66" s="40">
        <f>LOOKUP($B66, INVCOST!$C$8:$C$193, INVCOST!E$8:E$193)</f>
        <v>260</v>
      </c>
      <c r="Z66" s="40">
        <f>LOOKUP($B66, INVCOST!$C$8:$C$193, INVCOST!F$8:F$193)</f>
        <v>260</v>
      </c>
      <c r="AA66" s="40">
        <f>LOOKUP($B66, INVCOST!$C$8:$C$193, INVCOST!G$8:G$193)</f>
        <v>260</v>
      </c>
      <c r="AB66" s="40">
        <f>LOOKUP($B66, INVCOST!$C$8:$C$193, INVCOST!H$8:H$193)</f>
        <v>260</v>
      </c>
      <c r="AC66" s="40">
        <f>LOOKUP($B66, INVCOST!$C$8:$C$193, INVCOST!I$8:I$193)</f>
        <v>260</v>
      </c>
      <c r="AD66" s="40">
        <f>LOOKUP($B66, INVCOST!$C$8:$C$193, INVCOST!J$8:J$193)</f>
        <v>260</v>
      </c>
      <c r="AE66" s="40">
        <f>LOOKUP($B66, INVCOST!$C$8:$C$193, INVCOST!K$8:K$193)</f>
        <v>260</v>
      </c>
    </row>
    <row r="67" spans="2:31" s="39" customFormat="1" x14ac:dyDescent="0.3">
      <c r="B67" s="209"/>
      <c r="C67" s="209"/>
      <c r="D67" s="209" t="s">
        <v>48</v>
      </c>
      <c r="E67" s="209"/>
      <c r="F67" s="209"/>
      <c r="G67" s="59"/>
      <c r="H67" s="40"/>
      <c r="I67" s="41"/>
      <c r="J67" s="60"/>
      <c r="K67" s="42"/>
      <c r="L67" s="42"/>
      <c r="M67" s="263"/>
      <c r="N67" s="263"/>
      <c r="O67" s="263"/>
      <c r="P67" s="263"/>
      <c r="Q67" s="263"/>
      <c r="R67" s="40"/>
      <c r="S67" s="40"/>
      <c r="T67" s="40"/>
      <c r="U67" s="40"/>
      <c r="V67" s="41"/>
      <c r="W67" s="60"/>
      <c r="X67" s="41"/>
      <c r="Y67" s="41"/>
      <c r="Z67" s="41"/>
      <c r="AA67" s="41"/>
      <c r="AB67" s="41"/>
      <c r="AC67" s="41"/>
      <c r="AD67" s="41"/>
      <c r="AE67" s="41"/>
    </row>
    <row r="68" spans="2:31" s="39" customFormat="1" x14ac:dyDescent="0.3">
      <c r="B68" s="209"/>
      <c r="C68" s="209"/>
      <c r="D68" s="209"/>
      <c r="E68" s="209"/>
      <c r="F68" s="209" t="s">
        <v>89</v>
      </c>
      <c r="G68" s="59"/>
      <c r="H68" s="40"/>
      <c r="I68" s="41"/>
      <c r="J68" s="60"/>
      <c r="K68" s="42"/>
      <c r="L68" s="42"/>
      <c r="M68" s="263">
        <f>LOOKUP($B$66, CEFF!$C$8:$C$156, CEFF!F$8:F$156)</f>
        <v>7.5700000000000003E-2</v>
      </c>
      <c r="N68" s="263">
        <f>LOOKUP($B$66, CEFF!$C$8:$C$156, CEFF!G$8:G$156)</f>
        <v>8.0820000000000003E-2</v>
      </c>
      <c r="O68" s="263">
        <f>LOOKUP($B$66, CEFF!$C$8:$C$156, CEFF!H$8:H$156)</f>
        <v>8.4930000000000005E-2</v>
      </c>
      <c r="P68" s="263">
        <f>LOOKUP($B$66, CEFF!$C$8:$C$156, CEFF!I$8:I$156)</f>
        <v>8.9480000000000004E-2</v>
      </c>
      <c r="Q68" s="263">
        <f>LOOKUP($B$66, CEFF!$C$8:$C$156, CEFF!J$8:J$156)</f>
        <v>9.3950000000000006E-2</v>
      </c>
      <c r="R68" s="40"/>
      <c r="S68" s="40"/>
      <c r="T68" s="40"/>
      <c r="U68" s="40"/>
      <c r="V68" s="41"/>
      <c r="W68" s="60"/>
      <c r="X68" s="41"/>
      <c r="Y68" s="41"/>
      <c r="Z68" s="41"/>
      <c r="AA68" s="41"/>
      <c r="AB68" s="41"/>
      <c r="AC68" s="41"/>
      <c r="AD68" s="41"/>
      <c r="AE68" s="41"/>
    </row>
    <row r="69" spans="2:31" s="39" customFormat="1" x14ac:dyDescent="0.3">
      <c r="B69" s="209"/>
      <c r="C69" s="209"/>
      <c r="D69" s="209"/>
      <c r="E69" s="209"/>
      <c r="F69" s="209" t="s">
        <v>367</v>
      </c>
      <c r="G69" s="63"/>
      <c r="H69" s="40"/>
      <c r="I69" s="41"/>
      <c r="J69" s="60"/>
      <c r="K69" s="42"/>
      <c r="L69" s="42"/>
      <c r="M69" s="264">
        <f>LOOKUP($B$66, CEFF!$C$8:$C$156, CEFF!F$8:F$156)</f>
        <v>7.5700000000000003E-2</v>
      </c>
      <c r="N69" s="264">
        <f>LOOKUP($B$66, CEFF!$C$8:$C$156, CEFF!G$8:G$156)</f>
        <v>8.0820000000000003E-2</v>
      </c>
      <c r="O69" s="264">
        <f>LOOKUP($B$66, CEFF!$C$8:$C$156, CEFF!H$8:H$156)</f>
        <v>8.4930000000000005E-2</v>
      </c>
      <c r="P69" s="264">
        <f>LOOKUP($B$66, CEFF!$C$8:$C$156, CEFF!I$8:I$156)</f>
        <v>8.9480000000000004E-2</v>
      </c>
      <c r="Q69" s="264">
        <f>LOOKUP($B$66, CEFF!$C$8:$C$156, CEFF!J$8:J$156)</f>
        <v>9.3950000000000006E-2</v>
      </c>
      <c r="R69" s="40"/>
      <c r="S69" s="40"/>
      <c r="T69" s="40"/>
      <c r="U69" s="40"/>
      <c r="V69" s="41"/>
      <c r="W69" s="60"/>
      <c r="X69" s="45"/>
      <c r="Y69" s="45"/>
      <c r="Z69" s="45"/>
      <c r="AA69" s="45"/>
      <c r="AB69" s="45"/>
      <c r="AC69" s="45"/>
      <c r="AD69" s="45"/>
      <c r="AE69" s="45"/>
    </row>
    <row r="70" spans="2:31" s="39" customFormat="1" x14ac:dyDescent="0.3">
      <c r="B70" s="212" t="s">
        <v>94</v>
      </c>
      <c r="C70" s="212" t="str">
        <f>LOOKUP(B70, TRA_COMM_PRO!$C$7:$C$189, TRA_COMM_PRO!$D$7:$D$189)</f>
        <v>Bus.Intercity.ETH.01.</v>
      </c>
      <c r="D70" s="212" t="s">
        <v>51</v>
      </c>
      <c r="E70" s="212"/>
      <c r="F70" s="212"/>
      <c r="G70" s="59">
        <f>$G$59</f>
        <v>2019</v>
      </c>
      <c r="H70" s="54">
        <f>$H$60</f>
        <v>10</v>
      </c>
      <c r="I70" s="155">
        <f>$I$60</f>
        <v>1E-3</v>
      </c>
      <c r="J70" s="62">
        <f>J66</f>
        <v>9</v>
      </c>
      <c r="K70" s="56"/>
      <c r="L70" s="56"/>
      <c r="M70" s="263"/>
      <c r="N70" s="263"/>
      <c r="O70" s="263"/>
      <c r="P70" s="263"/>
      <c r="Q70" s="263"/>
      <c r="R70" s="54">
        <f>$R$60</f>
        <v>70</v>
      </c>
      <c r="S70" s="54"/>
      <c r="T70" s="54"/>
      <c r="U70" s="54"/>
      <c r="V70" s="55"/>
      <c r="W70" s="62">
        <f>LOOKUP(B70, FIXOM_VAROM!$C$8:$C$190, FIXOM_VAROM!$D$8:$D$190)</f>
        <v>100</v>
      </c>
      <c r="X70" s="40">
        <f>LOOKUP($B70, INVCOST!$C$8:$C$193, INVCOST!D$8:D$193)</f>
        <v>260</v>
      </c>
      <c r="Y70" s="40">
        <f>LOOKUP($B70, INVCOST!$C$8:$C$193, INVCOST!E$8:E$193)</f>
        <v>260</v>
      </c>
      <c r="Z70" s="40">
        <f>LOOKUP($B70, INVCOST!$C$8:$C$193, INVCOST!F$8:F$193)</f>
        <v>260</v>
      </c>
      <c r="AA70" s="40">
        <f>LOOKUP($B70, INVCOST!$C$8:$C$193, INVCOST!G$8:G$193)</f>
        <v>260</v>
      </c>
      <c r="AB70" s="40">
        <f>LOOKUP($B70, INVCOST!$C$8:$C$193, INVCOST!H$8:H$193)</f>
        <v>260</v>
      </c>
      <c r="AC70" s="40">
        <f>LOOKUP($B70, INVCOST!$C$8:$C$193, INVCOST!I$8:I$193)</f>
        <v>260</v>
      </c>
      <c r="AD70" s="40">
        <f>LOOKUP($B70, INVCOST!$C$8:$C$193, INVCOST!J$8:J$193)</f>
        <v>260</v>
      </c>
      <c r="AE70" s="40">
        <f>LOOKUP($B70, INVCOST!$C$8:$C$193, INVCOST!K$8:K$193)</f>
        <v>260</v>
      </c>
    </row>
    <row r="71" spans="2:31" s="39" customFormat="1" x14ac:dyDescent="0.3">
      <c r="B71" s="209"/>
      <c r="C71" s="209"/>
      <c r="D71" s="209"/>
      <c r="E71" s="209"/>
      <c r="F71" s="209" t="s">
        <v>89</v>
      </c>
      <c r="G71" s="59"/>
      <c r="H71" s="40"/>
      <c r="I71" s="41"/>
      <c r="J71" s="60"/>
      <c r="K71" s="42"/>
      <c r="L71" s="42"/>
      <c r="M71" s="263">
        <f>LOOKUP($B$70, CEFF!$C$8:$C$156, CEFF!F$8:F$156)</f>
        <v>7.5700000000000003E-2</v>
      </c>
      <c r="N71" s="263">
        <f>LOOKUP($B$70, CEFF!$C$8:$C$156, CEFF!G$8:G$156)</f>
        <v>8.0820000000000003E-2</v>
      </c>
      <c r="O71" s="263">
        <f>LOOKUP($B$70, CEFF!$C$8:$C$156, CEFF!H$8:H$156)</f>
        <v>8.4930000000000005E-2</v>
      </c>
      <c r="P71" s="263">
        <f>LOOKUP($B$70, CEFF!$C$8:$C$156, CEFF!I$8:I$156)</f>
        <v>8.9480000000000004E-2</v>
      </c>
      <c r="Q71" s="263">
        <f>LOOKUP($B$70, CEFF!$C$8:$C$156, CEFF!J$8:J$156)</f>
        <v>9.3950000000000006E-2</v>
      </c>
      <c r="R71" s="40"/>
      <c r="S71" s="40"/>
      <c r="T71" s="40"/>
      <c r="U71" s="40"/>
      <c r="V71" s="41"/>
      <c r="W71" s="60"/>
      <c r="X71" s="40"/>
      <c r="Y71" s="40"/>
      <c r="Z71" s="40"/>
      <c r="AA71" s="40"/>
      <c r="AB71" s="40"/>
      <c r="AC71" s="40"/>
      <c r="AD71" s="40"/>
      <c r="AE71" s="40"/>
    </row>
    <row r="72" spans="2:31" s="39" customFormat="1" x14ac:dyDescent="0.3">
      <c r="B72" s="210"/>
      <c r="C72" s="209"/>
      <c r="D72" s="210"/>
      <c r="E72" s="210"/>
      <c r="F72" s="210" t="s">
        <v>367</v>
      </c>
      <c r="G72" s="63"/>
      <c r="H72" s="45"/>
      <c r="I72" s="46"/>
      <c r="J72" s="64"/>
      <c r="K72" s="44"/>
      <c r="L72" s="44"/>
      <c r="M72" s="264">
        <f>LOOKUP($B$70, CEFF!$C$8:$C$156, CEFF!F$8:F$156)</f>
        <v>7.5700000000000003E-2</v>
      </c>
      <c r="N72" s="264">
        <f>LOOKUP($B$70, CEFF!$C$8:$C$156, CEFF!G$8:G$156)</f>
        <v>8.0820000000000003E-2</v>
      </c>
      <c r="O72" s="264">
        <f>LOOKUP($B$70, CEFF!$C$8:$C$156, CEFF!H$8:H$156)</f>
        <v>8.4930000000000005E-2</v>
      </c>
      <c r="P72" s="264">
        <f>LOOKUP($B$70, CEFF!$C$8:$C$156, CEFF!I$8:I$156)</f>
        <v>8.9480000000000004E-2</v>
      </c>
      <c r="Q72" s="264">
        <f>LOOKUP($B$70, CEFF!$C$8:$C$156, CEFF!J$8:J$156)</f>
        <v>9.3950000000000006E-2</v>
      </c>
      <c r="R72" s="45"/>
      <c r="S72" s="45"/>
      <c r="T72" s="45"/>
      <c r="U72" s="45"/>
      <c r="V72" s="46"/>
      <c r="W72" s="64"/>
      <c r="X72" s="45"/>
      <c r="Y72" s="45"/>
      <c r="Z72" s="45"/>
      <c r="AA72" s="45"/>
      <c r="AB72" s="45"/>
      <c r="AC72" s="45"/>
      <c r="AD72" s="45"/>
      <c r="AE72" s="45"/>
    </row>
    <row r="73" spans="2:31" s="39" customFormat="1" x14ac:dyDescent="0.3">
      <c r="B73" s="209" t="s">
        <v>96</v>
      </c>
      <c r="C73" s="212" t="str">
        <f>LOOKUP(B73, TRA_COMM_PRO!$C$7:$C$189, TRA_COMM_PRO!$D$7:$D$189)</f>
        <v>Bus.Intercity.GAS.01.</v>
      </c>
      <c r="D73" s="209" t="s">
        <v>53</v>
      </c>
      <c r="E73" s="209"/>
      <c r="F73" s="209"/>
      <c r="G73" s="59">
        <f>$G$59</f>
        <v>2019</v>
      </c>
      <c r="H73" s="54">
        <f>$H$60</f>
        <v>10</v>
      </c>
      <c r="I73" s="155">
        <f>$I$60</f>
        <v>1E-3</v>
      </c>
      <c r="J73" s="60">
        <f>J70</f>
        <v>9</v>
      </c>
      <c r="K73" s="42"/>
      <c r="L73" s="42"/>
      <c r="M73" s="263"/>
      <c r="N73" s="263"/>
      <c r="O73" s="263"/>
      <c r="P73" s="263"/>
      <c r="Q73" s="263"/>
      <c r="R73" s="54">
        <f>$R$60</f>
        <v>70</v>
      </c>
      <c r="S73" s="40"/>
      <c r="T73" s="40"/>
      <c r="U73" s="40"/>
      <c r="V73" s="41"/>
      <c r="W73" s="62">
        <f>LOOKUP(B73, FIXOM_VAROM!$C$8:$C$190, FIXOM_VAROM!$D$8:$D$190)</f>
        <v>100</v>
      </c>
      <c r="X73" s="40">
        <f>LOOKUP($B73, INVCOST!$C$8:$C$193, INVCOST!D$8:D$193)</f>
        <v>260</v>
      </c>
      <c r="Y73" s="40">
        <f>LOOKUP($B73, INVCOST!$C$8:$C$193, INVCOST!E$8:E$193)</f>
        <v>260</v>
      </c>
      <c r="Z73" s="40">
        <f>LOOKUP($B73, INVCOST!$C$8:$C$193, INVCOST!F$8:F$193)</f>
        <v>260</v>
      </c>
      <c r="AA73" s="40">
        <f>LOOKUP($B73, INVCOST!$C$8:$C$193, INVCOST!G$8:G$193)</f>
        <v>260</v>
      </c>
      <c r="AB73" s="40">
        <f>LOOKUP($B73, INVCOST!$C$8:$C$193, INVCOST!H$8:H$193)</f>
        <v>260</v>
      </c>
      <c r="AC73" s="40">
        <f>LOOKUP($B73, INVCOST!$C$8:$C$193, INVCOST!I$8:I$193)</f>
        <v>260</v>
      </c>
      <c r="AD73" s="40">
        <f>LOOKUP($B73, INVCOST!$C$8:$C$193, INVCOST!J$8:J$193)</f>
        <v>260</v>
      </c>
      <c r="AE73" s="40">
        <f>LOOKUP($B73, INVCOST!$C$8:$C$193, INVCOST!K$8:K$193)</f>
        <v>260</v>
      </c>
    </row>
    <row r="74" spans="2:31" s="39" customFormat="1" x14ac:dyDescent="0.3">
      <c r="B74" s="209"/>
      <c r="C74" s="209"/>
      <c r="D74" s="209" t="s">
        <v>54</v>
      </c>
      <c r="E74" s="209"/>
      <c r="F74" s="209"/>
      <c r="G74" s="59"/>
      <c r="H74" s="40"/>
      <c r="I74" s="41"/>
      <c r="J74" s="60"/>
      <c r="K74" s="42"/>
      <c r="L74" s="22"/>
      <c r="M74" s="263"/>
      <c r="N74" s="263"/>
      <c r="O74" s="263"/>
      <c r="P74" s="263"/>
      <c r="Q74" s="263"/>
      <c r="R74" s="40"/>
      <c r="S74" s="40"/>
      <c r="T74" s="40"/>
      <c r="U74" s="40"/>
      <c r="V74" s="41"/>
      <c r="W74" s="60"/>
      <c r="X74" s="41"/>
      <c r="Y74" s="41"/>
      <c r="Z74" s="41"/>
      <c r="AA74" s="41"/>
      <c r="AB74" s="41"/>
      <c r="AC74" s="41"/>
      <c r="AD74" s="41"/>
      <c r="AE74" s="41"/>
    </row>
    <row r="75" spans="2:31" s="39" customFormat="1" x14ac:dyDescent="0.3">
      <c r="B75" s="209"/>
      <c r="C75" s="209"/>
      <c r="D75" s="209"/>
      <c r="E75" s="209"/>
      <c r="F75" s="209" t="s">
        <v>89</v>
      </c>
      <c r="G75" s="59"/>
      <c r="H75" s="40"/>
      <c r="I75" s="41"/>
      <c r="J75" s="60"/>
      <c r="K75" s="42"/>
      <c r="L75" s="42"/>
      <c r="M75" s="263">
        <f>LOOKUP($B$73, CEFF!$C$8:$C$156, CEFF!F$8:F$156)</f>
        <v>5.0610000000000002E-2</v>
      </c>
      <c r="N75" s="263">
        <f>LOOKUP($B$73, CEFF!$C$8:$C$156, CEFF!G$8:G$156)</f>
        <v>5.3940000000000002E-2</v>
      </c>
      <c r="O75" s="263">
        <f>LOOKUP($B$73, CEFF!$C$8:$C$156, CEFF!H$8:H$156)</f>
        <v>5.6750000000000002E-2</v>
      </c>
      <c r="P75" s="263">
        <f>LOOKUP($B$73, CEFF!$C$8:$C$156, CEFF!I$8:I$156)</f>
        <v>5.9630000000000002E-2</v>
      </c>
      <c r="Q75" s="263">
        <f>LOOKUP($B$73, CEFF!$C$8:$C$156, CEFF!J$8:J$156)</f>
        <v>6.2770000000000006E-2</v>
      </c>
      <c r="R75" s="40"/>
      <c r="S75" s="40"/>
      <c r="T75" s="40"/>
      <c r="U75" s="40"/>
      <c r="V75" s="41"/>
      <c r="W75" s="60"/>
      <c r="X75" s="41"/>
      <c r="Y75" s="41"/>
      <c r="Z75" s="41"/>
      <c r="AA75" s="41"/>
      <c r="AB75" s="41"/>
      <c r="AC75" s="41"/>
      <c r="AD75" s="41"/>
      <c r="AE75" s="41"/>
    </row>
    <row r="76" spans="2:31" s="39" customFormat="1" x14ac:dyDescent="0.3">
      <c r="B76" s="209"/>
      <c r="C76" s="209"/>
      <c r="D76" s="209"/>
      <c r="E76" s="209"/>
      <c r="F76" s="209" t="s">
        <v>367</v>
      </c>
      <c r="G76" s="63"/>
      <c r="H76" s="40"/>
      <c r="I76" s="41"/>
      <c r="J76" s="60"/>
      <c r="K76" s="42"/>
      <c r="L76" s="42"/>
      <c r="M76" s="264">
        <f>LOOKUP($B$73, CEFF!$C$8:$C$156, CEFF!F$8:F$156)</f>
        <v>5.0610000000000002E-2</v>
      </c>
      <c r="N76" s="264">
        <f>LOOKUP($B$73, CEFF!$C$8:$C$156, CEFF!G$8:G$156)</f>
        <v>5.3940000000000002E-2</v>
      </c>
      <c r="O76" s="264">
        <f>LOOKUP($B$73, CEFF!$C$8:$C$156, CEFF!H$8:H$156)</f>
        <v>5.6750000000000002E-2</v>
      </c>
      <c r="P76" s="264">
        <f>LOOKUP($B$73, CEFF!$C$8:$C$156, CEFF!I$8:I$156)</f>
        <v>5.9630000000000002E-2</v>
      </c>
      <c r="Q76" s="264">
        <f>LOOKUP($B$73, CEFF!$C$8:$C$156, CEFF!J$8:J$156)</f>
        <v>6.2770000000000006E-2</v>
      </c>
      <c r="R76" s="40"/>
      <c r="S76" s="40"/>
      <c r="T76" s="40"/>
      <c r="U76" s="40"/>
      <c r="V76" s="41"/>
      <c r="W76" s="60"/>
      <c r="X76" s="45"/>
      <c r="Y76" s="45"/>
      <c r="Z76" s="45"/>
      <c r="AA76" s="45"/>
      <c r="AB76" s="45"/>
      <c r="AC76" s="45"/>
      <c r="AD76" s="45"/>
      <c r="AE76" s="45"/>
    </row>
    <row r="77" spans="2:31" s="39" customFormat="1" x14ac:dyDescent="0.3">
      <c r="B77" s="212" t="s">
        <v>98</v>
      </c>
      <c r="C77" s="212" t="str">
        <f>LOOKUP(B77, TRA_COMM_PRO!$C$7:$C$189, TRA_COMM_PRO!$D$7:$D$189)</f>
        <v>Bus.Intercity.GSL.01.</v>
      </c>
      <c r="D77" s="212" t="s">
        <v>40</v>
      </c>
      <c r="E77" s="212"/>
      <c r="F77" s="212"/>
      <c r="G77" s="59">
        <f>$G$59</f>
        <v>2019</v>
      </c>
      <c r="H77" s="54">
        <f>$H$60</f>
        <v>10</v>
      </c>
      <c r="I77" s="155">
        <f>$I$60</f>
        <v>1E-3</v>
      </c>
      <c r="J77" s="62">
        <f>J73</f>
        <v>9</v>
      </c>
      <c r="K77" s="56"/>
      <c r="L77" s="56">
        <v>0.05</v>
      </c>
      <c r="M77" s="263"/>
      <c r="N77" s="263"/>
      <c r="O77" s="263"/>
      <c r="P77" s="263"/>
      <c r="Q77" s="263"/>
      <c r="R77" s="54">
        <f>$R$60</f>
        <v>70</v>
      </c>
      <c r="S77" s="54"/>
      <c r="T77" s="54"/>
      <c r="U77" s="54"/>
      <c r="V77" s="55"/>
      <c r="W77" s="62">
        <f>LOOKUP(B77, FIXOM_VAROM!$C$8:$C$190, FIXOM_VAROM!$D$8:$D$190)</f>
        <v>100</v>
      </c>
      <c r="X77" s="40">
        <f>LOOKUP($B77, INVCOST!$C$8:$C$193, INVCOST!D$8:D$193)</f>
        <v>260</v>
      </c>
      <c r="Y77" s="40">
        <f>LOOKUP($B77, INVCOST!$C$8:$C$193, INVCOST!E$8:E$193)</f>
        <v>260</v>
      </c>
      <c r="Z77" s="40">
        <f>LOOKUP($B77, INVCOST!$C$8:$C$193, INVCOST!F$8:F$193)</f>
        <v>260</v>
      </c>
      <c r="AA77" s="40">
        <f>LOOKUP($B77, INVCOST!$C$8:$C$193, INVCOST!G$8:G$193)</f>
        <v>260</v>
      </c>
      <c r="AB77" s="40">
        <f>LOOKUP($B77, INVCOST!$C$8:$C$193, INVCOST!H$8:H$193)</f>
        <v>260</v>
      </c>
      <c r="AC77" s="40">
        <f>LOOKUP($B77, INVCOST!$C$8:$C$193, INVCOST!I$8:I$193)</f>
        <v>260</v>
      </c>
      <c r="AD77" s="40">
        <f>LOOKUP($B77, INVCOST!$C$8:$C$193, INVCOST!J$8:J$193)</f>
        <v>260</v>
      </c>
      <c r="AE77" s="40">
        <f>LOOKUP($B77, INVCOST!$C$8:$C$193, INVCOST!K$8:K$193)</f>
        <v>260</v>
      </c>
    </row>
    <row r="78" spans="2:31" s="39" customFormat="1" x14ac:dyDescent="0.3">
      <c r="B78" s="209"/>
      <c r="C78" s="209"/>
      <c r="D78" s="209" t="s">
        <v>39</v>
      </c>
      <c r="E78" s="209"/>
      <c r="F78" s="209"/>
      <c r="G78" s="59"/>
      <c r="H78" s="40"/>
      <c r="I78" s="65"/>
      <c r="J78" s="60"/>
      <c r="K78" s="42"/>
      <c r="L78" s="42"/>
      <c r="M78" s="263"/>
      <c r="N78" s="263"/>
      <c r="O78" s="263"/>
      <c r="P78" s="263"/>
      <c r="Q78" s="263"/>
      <c r="R78" s="40"/>
      <c r="S78" s="40"/>
      <c r="T78" s="40"/>
      <c r="U78" s="40"/>
      <c r="V78" s="41"/>
      <c r="W78" s="60"/>
      <c r="X78" s="40"/>
      <c r="Y78" s="40"/>
      <c r="Z78" s="40"/>
      <c r="AA78" s="40"/>
      <c r="AB78" s="40"/>
      <c r="AC78" s="40"/>
      <c r="AD78" s="40"/>
      <c r="AE78" s="40"/>
    </row>
    <row r="79" spans="2:31" s="39" customFormat="1" x14ac:dyDescent="0.3">
      <c r="B79" s="209"/>
      <c r="C79" s="209"/>
      <c r="D79" s="209"/>
      <c r="E79" s="209"/>
      <c r="F79" s="209" t="s">
        <v>89</v>
      </c>
      <c r="G79" s="59"/>
      <c r="H79" s="40"/>
      <c r="I79" s="41"/>
      <c r="J79" s="60"/>
      <c r="K79" s="42"/>
      <c r="L79" s="42"/>
      <c r="M79" s="263">
        <f>LOOKUP($B$77, CEFF!$C$8:$C$156, CEFF!F$8:F$156)</f>
        <v>5.0610000000000002E-2</v>
      </c>
      <c r="N79" s="263">
        <f>LOOKUP($B$77, CEFF!$C$8:$C$156, CEFF!G$8:G$156)</f>
        <v>5.3940000000000002E-2</v>
      </c>
      <c r="O79" s="263">
        <f>LOOKUP($B$77, CEFF!$C$8:$C$156, CEFF!H$8:H$156)</f>
        <v>5.6750000000000002E-2</v>
      </c>
      <c r="P79" s="263">
        <f>LOOKUP($B$77, CEFF!$C$8:$C$156, CEFF!I$8:I$156)</f>
        <v>5.9630000000000002E-2</v>
      </c>
      <c r="Q79" s="263">
        <f>LOOKUP($B$77, CEFF!$C$8:$C$156, CEFF!J$8:J$156)</f>
        <v>6.2770000000000006E-2</v>
      </c>
      <c r="R79" s="40"/>
      <c r="S79" s="40"/>
      <c r="T79" s="40"/>
      <c r="U79" s="40"/>
      <c r="V79" s="41"/>
      <c r="W79" s="60"/>
      <c r="X79" s="41"/>
      <c r="Y79" s="41"/>
      <c r="Z79" s="41"/>
      <c r="AA79" s="41"/>
      <c r="AB79" s="41"/>
      <c r="AC79" s="41"/>
      <c r="AD79" s="41"/>
      <c r="AE79" s="41"/>
    </row>
    <row r="80" spans="2:31" s="39" customFormat="1" x14ac:dyDescent="0.3">
      <c r="B80" s="209"/>
      <c r="C80" s="209"/>
      <c r="D80" s="209"/>
      <c r="E80" s="209"/>
      <c r="F80" s="209" t="s">
        <v>367</v>
      </c>
      <c r="G80" s="63"/>
      <c r="H80" s="40"/>
      <c r="I80" s="41"/>
      <c r="J80" s="60"/>
      <c r="K80" s="42"/>
      <c r="L80" s="42"/>
      <c r="M80" s="264">
        <f>LOOKUP($B$77, CEFF!$C$8:$C$156, CEFF!F$8:F$156)</f>
        <v>5.0610000000000002E-2</v>
      </c>
      <c r="N80" s="264">
        <f>LOOKUP($B$77, CEFF!$C$8:$C$156, CEFF!G$8:G$156)</f>
        <v>5.3940000000000002E-2</v>
      </c>
      <c r="O80" s="264">
        <f>LOOKUP($B$77, CEFF!$C$8:$C$156, CEFF!H$8:H$156)</f>
        <v>5.6750000000000002E-2</v>
      </c>
      <c r="P80" s="264">
        <f>LOOKUP($B$77, CEFF!$C$8:$C$156, CEFF!I$8:I$156)</f>
        <v>5.9630000000000002E-2</v>
      </c>
      <c r="Q80" s="264">
        <f>LOOKUP($B$77, CEFF!$C$8:$C$156, CEFF!J$8:J$156)</f>
        <v>6.2770000000000006E-2</v>
      </c>
      <c r="R80" s="40"/>
      <c r="S80" s="40"/>
      <c r="T80" s="40"/>
      <c r="U80" s="40"/>
      <c r="V80" s="41"/>
      <c r="W80" s="60"/>
      <c r="X80" s="45"/>
      <c r="Y80" s="45"/>
      <c r="Z80" s="45"/>
      <c r="AA80" s="45"/>
      <c r="AB80" s="45"/>
      <c r="AC80" s="45"/>
      <c r="AD80" s="45"/>
      <c r="AE80" s="45"/>
    </row>
    <row r="81" spans="2:31" s="39" customFormat="1" x14ac:dyDescent="0.3">
      <c r="B81" s="212" t="s">
        <v>100</v>
      </c>
      <c r="C81" s="212" t="str">
        <f>LOOKUP(B81, TRA_COMM_PRO!$C$7:$C$189, TRA_COMM_PRO!$D$7:$D$189)</f>
        <v>Bus.Intercity.H2G.01.</v>
      </c>
      <c r="D81" s="212" t="s">
        <v>57</v>
      </c>
      <c r="E81" s="212"/>
      <c r="F81" s="212"/>
      <c r="G81" s="59">
        <f>G30</f>
        <v>2019</v>
      </c>
      <c r="H81" s="54">
        <f>$H$60</f>
        <v>10</v>
      </c>
      <c r="I81" s="155">
        <f>$I$60</f>
        <v>1E-3</v>
      </c>
      <c r="J81" s="62">
        <f>J77</f>
        <v>9</v>
      </c>
      <c r="K81" s="56"/>
      <c r="L81" s="56"/>
      <c r="M81" s="263"/>
      <c r="N81" s="263"/>
      <c r="O81" s="263"/>
      <c r="P81" s="263"/>
      <c r="Q81" s="263"/>
      <c r="R81" s="54">
        <f>$R$60</f>
        <v>70</v>
      </c>
      <c r="S81" s="54"/>
      <c r="T81" s="54"/>
      <c r="U81" s="54"/>
      <c r="V81" s="55"/>
      <c r="W81" s="62">
        <f>LOOKUP(B81, FIXOM_VAROM!$C$8:$C$190, FIXOM_VAROM!$D$8:$D$190)</f>
        <v>80.000000000000014</v>
      </c>
      <c r="X81" s="40">
        <f>LOOKUP($B81, INVCOST!$C$8:$C$193, INVCOST!D$8:D$193)</f>
        <v>1000</v>
      </c>
      <c r="Y81" s="40">
        <f>LOOKUP($B81, INVCOST!$C$8:$C$193, INVCOST!E$8:E$193)</f>
        <v>1000</v>
      </c>
      <c r="Z81" s="40">
        <f>LOOKUP($B81, INVCOST!$C$8:$C$193, INVCOST!F$8:F$193)</f>
        <v>1000</v>
      </c>
      <c r="AA81" s="40">
        <f>LOOKUP($B81, INVCOST!$C$8:$C$193, INVCOST!G$8:G$193)</f>
        <v>1000</v>
      </c>
      <c r="AB81" s="40">
        <f>LOOKUP($B81, INVCOST!$C$8:$C$193, INVCOST!H$8:H$193)</f>
        <v>1000</v>
      </c>
      <c r="AC81" s="40">
        <f>LOOKUP($B81, INVCOST!$C$8:$C$193, INVCOST!I$8:I$193)</f>
        <v>1000</v>
      </c>
      <c r="AD81" s="40">
        <f>LOOKUP($B81, INVCOST!$C$8:$C$193, INVCOST!J$8:J$193)</f>
        <v>1000</v>
      </c>
      <c r="AE81" s="40">
        <f>LOOKUP($B81, INVCOST!$C$8:$C$193, INVCOST!K$8:K$193)</f>
        <v>1000</v>
      </c>
    </row>
    <row r="82" spans="2:31" s="39" customFormat="1" x14ac:dyDescent="0.3">
      <c r="B82" s="209"/>
      <c r="C82" s="209"/>
      <c r="D82" s="209"/>
      <c r="E82" s="209"/>
      <c r="F82" s="209" t="s">
        <v>89</v>
      </c>
      <c r="G82" s="59"/>
      <c r="H82" s="40"/>
      <c r="I82" s="41"/>
      <c r="J82" s="60"/>
      <c r="K82" s="42"/>
      <c r="L82" s="42"/>
      <c r="M82" s="263">
        <f>LOOKUP($B$81, CEFF!$C$8:$C$156, CEFF!F$8:F$156)</f>
        <v>5.0610000000000002E-2</v>
      </c>
      <c r="N82" s="263">
        <f>LOOKUP($B$81, CEFF!$C$8:$C$156, CEFF!G$8:G$156)</f>
        <v>5.3940000000000002E-2</v>
      </c>
      <c r="O82" s="263">
        <f>LOOKUP($B$81, CEFF!$C$8:$C$156, CEFF!H$8:H$156)</f>
        <v>5.6750000000000002E-2</v>
      </c>
      <c r="P82" s="263">
        <f>LOOKUP($B$81, CEFF!$C$8:$C$156, CEFF!I$8:I$156)</f>
        <v>5.9630000000000002E-2</v>
      </c>
      <c r="Q82" s="263">
        <f>LOOKUP($B$81, CEFF!$C$8:$C$156, CEFF!J$8:J$156)</f>
        <v>6.2770000000000006E-2</v>
      </c>
      <c r="R82" s="40"/>
      <c r="S82" s="40"/>
      <c r="T82" s="40"/>
      <c r="U82" s="40"/>
      <c r="V82" s="41"/>
      <c r="W82" s="60"/>
      <c r="X82" s="60"/>
      <c r="Y82" s="60"/>
      <c r="Z82" s="60"/>
      <c r="AA82" s="60"/>
      <c r="AB82" s="60"/>
      <c r="AC82" s="60"/>
      <c r="AD82" s="60"/>
      <c r="AE82" s="60"/>
    </row>
    <row r="83" spans="2:31" s="39" customFormat="1" x14ac:dyDescent="0.3">
      <c r="B83" s="210"/>
      <c r="C83" s="210"/>
      <c r="D83" s="210"/>
      <c r="E83" s="210"/>
      <c r="F83" s="210" t="s">
        <v>367</v>
      </c>
      <c r="G83" s="63"/>
      <c r="H83" s="45"/>
      <c r="I83" s="46"/>
      <c r="J83" s="64"/>
      <c r="K83" s="44"/>
      <c r="L83" s="44"/>
      <c r="M83" s="264">
        <f>LOOKUP($B$81, CEFF!$C$8:$C$156, CEFF!F$8:F$156)</f>
        <v>5.0610000000000002E-2</v>
      </c>
      <c r="N83" s="264">
        <f>LOOKUP($B$81, CEFF!$C$8:$C$156, CEFF!G$8:G$156)</f>
        <v>5.3940000000000002E-2</v>
      </c>
      <c r="O83" s="264">
        <f>LOOKUP($B$81, CEFF!$C$8:$C$156, CEFF!H$8:H$156)</f>
        <v>5.6750000000000002E-2</v>
      </c>
      <c r="P83" s="264">
        <f>LOOKUP($B$81, CEFF!$C$8:$C$156, CEFF!I$8:I$156)</f>
        <v>5.9630000000000002E-2</v>
      </c>
      <c r="Q83" s="264">
        <f>LOOKUP($B$81, CEFF!$C$8:$C$156, CEFF!J$8:J$156)</f>
        <v>6.2770000000000006E-2</v>
      </c>
      <c r="R83" s="45"/>
      <c r="S83" s="45"/>
      <c r="T83" s="45"/>
      <c r="U83" s="45"/>
      <c r="V83" s="46"/>
      <c r="W83" s="64"/>
      <c r="X83" s="46"/>
      <c r="Y83" s="46"/>
      <c r="Z83" s="46"/>
      <c r="AA83" s="46"/>
      <c r="AB83" s="46"/>
      <c r="AC83" s="46"/>
      <c r="AD83" s="46"/>
      <c r="AE83" s="46"/>
    </row>
    <row r="84" spans="2:31" s="39" customFormat="1" x14ac:dyDescent="0.3">
      <c r="B84" s="212" t="s">
        <v>342</v>
      </c>
      <c r="C84" s="212" t="str">
        <f>LOOKUP(B84, TRA_COMM_PRO!$C$7:$C$189, TRA_COMM_PRO!$D$7:$D$189)</f>
        <v>Bus.Intercity.Hybrid.DST.01.</v>
      </c>
      <c r="D84" s="209" t="s">
        <v>44</v>
      </c>
      <c r="E84" s="212"/>
      <c r="F84" s="212"/>
      <c r="G84" s="59">
        <f>$G$59</f>
        <v>2019</v>
      </c>
      <c r="H84" s="54">
        <f>$H$60</f>
        <v>10</v>
      </c>
      <c r="I84" s="155">
        <f>$I$60</f>
        <v>1E-3</v>
      </c>
      <c r="J84" s="62">
        <f>J81</f>
        <v>9</v>
      </c>
      <c r="K84" s="56"/>
      <c r="L84" s="56"/>
      <c r="M84" s="263"/>
      <c r="N84" s="263"/>
      <c r="O84" s="263"/>
      <c r="P84" s="263"/>
      <c r="Q84" s="263"/>
      <c r="R84" s="54">
        <f>$R$60</f>
        <v>70</v>
      </c>
      <c r="S84" s="54"/>
      <c r="T84" s="54"/>
      <c r="U84" s="54"/>
      <c r="V84" s="55"/>
      <c r="W84" s="62">
        <f>LOOKUP(B84, FIXOM_VAROM!$C$8:$C$190, FIXOM_VAROM!$D$8:$D$190)</f>
        <v>100</v>
      </c>
      <c r="X84" s="40">
        <f>LOOKUP($B84, INVCOST!$C$8:$C$193, INVCOST!D$8:D$193)</f>
        <v>602</v>
      </c>
      <c r="Y84" s="40">
        <f>LOOKUP($B84, INVCOST!$C$8:$C$193, INVCOST!E$8:E$193)</f>
        <v>602</v>
      </c>
      <c r="Z84" s="40">
        <f>LOOKUP($B84, INVCOST!$C$8:$C$193, INVCOST!F$8:F$193)</f>
        <v>602</v>
      </c>
      <c r="AA84" s="40">
        <f>LOOKUP($B84, INVCOST!$C$8:$C$193, INVCOST!G$8:G$193)</f>
        <v>602</v>
      </c>
      <c r="AB84" s="40">
        <f>LOOKUP($B84, INVCOST!$C$8:$C$193, INVCOST!H$8:H$193)</f>
        <v>602</v>
      </c>
      <c r="AC84" s="40">
        <f>LOOKUP($B84, INVCOST!$C$8:$C$193, INVCOST!I$8:I$193)</f>
        <v>602</v>
      </c>
      <c r="AD84" s="40">
        <f>LOOKUP($B84, INVCOST!$C$8:$C$193, INVCOST!J$8:J$193)</f>
        <v>602</v>
      </c>
      <c r="AE84" s="40">
        <f>LOOKUP($B84, INVCOST!$C$8:$C$193, INVCOST!K$8:K$193)</f>
        <v>602</v>
      </c>
    </row>
    <row r="85" spans="2:31" s="39" customFormat="1" x14ac:dyDescent="0.3">
      <c r="B85" s="209"/>
      <c r="C85" s="209"/>
      <c r="D85" s="209" t="s">
        <v>48</v>
      </c>
      <c r="E85" s="209"/>
      <c r="F85" s="209"/>
      <c r="G85" s="59"/>
      <c r="H85" s="40"/>
      <c r="I85" s="41"/>
      <c r="J85" s="60"/>
      <c r="K85" s="42"/>
      <c r="L85" s="42"/>
      <c r="M85" s="263"/>
      <c r="N85" s="263"/>
      <c r="O85" s="263"/>
      <c r="P85" s="263"/>
      <c r="Q85" s="263"/>
      <c r="R85" s="40"/>
      <c r="S85" s="40"/>
      <c r="T85" s="40"/>
      <c r="U85" s="40"/>
      <c r="V85" s="41"/>
      <c r="W85" s="60"/>
      <c r="X85" s="41"/>
      <c r="Y85" s="41"/>
      <c r="Z85" s="41"/>
      <c r="AA85" s="41"/>
      <c r="AB85" s="41"/>
      <c r="AC85" s="41"/>
      <c r="AD85" s="41"/>
      <c r="AE85" s="41"/>
    </row>
    <row r="86" spans="2:31" s="39" customFormat="1" x14ac:dyDescent="0.3">
      <c r="B86" s="209"/>
      <c r="C86" s="209"/>
      <c r="D86" s="209"/>
      <c r="E86" s="209"/>
      <c r="F86" s="209" t="s">
        <v>89</v>
      </c>
      <c r="G86" s="59"/>
      <c r="H86" s="40"/>
      <c r="I86" s="41"/>
      <c r="J86" s="60"/>
      <c r="K86" s="42"/>
      <c r="L86" s="42"/>
      <c r="M86" s="263">
        <f>LOOKUP($B$84, CEFF!$C$8:$C$156, CEFF!F$8:F$156)</f>
        <v>7.9740000000000005E-2</v>
      </c>
      <c r="N86" s="263">
        <f>LOOKUP($B$84, CEFF!$C$8:$C$156, CEFF!G$8:G$156)</f>
        <v>8.5690000000000002E-2</v>
      </c>
      <c r="O86" s="263">
        <f>LOOKUP($B$84, CEFF!$C$8:$C$156, CEFF!H$8:H$156)</f>
        <v>9.0090000000000003E-2</v>
      </c>
      <c r="P86" s="263">
        <f>LOOKUP($B$84, CEFF!$C$8:$C$156, CEFF!I$8:I$156)</f>
        <v>9.4880000000000006E-2</v>
      </c>
      <c r="Q86" s="263">
        <f>LOOKUP($B$84, CEFF!$C$8:$C$156, CEFF!J$8:J$156)</f>
        <v>9.9599999999999994E-2</v>
      </c>
      <c r="R86" s="40"/>
      <c r="S86" s="40"/>
      <c r="T86" s="40"/>
      <c r="U86" s="40"/>
      <c r="V86" s="41"/>
      <c r="W86" s="60"/>
      <c r="X86" s="41"/>
      <c r="Y86" s="41"/>
      <c r="Z86" s="41"/>
      <c r="AA86" s="41"/>
      <c r="AB86" s="41"/>
      <c r="AC86" s="41"/>
      <c r="AD86" s="41"/>
      <c r="AE86" s="41"/>
    </row>
    <row r="87" spans="2:31" s="39" customFormat="1" x14ac:dyDescent="0.3">
      <c r="B87" s="210"/>
      <c r="C87" s="210"/>
      <c r="D87" s="210"/>
      <c r="E87" s="210"/>
      <c r="F87" s="210" t="s">
        <v>367</v>
      </c>
      <c r="G87" s="63"/>
      <c r="H87" s="45"/>
      <c r="I87" s="46"/>
      <c r="J87" s="64"/>
      <c r="K87" s="44"/>
      <c r="L87" s="44"/>
      <c r="M87" s="264">
        <f>LOOKUP($B$84, CEFF!$C$8:$C$156, CEFF!F$8:F$156)</f>
        <v>7.9740000000000005E-2</v>
      </c>
      <c r="N87" s="264">
        <f>LOOKUP($B$84, CEFF!$C$8:$C$156, CEFF!G$8:G$156)</f>
        <v>8.5690000000000002E-2</v>
      </c>
      <c r="O87" s="264">
        <f>LOOKUP($B$84, CEFF!$C$8:$C$156, CEFF!H$8:H$156)</f>
        <v>9.0090000000000003E-2</v>
      </c>
      <c r="P87" s="264">
        <f>LOOKUP($B$84, CEFF!$C$8:$C$156, CEFF!I$8:I$156)</f>
        <v>9.4880000000000006E-2</v>
      </c>
      <c r="Q87" s="264">
        <f>LOOKUP($B$84, CEFF!$C$8:$C$156, CEFF!J$8:J$156)</f>
        <v>9.9599999999999994E-2</v>
      </c>
      <c r="R87" s="45"/>
      <c r="S87" s="45"/>
      <c r="T87" s="45"/>
      <c r="U87" s="45"/>
      <c r="V87" s="46"/>
      <c r="W87" s="64"/>
      <c r="X87" s="46"/>
      <c r="Y87" s="46"/>
      <c r="Z87" s="46"/>
      <c r="AA87" s="46"/>
      <c r="AB87" s="46"/>
      <c r="AC87" s="46"/>
      <c r="AD87" s="46"/>
      <c r="AE87" s="46"/>
    </row>
    <row r="88" spans="2:31" s="39" customFormat="1" x14ac:dyDescent="0.3">
      <c r="B88" s="212" t="s">
        <v>404</v>
      </c>
      <c r="C88" s="212" t="str">
        <f>LOOKUP(B88, TRA_COMM_PRO!$C$7:$C$189, TRA_COMM_PRO!$D$7:$D$189)</f>
        <v>Bus.Intercity.Hybrid.GSL.01.</v>
      </c>
      <c r="D88" s="209" t="s">
        <v>40</v>
      </c>
      <c r="E88" s="212"/>
      <c r="F88" s="212"/>
      <c r="G88" s="59">
        <f>$G$59</f>
        <v>2019</v>
      </c>
      <c r="H88" s="54">
        <f>$H$60</f>
        <v>10</v>
      </c>
      <c r="I88" s="155">
        <f>$I$60</f>
        <v>1E-3</v>
      </c>
      <c r="J88" s="62">
        <f>J84</f>
        <v>9</v>
      </c>
      <c r="K88" s="56"/>
      <c r="L88" s="56">
        <v>0.05</v>
      </c>
      <c r="M88" s="263"/>
      <c r="N88" s="263"/>
      <c r="O88" s="263"/>
      <c r="P88" s="263"/>
      <c r="Q88" s="263"/>
      <c r="R88" s="54">
        <f>$R$60</f>
        <v>70</v>
      </c>
      <c r="S88" s="54"/>
      <c r="T88" s="54"/>
      <c r="U88" s="54"/>
      <c r="V88" s="55"/>
      <c r="W88" s="62">
        <f>LOOKUP(B88, FIXOM_VAROM!$C$8:$C$190, FIXOM_VAROM!$D$8:$D$190)</f>
        <v>100</v>
      </c>
      <c r="X88" s="40">
        <f>LOOKUP($B88, INVCOST!$C$8:$C$193, INVCOST!D$8:D$193)</f>
        <v>602</v>
      </c>
      <c r="Y88" s="40">
        <f>LOOKUP($B88, INVCOST!$C$8:$C$193, INVCOST!E$8:E$193)</f>
        <v>602</v>
      </c>
      <c r="Z88" s="40">
        <f>LOOKUP($B88, INVCOST!$C$8:$C$193, INVCOST!F$8:F$193)</f>
        <v>602</v>
      </c>
      <c r="AA88" s="40">
        <f>LOOKUP($B88, INVCOST!$C$8:$C$193, INVCOST!G$8:G$193)</f>
        <v>602</v>
      </c>
      <c r="AB88" s="40">
        <f>LOOKUP($B88, INVCOST!$C$8:$C$193, INVCOST!H$8:H$193)</f>
        <v>602</v>
      </c>
      <c r="AC88" s="40">
        <f>LOOKUP($B88, INVCOST!$C$8:$C$193, INVCOST!I$8:I$193)</f>
        <v>602</v>
      </c>
      <c r="AD88" s="40">
        <f>LOOKUP($B88, INVCOST!$C$8:$C$193, INVCOST!J$8:J$193)</f>
        <v>602</v>
      </c>
      <c r="AE88" s="40">
        <f>LOOKUP($B88, INVCOST!$C$8:$C$193, INVCOST!K$8:K$193)</f>
        <v>602</v>
      </c>
    </row>
    <row r="89" spans="2:31" s="39" customFormat="1" x14ac:dyDescent="0.3">
      <c r="B89" s="209"/>
      <c r="C89" s="209"/>
      <c r="D89" s="209" t="s">
        <v>39</v>
      </c>
      <c r="E89" s="209"/>
      <c r="F89" s="209"/>
      <c r="G89" s="59"/>
      <c r="H89" s="40"/>
      <c r="I89" s="65"/>
      <c r="J89" s="60"/>
      <c r="K89" s="42"/>
      <c r="L89" s="42"/>
      <c r="M89" s="263"/>
      <c r="N89" s="263"/>
      <c r="O89" s="263"/>
      <c r="P89" s="263"/>
      <c r="Q89" s="263"/>
      <c r="R89" s="40"/>
      <c r="S89" s="40"/>
      <c r="T89" s="40"/>
      <c r="U89" s="40"/>
      <c r="V89" s="41"/>
      <c r="W89" s="60"/>
      <c r="X89" s="40"/>
      <c r="Y89" s="40"/>
      <c r="Z89" s="40"/>
      <c r="AA89" s="40"/>
      <c r="AB89" s="40"/>
      <c r="AC89" s="40"/>
      <c r="AD89" s="40"/>
      <c r="AE89" s="40"/>
    </row>
    <row r="90" spans="2:31" s="39" customFormat="1" x14ac:dyDescent="0.3">
      <c r="B90" s="209"/>
      <c r="C90" s="209"/>
      <c r="D90" s="209"/>
      <c r="E90" s="209"/>
      <c r="F90" s="209" t="s">
        <v>89</v>
      </c>
      <c r="G90" s="59"/>
      <c r="H90" s="40"/>
      <c r="I90" s="41"/>
      <c r="J90" s="60"/>
      <c r="K90" s="42"/>
      <c r="L90" s="42"/>
      <c r="M90" s="263">
        <f>LOOKUP($B$88, CEFF!$C$8:$C$156, CEFF!F$8:F$156)</f>
        <v>5.3269999999999998E-2</v>
      </c>
      <c r="N90" s="263">
        <f>LOOKUP($B$88, CEFF!$C$8:$C$156, CEFF!G$8:G$156)</f>
        <v>5.6779999999999997E-2</v>
      </c>
      <c r="O90" s="263">
        <f>LOOKUP($B$88, CEFF!$C$8:$C$156, CEFF!H$8:H$156)</f>
        <v>5.9740000000000001E-2</v>
      </c>
      <c r="P90" s="263">
        <f>LOOKUP($B$88, CEFF!$C$8:$C$156, CEFF!I$8:I$156)</f>
        <v>6.2770000000000006E-2</v>
      </c>
      <c r="Q90" s="263">
        <f>LOOKUP($B$88, CEFF!$C$8:$C$156, CEFF!J$8:J$156)</f>
        <v>6.608E-2</v>
      </c>
      <c r="R90" s="40"/>
      <c r="S90" s="40"/>
      <c r="T90" s="40"/>
      <c r="U90" s="40"/>
      <c r="V90" s="41"/>
      <c r="W90" s="60"/>
      <c r="X90" s="41"/>
      <c r="Y90" s="41"/>
      <c r="Z90" s="41"/>
      <c r="AA90" s="41"/>
      <c r="AB90" s="41"/>
      <c r="AC90" s="41"/>
      <c r="AD90" s="41"/>
      <c r="AE90" s="41"/>
    </row>
    <row r="91" spans="2:31" s="39" customFormat="1" x14ac:dyDescent="0.3">
      <c r="B91" s="210"/>
      <c r="C91" s="210"/>
      <c r="D91" s="210"/>
      <c r="E91" s="210"/>
      <c r="F91" s="210" t="s">
        <v>367</v>
      </c>
      <c r="G91" s="63"/>
      <c r="H91" s="45"/>
      <c r="I91" s="46"/>
      <c r="J91" s="64"/>
      <c r="K91" s="44"/>
      <c r="L91" s="44"/>
      <c r="M91" s="264">
        <f>LOOKUP($B$88, CEFF!$C$8:$C$156, CEFF!F$8:F$156)</f>
        <v>5.3269999999999998E-2</v>
      </c>
      <c r="N91" s="264">
        <f>LOOKUP($B$88, CEFF!$C$8:$C$156, CEFF!G$8:G$156)</f>
        <v>5.6779999999999997E-2</v>
      </c>
      <c r="O91" s="264">
        <f>LOOKUP($B$88, CEFF!$C$8:$C$156, CEFF!H$8:H$156)</f>
        <v>5.9740000000000001E-2</v>
      </c>
      <c r="P91" s="264">
        <f>LOOKUP($B$88, CEFF!$C$8:$C$156, CEFF!I$8:I$156)</f>
        <v>6.2770000000000006E-2</v>
      </c>
      <c r="Q91" s="264">
        <f>LOOKUP($B$88, CEFF!$C$8:$C$156, CEFF!J$8:J$156)</f>
        <v>6.608E-2</v>
      </c>
      <c r="R91" s="45"/>
      <c r="S91" s="45"/>
      <c r="T91" s="45"/>
      <c r="U91" s="45"/>
      <c r="V91" s="46"/>
      <c r="W91" s="64"/>
      <c r="X91" s="46"/>
      <c r="Y91" s="46"/>
      <c r="Z91" s="46"/>
      <c r="AA91" s="46"/>
      <c r="AB91" s="46"/>
      <c r="AC91" s="46"/>
      <c r="AD91" s="46"/>
      <c r="AE91" s="46"/>
    </row>
    <row r="92" spans="2:31" s="39" customFormat="1" x14ac:dyDescent="0.3">
      <c r="B92" s="209" t="s">
        <v>102</v>
      </c>
      <c r="C92" s="212" t="str">
        <f>LOOKUP(B92, TRA_COMM_PRO!$C$7:$C$189, TRA_COMM_PRO!$D$7:$D$189)</f>
        <v>Bus.Intercity.LPG.01.</v>
      </c>
      <c r="D92" s="209" t="s">
        <v>62</v>
      </c>
      <c r="E92" s="209"/>
      <c r="F92" s="209"/>
      <c r="G92" s="59">
        <f>$G$59</f>
        <v>2019</v>
      </c>
      <c r="H92" s="54">
        <f>$H$60</f>
        <v>10</v>
      </c>
      <c r="I92" s="155">
        <f>$I$60</f>
        <v>1E-3</v>
      </c>
      <c r="J92" s="60">
        <f>J84</f>
        <v>9</v>
      </c>
      <c r="K92" s="42"/>
      <c r="L92" s="42"/>
      <c r="M92" s="263"/>
      <c r="N92" s="263"/>
      <c r="O92" s="263"/>
      <c r="P92" s="263"/>
      <c r="Q92" s="263"/>
      <c r="R92" s="54">
        <f>$R$60</f>
        <v>70</v>
      </c>
      <c r="S92" s="40"/>
      <c r="T92" s="40"/>
      <c r="U92" s="40"/>
      <c r="V92" s="41"/>
      <c r="W92" s="62">
        <f>LOOKUP(B92, FIXOM_VAROM!$C$8:$C$190, FIXOM_VAROM!$D$8:$D$190)</f>
        <v>100</v>
      </c>
      <c r="X92" s="40">
        <f>LOOKUP($B92, INVCOST!$C$8:$C$193, INVCOST!D$8:D$193)</f>
        <v>260</v>
      </c>
      <c r="Y92" s="40">
        <f>LOOKUP($B92, INVCOST!$C$8:$C$193, INVCOST!E$8:E$193)</f>
        <v>260</v>
      </c>
      <c r="Z92" s="40">
        <f>LOOKUP($B92, INVCOST!$C$8:$C$193, INVCOST!F$8:F$193)</f>
        <v>260</v>
      </c>
      <c r="AA92" s="40">
        <f>LOOKUP($B92, INVCOST!$C$8:$C$193, INVCOST!G$8:G$193)</f>
        <v>260</v>
      </c>
      <c r="AB92" s="40">
        <f>LOOKUP($B92, INVCOST!$C$8:$C$193, INVCOST!H$8:H$193)</f>
        <v>260</v>
      </c>
      <c r="AC92" s="40">
        <f>LOOKUP($B92, INVCOST!$C$8:$C$193, INVCOST!I$8:I$193)</f>
        <v>260</v>
      </c>
      <c r="AD92" s="40">
        <f>LOOKUP($B92, INVCOST!$C$8:$C$193, INVCOST!J$8:J$193)</f>
        <v>260</v>
      </c>
      <c r="AE92" s="40">
        <f>LOOKUP($B92, INVCOST!$C$8:$C$193, INVCOST!K$8:K$193)</f>
        <v>260</v>
      </c>
    </row>
    <row r="93" spans="2:31" s="39" customFormat="1" x14ac:dyDescent="0.3">
      <c r="B93" s="209"/>
      <c r="C93" s="209"/>
      <c r="D93" s="209"/>
      <c r="E93" s="209"/>
      <c r="F93" s="209" t="s">
        <v>89</v>
      </c>
      <c r="G93" s="59"/>
      <c r="H93" s="40"/>
      <c r="I93" s="41"/>
      <c r="J93" s="60"/>
      <c r="K93" s="42"/>
      <c r="L93" s="42"/>
      <c r="M93" s="263">
        <f>LOOKUP($B$92, CEFF!$C$8:$C$156, CEFF!F$8:F$156)</f>
        <v>5.0610000000000002E-2</v>
      </c>
      <c r="N93" s="263">
        <f>LOOKUP($B$92, CEFF!$C$8:$C$156, CEFF!G$8:G$156)</f>
        <v>5.3940000000000002E-2</v>
      </c>
      <c r="O93" s="263">
        <f>LOOKUP($B$92, CEFF!$C$8:$C$156, CEFF!H$8:H$156)</f>
        <v>5.6750000000000002E-2</v>
      </c>
      <c r="P93" s="263">
        <f>LOOKUP($B$92, CEFF!$C$8:$C$156, CEFF!I$8:I$156)</f>
        <v>5.9630000000000002E-2</v>
      </c>
      <c r="Q93" s="263">
        <f>LOOKUP($B$92, CEFF!$C$8:$C$156, CEFF!J$8:J$156)</f>
        <v>6.2770000000000006E-2</v>
      </c>
      <c r="R93" s="40"/>
      <c r="S93" s="40"/>
      <c r="T93" s="40"/>
      <c r="U93" s="40"/>
      <c r="V93" s="41"/>
      <c r="W93" s="60"/>
      <c r="X93" s="60"/>
      <c r="Y93" s="60"/>
      <c r="Z93" s="60"/>
      <c r="AA93" s="60"/>
      <c r="AB93" s="60"/>
      <c r="AC93" s="60"/>
      <c r="AD93" s="60"/>
      <c r="AE93" s="60"/>
    </row>
    <row r="94" spans="2:31" s="39" customFormat="1" x14ac:dyDescent="0.3">
      <c r="B94" s="209"/>
      <c r="C94" s="209"/>
      <c r="D94" s="209"/>
      <c r="E94" s="209"/>
      <c r="F94" s="209" t="s">
        <v>367</v>
      </c>
      <c r="G94" s="63"/>
      <c r="H94" s="40"/>
      <c r="I94" s="41"/>
      <c r="J94" s="60"/>
      <c r="K94" s="42"/>
      <c r="L94" s="42"/>
      <c r="M94" s="264">
        <f>LOOKUP($B$92, CEFF!$C$8:$C$156, CEFF!F$8:F$156)</f>
        <v>5.0610000000000002E-2</v>
      </c>
      <c r="N94" s="264">
        <f>LOOKUP($B$92, CEFF!$C$8:$C$156, CEFF!G$8:G$156)</f>
        <v>5.3940000000000002E-2</v>
      </c>
      <c r="O94" s="264">
        <f>LOOKUP($B$92, CEFF!$C$8:$C$156, CEFF!H$8:H$156)</f>
        <v>5.6750000000000002E-2</v>
      </c>
      <c r="P94" s="264">
        <f>LOOKUP($B$92, CEFF!$C$8:$C$156, CEFF!I$8:I$156)</f>
        <v>5.9630000000000002E-2</v>
      </c>
      <c r="Q94" s="264">
        <f>LOOKUP($B$92, CEFF!$C$8:$C$156, CEFF!J$8:J$156)</f>
        <v>6.2770000000000006E-2</v>
      </c>
      <c r="R94" s="40"/>
      <c r="S94" s="40"/>
      <c r="T94" s="40"/>
      <c r="U94" s="40"/>
      <c r="V94" s="41"/>
      <c r="W94" s="60"/>
      <c r="X94" s="46"/>
      <c r="Y94" s="46"/>
      <c r="Z94" s="46"/>
      <c r="AA94" s="46"/>
      <c r="AB94" s="46"/>
      <c r="AC94" s="46"/>
      <c r="AD94" s="46"/>
      <c r="AE94" s="46"/>
    </row>
    <row r="95" spans="2:31" s="39" customFormat="1" x14ac:dyDescent="0.3">
      <c r="B95" s="212" t="s">
        <v>588</v>
      </c>
      <c r="C95" s="212" t="str">
        <f>LOOKUP(B95, TRA_COMM_PRO!$C$7:$C$189, TRA_COMM_PRO!$D$7:$D$189)</f>
        <v>Bus.Intercity.MTH.01.</v>
      </c>
      <c r="D95" s="212" t="s">
        <v>582</v>
      </c>
      <c r="E95" s="212"/>
      <c r="F95" s="212"/>
      <c r="G95" s="59">
        <f>$G$59</f>
        <v>2019</v>
      </c>
      <c r="H95" s="54">
        <f>$H$60</f>
        <v>10</v>
      </c>
      <c r="I95" s="155">
        <f>$I$60</f>
        <v>1E-3</v>
      </c>
      <c r="J95" s="62">
        <f>J92</f>
        <v>9</v>
      </c>
      <c r="K95" s="56"/>
      <c r="L95" s="56"/>
      <c r="M95" s="263"/>
      <c r="N95" s="263"/>
      <c r="O95" s="263"/>
      <c r="P95" s="263"/>
      <c r="Q95" s="263"/>
      <c r="R95" s="54">
        <f>$R$60</f>
        <v>70</v>
      </c>
      <c r="S95" s="54"/>
      <c r="T95" s="54"/>
      <c r="U95" s="54"/>
      <c r="V95" s="55"/>
      <c r="W95" s="62">
        <f>LOOKUP(B95, FIXOM_VAROM!$C$8:$C$190, FIXOM_VAROM!$D$8:$D$190)</f>
        <v>100</v>
      </c>
      <c r="X95" s="40">
        <f>LOOKUP($B95, INVCOST!$C$8:$C$193, INVCOST!D$8:D$193)</f>
        <v>312</v>
      </c>
      <c r="Y95" s="40">
        <f>LOOKUP($B95, INVCOST!$C$8:$C$193, INVCOST!E$8:E$193)</f>
        <v>312</v>
      </c>
      <c r="Z95" s="40">
        <f>LOOKUP($B95, INVCOST!$C$8:$C$193, INVCOST!F$8:F$193)</f>
        <v>312</v>
      </c>
      <c r="AA95" s="40">
        <f>LOOKUP($B95, INVCOST!$C$8:$C$193, INVCOST!G$8:G$193)</f>
        <v>312</v>
      </c>
      <c r="AB95" s="40">
        <f>LOOKUP($B95, INVCOST!$C$8:$C$193, INVCOST!H$8:H$193)</f>
        <v>312</v>
      </c>
      <c r="AC95" s="40">
        <f>LOOKUP($B95, INVCOST!$C$8:$C$193, INVCOST!I$8:I$193)</f>
        <v>312</v>
      </c>
      <c r="AD95" s="40">
        <f>LOOKUP($B95, INVCOST!$C$8:$C$193, INVCOST!J$8:J$193)</f>
        <v>312</v>
      </c>
      <c r="AE95" s="40">
        <f>LOOKUP($B95, INVCOST!$C$8:$C$193, INVCOST!K$8:K$193)</f>
        <v>312</v>
      </c>
    </row>
    <row r="96" spans="2:31" s="39" customFormat="1" x14ac:dyDescent="0.3">
      <c r="B96" s="209"/>
      <c r="C96" s="209"/>
      <c r="D96" s="209"/>
      <c r="E96" s="209"/>
      <c r="F96" s="209" t="s">
        <v>89</v>
      </c>
      <c r="G96" s="59"/>
      <c r="H96" s="40"/>
      <c r="I96" s="41"/>
      <c r="J96" s="60"/>
      <c r="K96" s="42"/>
      <c r="L96" s="42"/>
      <c r="M96" s="263">
        <f>LOOKUP($B$95, CEFF!$C$8:$C$156, CEFF!F$8:F$156)</f>
        <v>5.0610000000000002E-2</v>
      </c>
      <c r="N96" s="263">
        <f>LOOKUP($B$95, CEFF!$C$8:$C$156, CEFF!G$8:G$156)</f>
        <v>5.3940000000000002E-2</v>
      </c>
      <c r="O96" s="263">
        <f>LOOKUP($B$95, CEFF!$C$8:$C$156, CEFF!H$8:H$156)</f>
        <v>5.6750000000000002E-2</v>
      </c>
      <c r="P96" s="263">
        <f>LOOKUP($B$95, CEFF!$C$8:$C$156, CEFF!I$8:I$156)</f>
        <v>5.9630000000000002E-2</v>
      </c>
      <c r="Q96" s="263">
        <f>LOOKUP($B$95, CEFF!$C$8:$C$156, CEFF!J$8:J$156)</f>
        <v>6.2770000000000006E-2</v>
      </c>
      <c r="R96" s="40"/>
      <c r="S96" s="40"/>
      <c r="T96" s="40"/>
      <c r="U96" s="40"/>
      <c r="V96" s="41"/>
      <c r="W96" s="60"/>
      <c r="X96" s="60"/>
      <c r="Y96" s="60"/>
      <c r="Z96" s="60"/>
      <c r="AA96" s="60"/>
      <c r="AB96" s="60"/>
      <c r="AC96" s="60"/>
      <c r="AD96" s="60"/>
      <c r="AE96" s="60"/>
    </row>
    <row r="97" spans="2:31" s="39" customFormat="1" x14ac:dyDescent="0.3">
      <c r="B97" s="209"/>
      <c r="C97" s="209"/>
      <c r="D97" s="209"/>
      <c r="E97" s="209"/>
      <c r="F97" s="209" t="s">
        <v>367</v>
      </c>
      <c r="G97" s="63"/>
      <c r="H97" s="40"/>
      <c r="I97" s="41"/>
      <c r="J97" s="60"/>
      <c r="K97" s="42"/>
      <c r="L97" s="42"/>
      <c r="M97" s="264">
        <f>LOOKUP($B$95, CEFF!$C$8:$C$156, CEFF!F$8:F$156)</f>
        <v>5.0610000000000002E-2</v>
      </c>
      <c r="N97" s="264">
        <f>LOOKUP($B$95, CEFF!$C$8:$C$156, CEFF!G$8:G$156)</f>
        <v>5.3940000000000002E-2</v>
      </c>
      <c r="O97" s="264">
        <f>LOOKUP($B$95, CEFF!$C$8:$C$156, CEFF!H$8:H$156)</f>
        <v>5.6750000000000002E-2</v>
      </c>
      <c r="P97" s="264">
        <f>LOOKUP($B$95, CEFF!$C$8:$C$156, CEFF!I$8:I$156)</f>
        <v>5.9630000000000002E-2</v>
      </c>
      <c r="Q97" s="264">
        <f>LOOKUP($B$95, CEFF!$C$8:$C$156, CEFF!J$8:J$156)</f>
        <v>6.2770000000000006E-2</v>
      </c>
      <c r="R97" s="42"/>
      <c r="S97" s="42"/>
      <c r="T97" s="42"/>
      <c r="U97" s="42"/>
      <c r="V97" s="42"/>
      <c r="W97" s="60"/>
      <c r="X97" s="46"/>
      <c r="Y97" s="46"/>
      <c r="Z97" s="46"/>
      <c r="AA97" s="46"/>
      <c r="AB97" s="46"/>
      <c r="AC97" s="46"/>
      <c r="AD97" s="46"/>
      <c r="AE97" s="46"/>
    </row>
    <row r="98" spans="2:31" s="39" customFormat="1" x14ac:dyDescent="0.3">
      <c r="B98" s="212" t="s">
        <v>405</v>
      </c>
      <c r="C98" s="212" t="str">
        <f>LOOKUP(B98, TRA_COMM_PRO!$C$7:$C$189, TRA_COMM_PRO!$D$7:$D$189)</f>
        <v>Bus.Intercity.Plugin-Hybrid.DST.01.</v>
      </c>
      <c r="D98" s="212" t="s">
        <v>44</v>
      </c>
      <c r="E98" s="212"/>
      <c r="F98" s="212"/>
      <c r="G98" s="59">
        <f>$G$5</f>
        <v>2019</v>
      </c>
      <c r="H98" s="54">
        <f>$H$60</f>
        <v>10</v>
      </c>
      <c r="I98" s="155">
        <f>$I$60</f>
        <v>1E-3</v>
      </c>
      <c r="J98" s="62">
        <f>J95</f>
        <v>9</v>
      </c>
      <c r="K98" s="56"/>
      <c r="L98" s="56"/>
      <c r="M98" s="263"/>
      <c r="N98" s="263"/>
      <c r="O98" s="263"/>
      <c r="P98" s="263"/>
      <c r="Q98" s="263"/>
      <c r="R98" s="54">
        <f>$R$60</f>
        <v>70</v>
      </c>
      <c r="S98" s="56"/>
      <c r="T98" s="56"/>
      <c r="U98" s="56"/>
      <c r="V98" s="56"/>
      <c r="W98" s="62">
        <f>LOOKUP(B98, FIXOM_VAROM!$C$8:$C$190, FIXOM_VAROM!$D$8:$D$190)</f>
        <v>100</v>
      </c>
      <c r="X98" s="40">
        <f>LOOKUP($B98, INVCOST!$C$8:$C$193, INVCOST!D$8:D$193)</f>
        <v>722.4</v>
      </c>
      <c r="Y98" s="40">
        <f>LOOKUP($B98, INVCOST!$C$8:$C$193, INVCOST!E$8:E$193)</f>
        <v>722.4</v>
      </c>
      <c r="Z98" s="40">
        <f>LOOKUP($B98, INVCOST!$C$8:$C$193, INVCOST!F$8:F$193)</f>
        <v>722.4</v>
      </c>
      <c r="AA98" s="40">
        <f>LOOKUP($B98, INVCOST!$C$8:$C$193, INVCOST!G$8:G$193)</f>
        <v>722.4</v>
      </c>
      <c r="AB98" s="40">
        <f>LOOKUP($B98, INVCOST!$C$8:$C$193, INVCOST!H$8:H$193)</f>
        <v>722.4</v>
      </c>
      <c r="AC98" s="40">
        <f>LOOKUP($B98, INVCOST!$C$8:$C$193, INVCOST!I$8:I$193)</f>
        <v>722.4</v>
      </c>
      <c r="AD98" s="40">
        <f>LOOKUP($B98, INVCOST!$C$8:$C$193, INVCOST!J$8:J$193)</f>
        <v>722.4</v>
      </c>
      <c r="AE98" s="40">
        <f>LOOKUP($B98, INVCOST!$C$8:$C$193, INVCOST!K$8:K$193)</f>
        <v>722.4</v>
      </c>
    </row>
    <row r="99" spans="2:31" s="39" customFormat="1" x14ac:dyDescent="0.3">
      <c r="B99" s="209"/>
      <c r="C99" s="209"/>
      <c r="D99" s="209" t="s">
        <v>48</v>
      </c>
      <c r="E99" s="209"/>
      <c r="F99" s="209"/>
      <c r="G99" s="50"/>
      <c r="H99" s="40"/>
      <c r="I99" s="65"/>
      <c r="J99" s="60"/>
      <c r="K99" s="42"/>
      <c r="L99" s="42"/>
      <c r="M99" s="263"/>
      <c r="N99" s="263"/>
      <c r="O99" s="263"/>
      <c r="P99" s="263"/>
      <c r="Q99" s="263"/>
      <c r="R99" s="40"/>
      <c r="S99" s="40"/>
      <c r="T99" s="40"/>
      <c r="U99" s="40"/>
      <c r="V99" s="41"/>
      <c r="W99" s="60"/>
      <c r="X99" s="40"/>
      <c r="Y99" s="40"/>
      <c r="Z99" s="40"/>
      <c r="AA99" s="40"/>
      <c r="AB99" s="40"/>
      <c r="AC99" s="40"/>
      <c r="AD99" s="40"/>
      <c r="AE99" s="40"/>
    </row>
    <row r="100" spans="2:31" s="39" customFormat="1" x14ac:dyDescent="0.3">
      <c r="B100" s="209"/>
      <c r="C100" s="209"/>
      <c r="D100" s="209"/>
      <c r="E100" s="209"/>
      <c r="F100" s="209" t="s">
        <v>89</v>
      </c>
      <c r="G100" s="50"/>
      <c r="H100" s="40"/>
      <c r="I100" s="65"/>
      <c r="J100" s="60"/>
      <c r="K100" s="42"/>
      <c r="L100" s="42"/>
      <c r="M100" s="263">
        <f>LOOKUP($B$98, CEFF!$C$8:$C$156, CEFF!F$8:F$156)</f>
        <v>8.4110000000000004E-2</v>
      </c>
      <c r="N100" s="263">
        <f>LOOKUP($B$98, CEFF!$C$8:$C$156, CEFF!G$8:G$156)</f>
        <v>8.9800000000000005E-2</v>
      </c>
      <c r="O100" s="263">
        <f>LOOKUP($B$98, CEFF!$C$8:$C$156, CEFF!H$8:H$156)</f>
        <v>9.4369999999999996E-2</v>
      </c>
      <c r="P100" s="263">
        <f>LOOKUP($B$98, CEFF!$C$8:$C$156, CEFF!I$8:I$156)</f>
        <v>9.9419999999999994E-2</v>
      </c>
      <c r="Q100" s="263">
        <f>LOOKUP($B$98, CEFF!$C$8:$C$156, CEFF!J$8:J$156)</f>
        <v>0.10439</v>
      </c>
      <c r="R100" s="40"/>
      <c r="S100" s="40"/>
      <c r="T100" s="40"/>
      <c r="U100" s="40"/>
      <c r="V100" s="41"/>
      <c r="W100" s="60"/>
      <c r="X100" s="40"/>
      <c r="Y100" s="40"/>
      <c r="Z100" s="40"/>
      <c r="AA100" s="40"/>
      <c r="AB100" s="40"/>
      <c r="AC100" s="40"/>
      <c r="AD100" s="40"/>
      <c r="AE100" s="40"/>
    </row>
    <row r="101" spans="2:31" s="39" customFormat="1" x14ac:dyDescent="0.3">
      <c r="B101" s="209"/>
      <c r="C101" s="210"/>
      <c r="D101" s="209"/>
      <c r="E101" s="209"/>
      <c r="F101" s="209" t="s">
        <v>367</v>
      </c>
      <c r="G101" s="63"/>
      <c r="H101" s="40"/>
      <c r="I101" s="41"/>
      <c r="J101" s="60"/>
      <c r="K101" s="42"/>
      <c r="L101" s="42"/>
      <c r="M101" s="264">
        <f>LOOKUP($B$98, CEFF!$C$8:$C$156, CEFF!F$8:F$156)</f>
        <v>8.4110000000000004E-2</v>
      </c>
      <c r="N101" s="264">
        <f>LOOKUP($B$98, CEFF!$C$8:$C$156, CEFF!G$8:G$156)</f>
        <v>8.9800000000000005E-2</v>
      </c>
      <c r="O101" s="264">
        <f>LOOKUP($B$98, CEFF!$C$8:$C$156, CEFF!H$8:H$156)</f>
        <v>9.4369999999999996E-2</v>
      </c>
      <c r="P101" s="264">
        <f>LOOKUP($B$98, CEFF!$C$8:$C$156, CEFF!I$8:I$156)</f>
        <v>9.9419999999999994E-2</v>
      </c>
      <c r="Q101" s="264">
        <f>LOOKUP($B$98, CEFF!$C$8:$C$156, CEFF!J$8:J$156)</f>
        <v>0.10439</v>
      </c>
      <c r="R101" s="40"/>
      <c r="S101" s="40"/>
      <c r="T101" s="40"/>
      <c r="U101" s="40"/>
      <c r="V101" s="41"/>
      <c r="W101" s="60"/>
      <c r="X101" s="45"/>
      <c r="Y101" s="45"/>
      <c r="Z101" s="45"/>
      <c r="AA101" s="45"/>
      <c r="AB101" s="45"/>
      <c r="AC101" s="45"/>
      <c r="AD101" s="45"/>
      <c r="AE101" s="45"/>
    </row>
    <row r="102" spans="2:31" s="39" customFormat="1" x14ac:dyDescent="0.3">
      <c r="B102" s="212" t="s">
        <v>406</v>
      </c>
      <c r="C102" s="212" t="str">
        <f>LOOKUP(B102, TRA_COMM_PRO!$C$7:$C$189, TRA_COMM_PRO!$D$7:$D$189)</f>
        <v>Bus.Intercity.Plugin-Hybrid.GSL.01.</v>
      </c>
      <c r="D102" s="212" t="s">
        <v>40</v>
      </c>
      <c r="E102" s="212"/>
      <c r="F102" s="212"/>
      <c r="G102" s="59">
        <f>$G$5</f>
        <v>2019</v>
      </c>
      <c r="H102" s="54">
        <f>$H$60</f>
        <v>10</v>
      </c>
      <c r="I102" s="155">
        <f>$I$60</f>
        <v>1E-3</v>
      </c>
      <c r="J102" s="62">
        <f>J98</f>
        <v>9</v>
      </c>
      <c r="K102" s="56"/>
      <c r="L102" s="56">
        <v>0.05</v>
      </c>
      <c r="M102" s="263"/>
      <c r="N102" s="263"/>
      <c r="O102" s="263"/>
      <c r="P102" s="263"/>
      <c r="Q102" s="263"/>
      <c r="R102" s="54">
        <f>$R$60</f>
        <v>70</v>
      </c>
      <c r="S102" s="54"/>
      <c r="T102" s="54"/>
      <c r="U102" s="54"/>
      <c r="V102" s="55"/>
      <c r="W102" s="62">
        <f>LOOKUP(B102, FIXOM_VAROM!$C$8:$C$190, FIXOM_VAROM!$D$8:$D$190)</f>
        <v>100</v>
      </c>
      <c r="X102" s="40">
        <f>LOOKUP($B102, INVCOST!$C$8:$C$193, INVCOST!D$8:D$193)</f>
        <v>722.4</v>
      </c>
      <c r="Y102" s="40">
        <f>LOOKUP($B102, INVCOST!$C$8:$C$193, INVCOST!E$8:E$193)</f>
        <v>722.4</v>
      </c>
      <c r="Z102" s="40">
        <f>LOOKUP($B102, INVCOST!$C$8:$C$193, INVCOST!F$8:F$193)</f>
        <v>722.4</v>
      </c>
      <c r="AA102" s="40">
        <f>LOOKUP($B102, INVCOST!$C$8:$C$193, INVCOST!G$8:G$193)</f>
        <v>722.4</v>
      </c>
      <c r="AB102" s="40">
        <f>LOOKUP($B102, INVCOST!$C$8:$C$193, INVCOST!H$8:H$193)</f>
        <v>722.4</v>
      </c>
      <c r="AC102" s="40">
        <f>LOOKUP($B102, INVCOST!$C$8:$C$193, INVCOST!I$8:I$193)</f>
        <v>722.4</v>
      </c>
      <c r="AD102" s="40">
        <f>LOOKUP($B102, INVCOST!$C$8:$C$193, INVCOST!J$8:J$193)</f>
        <v>722.4</v>
      </c>
      <c r="AE102" s="40">
        <f>LOOKUP($B102, INVCOST!$C$8:$C$193, INVCOST!K$8:K$193)</f>
        <v>722.4</v>
      </c>
    </row>
    <row r="103" spans="2:31" s="39" customFormat="1" x14ac:dyDescent="0.3">
      <c r="B103" s="209"/>
      <c r="C103" s="209"/>
      <c r="D103" s="209" t="s">
        <v>39</v>
      </c>
      <c r="E103" s="209"/>
      <c r="F103" s="209"/>
      <c r="G103" s="59"/>
      <c r="H103" s="40"/>
      <c r="I103" s="65"/>
      <c r="J103" s="60"/>
      <c r="K103" s="42"/>
      <c r="L103" s="42"/>
      <c r="M103" s="43"/>
      <c r="N103" s="43"/>
      <c r="O103" s="43"/>
      <c r="P103" s="43"/>
      <c r="Q103" s="43"/>
      <c r="R103" s="40"/>
      <c r="S103" s="40"/>
      <c r="T103" s="40"/>
      <c r="U103" s="40"/>
      <c r="V103" s="41"/>
      <c r="W103" s="42"/>
      <c r="X103" s="40"/>
      <c r="Y103" s="40"/>
      <c r="Z103" s="40"/>
      <c r="AA103" s="40"/>
      <c r="AB103" s="40"/>
      <c r="AC103" s="40"/>
      <c r="AD103" s="40"/>
      <c r="AE103" s="40"/>
    </row>
    <row r="104" spans="2:31" s="39" customFormat="1" x14ac:dyDescent="0.3">
      <c r="B104" s="209"/>
      <c r="C104" s="209"/>
      <c r="D104" s="209"/>
      <c r="E104" s="209"/>
      <c r="F104" s="209" t="s">
        <v>89</v>
      </c>
      <c r="G104" s="50"/>
      <c r="H104" s="40"/>
      <c r="I104" s="65"/>
      <c r="J104" s="60"/>
      <c r="K104" s="42"/>
      <c r="L104" s="42"/>
      <c r="M104" s="263">
        <f>LOOKUP($B$102, CEFF!$C$8:$C$156, CEFF!F$8:F$156)</f>
        <v>5.6230000000000002E-2</v>
      </c>
      <c r="N104" s="263">
        <f>LOOKUP($B$102, CEFF!$C$8:$C$156, CEFF!G$8:G$156)</f>
        <v>5.9929999999999997E-2</v>
      </c>
      <c r="O104" s="263">
        <f>LOOKUP($B$102, CEFF!$C$8:$C$156, CEFF!H$8:H$156)</f>
        <v>6.3060000000000005E-2</v>
      </c>
      <c r="P104" s="263">
        <f>LOOKUP($B$102, CEFF!$C$8:$C$156, CEFF!I$8:I$156)</f>
        <v>6.6259999999999999E-2</v>
      </c>
      <c r="Q104" s="263">
        <f>LOOKUP($B$102, CEFF!$C$8:$C$156, CEFF!J$8:J$156)</f>
        <v>6.9750000000000006E-2</v>
      </c>
      <c r="R104" s="40"/>
      <c r="S104" s="40"/>
      <c r="T104" s="40"/>
      <c r="U104" s="40"/>
      <c r="V104" s="41"/>
      <c r="W104" s="41"/>
      <c r="X104" s="40"/>
      <c r="Y104" s="40"/>
      <c r="Z104" s="40"/>
      <c r="AA104" s="40"/>
      <c r="AB104" s="40"/>
      <c r="AC104" s="40"/>
      <c r="AD104" s="40"/>
      <c r="AE104" s="40"/>
    </row>
    <row r="105" spans="2:31" s="39" customFormat="1" x14ac:dyDescent="0.3">
      <c r="B105" s="213"/>
      <c r="C105" s="213"/>
      <c r="D105" s="213"/>
      <c r="E105" s="213"/>
      <c r="F105" s="213" t="s">
        <v>367</v>
      </c>
      <c r="G105" s="195"/>
      <c r="H105" s="181"/>
      <c r="I105" s="179"/>
      <c r="J105" s="182"/>
      <c r="K105" s="177"/>
      <c r="L105" s="177"/>
      <c r="M105" s="265">
        <f>LOOKUP($B$102, CEFF!$C$8:$C$156, CEFF!F$8:F$156)</f>
        <v>5.6230000000000002E-2</v>
      </c>
      <c r="N105" s="265">
        <f>LOOKUP($B$102, CEFF!$C$8:$C$156, CEFF!G$8:G$156)</f>
        <v>5.9929999999999997E-2</v>
      </c>
      <c r="O105" s="265">
        <f>LOOKUP($B$102, CEFF!$C$8:$C$156, CEFF!H$8:H$156)</f>
        <v>6.3060000000000005E-2</v>
      </c>
      <c r="P105" s="265">
        <f>LOOKUP($B$102, CEFF!$C$8:$C$156, CEFF!I$8:I$156)</f>
        <v>6.6259999999999999E-2</v>
      </c>
      <c r="Q105" s="265">
        <f>LOOKUP($B$102, CEFF!$C$8:$C$156, CEFF!J$8:J$156)</f>
        <v>6.9750000000000006E-2</v>
      </c>
      <c r="R105" s="181"/>
      <c r="S105" s="181"/>
      <c r="T105" s="181"/>
      <c r="U105" s="181"/>
      <c r="V105" s="179"/>
      <c r="W105" s="179"/>
      <c r="X105" s="181"/>
      <c r="Y105" s="181"/>
      <c r="Z105" s="181"/>
      <c r="AA105" s="181"/>
      <c r="AB105" s="181"/>
      <c r="AC105" s="181"/>
      <c r="AD105" s="181"/>
      <c r="AE105" s="181"/>
    </row>
    <row r="106" spans="2:31" s="39" customFormat="1" x14ac:dyDescent="0.3">
      <c r="H106" s="36"/>
      <c r="I106" s="37"/>
      <c r="J106" s="38"/>
      <c r="K106" s="58"/>
      <c r="L106" s="58"/>
      <c r="M106" s="38"/>
      <c r="N106" s="38"/>
      <c r="O106" s="38"/>
      <c r="P106" s="38"/>
      <c r="Q106" s="38"/>
      <c r="R106" s="36"/>
      <c r="S106" s="36"/>
      <c r="T106" s="36"/>
      <c r="U106" s="36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</row>
  </sheetData>
  <sortState ref="D102:D103">
    <sortCondition ref="D102"/>
  </sortState>
  <conditionalFormatting sqref="D67:E68 E66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E323"/>
  <sheetViews>
    <sheetView zoomScale="75" zoomScaleNormal="75" workbookViewId="0">
      <selection activeCell="G5" sqref="G5"/>
    </sheetView>
  </sheetViews>
  <sheetFormatPr defaultRowHeight="14.4" x14ac:dyDescent="0.3"/>
  <cols>
    <col min="2" max="2" width="25.88671875" customWidth="1"/>
    <col min="3" max="3" width="38.44140625" bestFit="1" customWidth="1"/>
    <col min="4" max="4" width="10.5546875" bestFit="1" customWidth="1"/>
    <col min="5" max="5" width="11.44140625" bestFit="1" customWidth="1"/>
    <col min="6" max="6" width="11.109375" bestFit="1" customWidth="1"/>
    <col min="7" max="7" width="11.44140625" style="39" bestFit="1" customWidth="1"/>
    <col min="8" max="8" width="6.33203125" bestFit="1" customWidth="1"/>
    <col min="10" max="10" width="14.33203125" bestFit="1" customWidth="1"/>
    <col min="11" max="11" width="9.6640625" bestFit="1" customWidth="1"/>
    <col min="12" max="12" width="9.88671875" bestFit="1" customWidth="1"/>
    <col min="13" max="17" width="10.6640625" customWidth="1"/>
    <col min="18" max="21" width="13.44140625" customWidth="1"/>
    <col min="22" max="22" width="11" customWidth="1"/>
    <col min="23" max="23" width="9.88671875" customWidth="1"/>
    <col min="24" max="31" width="14.6640625" customWidth="1"/>
  </cols>
  <sheetData>
    <row r="3" spans="2:31" x14ac:dyDescent="0.3">
      <c r="B3" s="6" t="s">
        <v>545</v>
      </c>
      <c r="C3" s="7"/>
      <c r="D3" s="8"/>
      <c r="E3" s="8"/>
      <c r="F3" s="9" t="s">
        <v>1</v>
      </c>
      <c r="G3" s="4"/>
    </row>
    <row r="4" spans="2:31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200" t="s">
        <v>6</v>
      </c>
      <c r="G4" s="200" t="s">
        <v>186</v>
      </c>
      <c r="H4" s="201" t="s">
        <v>185</v>
      </c>
      <c r="I4" s="201" t="s">
        <v>11</v>
      </c>
      <c r="J4" s="200" t="s">
        <v>12</v>
      </c>
      <c r="K4" s="200" t="s">
        <v>7</v>
      </c>
      <c r="L4" s="200" t="s">
        <v>8</v>
      </c>
      <c r="M4" s="201" t="s">
        <v>688</v>
      </c>
      <c r="N4" s="201" t="s">
        <v>321</v>
      </c>
      <c r="O4" s="201" t="s">
        <v>322</v>
      </c>
      <c r="P4" s="201" t="s">
        <v>9</v>
      </c>
      <c r="Q4" s="201" t="s">
        <v>10</v>
      </c>
      <c r="R4" s="201" t="s">
        <v>687</v>
      </c>
      <c r="S4" s="201" t="s">
        <v>448</v>
      </c>
      <c r="T4" s="201" t="s">
        <v>13</v>
      </c>
      <c r="U4" s="201" t="s">
        <v>382</v>
      </c>
      <c r="V4" s="201" t="s">
        <v>42</v>
      </c>
      <c r="W4" s="201" t="s">
        <v>14</v>
      </c>
      <c r="X4" s="201" t="s">
        <v>381</v>
      </c>
      <c r="Y4" s="201" t="s">
        <v>15</v>
      </c>
      <c r="Z4" s="201" t="s">
        <v>16</v>
      </c>
      <c r="AA4" s="201" t="s">
        <v>17</v>
      </c>
      <c r="AB4" s="201" t="s">
        <v>18</v>
      </c>
      <c r="AC4" s="201" t="s">
        <v>19</v>
      </c>
      <c r="AD4" s="201" t="s">
        <v>20</v>
      </c>
      <c r="AE4" s="201" t="s">
        <v>21</v>
      </c>
    </row>
    <row r="5" spans="2:31" ht="33.75" customHeight="1" thickBot="1" x14ac:dyDescent="0.35">
      <c r="B5" s="202" t="s">
        <v>22</v>
      </c>
      <c r="C5" s="202"/>
      <c r="D5" s="202"/>
      <c r="E5" s="202"/>
      <c r="F5" s="203" t="s">
        <v>23</v>
      </c>
      <c r="G5" s="203">
        <v>2019</v>
      </c>
      <c r="H5" s="204" t="s">
        <v>26</v>
      </c>
      <c r="I5" s="204" t="s">
        <v>543</v>
      </c>
      <c r="J5" s="204" t="s">
        <v>126</v>
      </c>
      <c r="K5" s="203"/>
      <c r="L5" s="203"/>
      <c r="M5" s="205" t="s">
        <v>653</v>
      </c>
      <c r="N5" s="205" t="s">
        <v>653</v>
      </c>
      <c r="O5" s="205" t="s">
        <v>653</v>
      </c>
      <c r="P5" s="205" t="s">
        <v>653</v>
      </c>
      <c r="Q5" s="205" t="s">
        <v>653</v>
      </c>
      <c r="R5" s="204" t="s">
        <v>658</v>
      </c>
      <c r="S5" s="204" t="s">
        <v>658</v>
      </c>
      <c r="T5" s="204" t="s">
        <v>658</v>
      </c>
      <c r="U5" s="204" t="s">
        <v>658</v>
      </c>
      <c r="V5" s="206" t="s">
        <v>662</v>
      </c>
      <c r="W5" s="206" t="s">
        <v>661</v>
      </c>
      <c r="X5" s="206" t="s">
        <v>657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</row>
    <row r="6" spans="2:31" s="39" customFormat="1" x14ac:dyDescent="0.3">
      <c r="B6" s="207" t="s">
        <v>132</v>
      </c>
      <c r="C6" s="208" t="str">
        <f>LOOKUP(B6, TRA_COMM_PRO!$C$7:$C$189, TRA_COMM_PRO!$D$7:$D$189)</f>
        <v>Truck.Light.BDL.01.</v>
      </c>
      <c r="D6" s="207" t="s">
        <v>44</v>
      </c>
      <c r="E6" s="207"/>
      <c r="F6" s="207"/>
      <c r="G6" s="10">
        <f>$G$5</f>
        <v>2019</v>
      </c>
      <c r="H6" s="71">
        <v>15</v>
      </c>
      <c r="I6" s="156">
        <f>10^-3</f>
        <v>1E-3</v>
      </c>
      <c r="J6" s="72">
        <v>0.3</v>
      </c>
      <c r="K6" s="73"/>
      <c r="L6" s="73"/>
      <c r="M6" s="71"/>
      <c r="N6" s="71"/>
      <c r="O6" s="71"/>
      <c r="P6" s="71"/>
      <c r="Q6" s="71"/>
      <c r="R6" s="71">
        <v>20</v>
      </c>
      <c r="S6" s="71"/>
      <c r="T6" s="71"/>
      <c r="U6" s="71"/>
      <c r="V6" s="72"/>
      <c r="W6" s="62">
        <f>LOOKUP(B6, FIXOM_VAROM!$C$8:$C$190, FIXOM_VAROM!$D$8:$D$190)</f>
        <v>50</v>
      </c>
      <c r="X6" s="40">
        <f>LOOKUP($B6, INVCOST!$C$8:$C$193, INVCOST!D$8:D$193)</f>
        <v>21.434999999999999</v>
      </c>
      <c r="Y6" s="40">
        <f>LOOKUP($B6, INVCOST!$C$8:$C$193, INVCOST!E$8:E$193)</f>
        <v>21.155000000000001</v>
      </c>
      <c r="Z6" s="40">
        <f>LOOKUP($B6, INVCOST!$C$8:$C$193, INVCOST!F$8:F$193)</f>
        <v>21.132000000000001</v>
      </c>
      <c r="AA6" s="40">
        <f>LOOKUP($B6, INVCOST!$C$8:$C$193, INVCOST!G$8:G$193)</f>
        <v>21.117999999999999</v>
      </c>
      <c r="AB6" s="40">
        <f>LOOKUP($B6, INVCOST!$C$8:$C$193, INVCOST!H$8:H$193)</f>
        <v>21.108000000000001</v>
      </c>
      <c r="AC6" s="40">
        <f>LOOKUP($B6, INVCOST!$C$8:$C$193, INVCOST!I$8:I$193)</f>
        <v>21.1</v>
      </c>
      <c r="AD6" s="40">
        <f>LOOKUP($B6, INVCOST!$C$8:$C$193, INVCOST!J$8:J$193)</f>
        <v>21.093</v>
      </c>
      <c r="AE6" s="40">
        <f>LOOKUP($B6, INVCOST!$C$8:$C$193, INVCOST!K$8:K$193)</f>
        <v>21.088000000000001</v>
      </c>
    </row>
    <row r="7" spans="2:31" s="39" customFormat="1" x14ac:dyDescent="0.3">
      <c r="B7" s="209"/>
      <c r="C7" s="211"/>
      <c r="D7" s="209"/>
      <c r="E7" s="209"/>
      <c r="F7" s="209" t="s">
        <v>333</v>
      </c>
      <c r="G7" s="50"/>
      <c r="H7" s="40"/>
      <c r="I7" s="41"/>
      <c r="J7" s="41"/>
      <c r="K7" s="42"/>
      <c r="L7" s="42"/>
      <c r="M7" s="164">
        <f>LOOKUP($B6, CEFF!$C$8:$C$156, CEFF!F$8:F$156)</f>
        <v>0.57471000000000005</v>
      </c>
      <c r="N7" s="164">
        <f>LOOKUP($B6, CEFF!$C$8:$C$156, CEFF!G$8:G$156)</f>
        <v>0.61350000000000005</v>
      </c>
      <c r="O7" s="164">
        <f>LOOKUP($B6, CEFF!$C$8:$C$156, CEFF!H$8:H$156)</f>
        <v>0.64515999999999996</v>
      </c>
      <c r="P7" s="164">
        <f>LOOKUP($B6, CEFF!$C$8:$C$156, CEFF!I$8:I$156)</f>
        <v>0.68027000000000004</v>
      </c>
      <c r="Q7" s="164">
        <f>LOOKUP($B6, CEFF!$C$8:$C$156, CEFF!J$8:J$156)</f>
        <v>0.71428999999999998</v>
      </c>
      <c r="R7" s="40"/>
      <c r="S7" s="40"/>
      <c r="T7" s="40"/>
      <c r="U7" s="40"/>
      <c r="V7" s="41"/>
      <c r="W7" s="60"/>
      <c r="X7" s="40"/>
      <c r="Y7" s="40"/>
      <c r="Z7" s="40"/>
      <c r="AA7" s="40"/>
      <c r="AB7" s="40"/>
      <c r="AC7" s="40"/>
      <c r="AD7" s="40"/>
      <c r="AE7" s="40"/>
    </row>
    <row r="8" spans="2:31" s="39" customFormat="1" x14ac:dyDescent="0.3">
      <c r="B8" s="210"/>
      <c r="C8" s="210"/>
      <c r="D8" s="210"/>
      <c r="E8" s="210"/>
      <c r="F8" s="210" t="s">
        <v>335</v>
      </c>
      <c r="G8" s="51"/>
      <c r="H8" s="45"/>
      <c r="I8" s="46"/>
      <c r="J8" s="46"/>
      <c r="K8" s="44"/>
      <c r="L8" s="44"/>
      <c r="M8" s="259">
        <f>LOOKUP($B6, CEFF!$C$163:$C$330, CEFF!F$163:F$330)</f>
        <v>0.50251000000000001</v>
      </c>
      <c r="N8" s="259">
        <f>LOOKUP($B6, CEFF!$C$163:$C$330, CEFF!G$163:G$330)</f>
        <v>0.53763000000000005</v>
      </c>
      <c r="O8" s="259">
        <f>LOOKUP($B6, CEFF!$C$163:$C$330, CEFF!H$163:H$330)</f>
        <v>0.56496999999999997</v>
      </c>
      <c r="P8" s="259">
        <f>LOOKUP($B6, CEFF!$C$163:$C$330, CEFF!I$163:I$330)</f>
        <v>0.59523999999999999</v>
      </c>
      <c r="Q8" s="259">
        <f>LOOKUP($B6, CEFF!$C$163:$C$330, CEFF!J$163:J$330)</f>
        <v>0.625</v>
      </c>
      <c r="R8" s="45"/>
      <c r="S8" s="45"/>
      <c r="T8" s="45"/>
      <c r="U8" s="45"/>
      <c r="V8" s="46"/>
      <c r="W8" s="64"/>
      <c r="X8" s="45"/>
      <c r="Y8" s="45"/>
      <c r="Z8" s="45"/>
      <c r="AA8" s="45"/>
      <c r="AB8" s="45"/>
      <c r="AC8" s="45"/>
      <c r="AD8" s="45"/>
      <c r="AE8" s="45"/>
    </row>
    <row r="9" spans="2:31" s="39" customFormat="1" x14ac:dyDescent="0.3">
      <c r="B9" s="209" t="s">
        <v>134</v>
      </c>
      <c r="C9" s="208" t="str">
        <f>LOOKUP(B9, TRA_COMM_PRO!$C$7:$C$189, TRA_COMM_PRO!$D$7:$D$189)</f>
        <v>Truck.Light.DME.01.</v>
      </c>
      <c r="D9" s="209" t="s">
        <v>71</v>
      </c>
      <c r="E9" s="209"/>
      <c r="F9" s="209"/>
      <c r="G9" s="10">
        <f>$G$5</f>
        <v>2019</v>
      </c>
      <c r="H9" s="40">
        <v>15</v>
      </c>
      <c r="I9" s="65">
        <f>$I$6</f>
        <v>1E-3</v>
      </c>
      <c r="J9" s="41">
        <f>$J$6</f>
        <v>0.3</v>
      </c>
      <c r="K9" s="42"/>
      <c r="L9" s="42"/>
      <c r="M9" s="163"/>
      <c r="N9" s="163"/>
      <c r="O9" s="163"/>
      <c r="P9" s="163"/>
      <c r="Q9" s="163"/>
      <c r="R9" s="40">
        <v>20</v>
      </c>
      <c r="S9" s="40"/>
      <c r="T9" s="40"/>
      <c r="U9" s="40"/>
      <c r="V9" s="41"/>
      <c r="W9" s="62">
        <f>LOOKUP(B9, FIXOM_VAROM!$C$8:$C$190, FIXOM_VAROM!$D$8:$D$190)</f>
        <v>50</v>
      </c>
      <c r="X9" s="40">
        <f>LOOKUP($B9, INVCOST!$C$8:$C$193, INVCOST!D$8:D$193)</f>
        <v>23.578499999999998</v>
      </c>
      <c r="Y9" s="40">
        <f>LOOKUP($B9, INVCOST!$C$8:$C$193, INVCOST!E$8:E$193)</f>
        <v>23.270500000000002</v>
      </c>
      <c r="Z9" s="40">
        <f>LOOKUP($B9, INVCOST!$C$8:$C$193, INVCOST!F$8:F$193)</f>
        <v>23.245200000000004</v>
      </c>
      <c r="AA9" s="40">
        <f>LOOKUP($B9, INVCOST!$C$8:$C$193, INVCOST!G$8:G$193)</f>
        <v>23.229800000000001</v>
      </c>
      <c r="AB9" s="40">
        <f>LOOKUP($B9, INVCOST!$C$8:$C$193, INVCOST!H$8:H$193)</f>
        <v>23.218800000000002</v>
      </c>
      <c r="AC9" s="40">
        <f>LOOKUP($B9, INVCOST!$C$8:$C$193, INVCOST!I$8:I$193)</f>
        <v>23.210000000000004</v>
      </c>
      <c r="AD9" s="40">
        <f>LOOKUP($B9, INVCOST!$C$8:$C$193, INVCOST!J$8:J$193)</f>
        <v>23.202300000000001</v>
      </c>
      <c r="AE9" s="40">
        <f>LOOKUP($B9, INVCOST!$C$8:$C$193, INVCOST!K$8:K$193)</f>
        <v>23.196800000000003</v>
      </c>
    </row>
    <row r="10" spans="2:31" s="39" customFormat="1" x14ac:dyDescent="0.3">
      <c r="B10" s="209"/>
      <c r="C10" s="209"/>
      <c r="D10" s="209"/>
      <c r="E10" s="209"/>
      <c r="F10" s="209" t="s">
        <v>333</v>
      </c>
      <c r="G10" s="50"/>
      <c r="H10" s="40"/>
      <c r="I10" s="41"/>
      <c r="J10" s="41"/>
      <c r="K10" s="42"/>
      <c r="L10" s="42"/>
      <c r="M10" s="164">
        <f>LOOKUP($B9, CEFF!$C$8:$C$156, CEFF!F$8:F$156)</f>
        <v>0.57471000000000005</v>
      </c>
      <c r="N10" s="164">
        <f>LOOKUP($B9, CEFF!$C$8:$C$156, CEFF!G$8:G$156)</f>
        <v>0.61350000000000005</v>
      </c>
      <c r="O10" s="164">
        <f>LOOKUP($B9, CEFF!$C$8:$C$156, CEFF!H$8:H$156)</f>
        <v>0.64515999999999996</v>
      </c>
      <c r="P10" s="164">
        <f>LOOKUP($B9, CEFF!$C$8:$C$156, CEFF!I$8:I$156)</f>
        <v>0.68027000000000004</v>
      </c>
      <c r="Q10" s="164">
        <f>LOOKUP($B9, CEFF!$C$8:$C$156, CEFF!J$8:J$156)</f>
        <v>0.71428999999999998</v>
      </c>
      <c r="R10" s="40"/>
      <c r="S10" s="40"/>
      <c r="T10" s="40"/>
      <c r="U10" s="40"/>
      <c r="V10" s="41"/>
      <c r="W10" s="60"/>
      <c r="X10" s="40"/>
      <c r="Y10" s="40"/>
      <c r="Z10" s="40"/>
      <c r="AA10" s="40"/>
      <c r="AB10" s="40"/>
      <c r="AC10" s="40"/>
      <c r="AD10" s="40"/>
      <c r="AE10" s="40"/>
    </row>
    <row r="11" spans="2:31" s="39" customFormat="1" x14ac:dyDescent="0.3">
      <c r="B11" s="210"/>
      <c r="C11" s="210"/>
      <c r="D11" s="210"/>
      <c r="E11" s="210"/>
      <c r="F11" s="210" t="s">
        <v>335</v>
      </c>
      <c r="G11" s="51"/>
      <c r="H11" s="45"/>
      <c r="I11" s="46"/>
      <c r="J11" s="46"/>
      <c r="K11" s="44"/>
      <c r="L11" s="44"/>
      <c r="M11" s="259">
        <f>LOOKUP($B9, CEFF!$C$163:$C$330, CEFF!F$163:F$330)</f>
        <v>0.50251000000000001</v>
      </c>
      <c r="N11" s="259">
        <f>LOOKUP($B9, CEFF!$C$163:$C$330, CEFF!G$163:G$330)</f>
        <v>0.53763000000000005</v>
      </c>
      <c r="O11" s="259">
        <f>LOOKUP($B9, CEFF!$C$163:$C$330, CEFF!H$163:H$330)</f>
        <v>0.56496999999999997</v>
      </c>
      <c r="P11" s="259">
        <f>LOOKUP($B9, CEFF!$C$163:$C$330, CEFF!I$163:I$330)</f>
        <v>0.59523999999999999</v>
      </c>
      <c r="Q11" s="259">
        <f>LOOKUP($B9, CEFF!$C$163:$C$330, CEFF!J$163:J$330)</f>
        <v>0.625</v>
      </c>
      <c r="R11" s="45"/>
      <c r="S11" s="45"/>
      <c r="T11" s="45"/>
      <c r="U11" s="45"/>
      <c r="V11" s="46"/>
      <c r="W11" s="64"/>
      <c r="X11" s="45"/>
      <c r="Y11" s="45"/>
      <c r="Z11" s="45"/>
      <c r="AA11" s="45"/>
      <c r="AB11" s="45"/>
      <c r="AC11" s="45"/>
      <c r="AD11" s="45"/>
      <c r="AE11" s="45"/>
    </row>
    <row r="12" spans="2:31" s="39" customFormat="1" x14ac:dyDescent="0.3">
      <c r="B12" s="209" t="s">
        <v>136</v>
      </c>
      <c r="C12" s="208" t="str">
        <f>LOOKUP(B12, TRA_COMM_PRO!$C$7:$C$189, TRA_COMM_PRO!$D$7:$D$189)</f>
        <v>Truck.Light.DST.01.</v>
      </c>
      <c r="D12" s="209" t="s">
        <v>44</v>
      </c>
      <c r="E12" s="209"/>
      <c r="F12" s="209"/>
      <c r="G12" s="10">
        <f>$G$5</f>
        <v>2019</v>
      </c>
      <c r="H12" s="40">
        <v>15</v>
      </c>
      <c r="I12" s="65">
        <f>$I$6</f>
        <v>1E-3</v>
      </c>
      <c r="J12" s="41">
        <f>$J$6</f>
        <v>0.3</v>
      </c>
      <c r="K12" s="42"/>
      <c r="L12" s="42"/>
      <c r="M12" s="163"/>
      <c r="N12" s="163"/>
      <c r="O12" s="163"/>
      <c r="P12" s="163"/>
      <c r="Q12" s="163"/>
      <c r="R12" s="40">
        <v>20</v>
      </c>
      <c r="S12" s="40"/>
      <c r="T12" s="40"/>
      <c r="U12" s="40"/>
      <c r="V12" s="41"/>
      <c r="W12" s="62">
        <f>LOOKUP(B12, FIXOM_VAROM!$C$8:$C$190, FIXOM_VAROM!$D$8:$D$190)</f>
        <v>50</v>
      </c>
      <c r="X12" s="40">
        <f>LOOKUP($B12, INVCOST!$C$8:$C$193, INVCOST!D$8:D$193)</f>
        <v>21.434999999999999</v>
      </c>
      <c r="Y12" s="40">
        <f>LOOKUP($B12, INVCOST!$C$8:$C$193, INVCOST!E$8:E$193)</f>
        <v>21.155000000000001</v>
      </c>
      <c r="Z12" s="40">
        <f>LOOKUP($B12, INVCOST!$C$8:$C$193, INVCOST!F$8:F$193)</f>
        <v>21.132000000000001</v>
      </c>
      <c r="AA12" s="40">
        <f>LOOKUP($B12, INVCOST!$C$8:$C$193, INVCOST!G$8:G$193)</f>
        <v>21.117999999999999</v>
      </c>
      <c r="AB12" s="40">
        <f>LOOKUP($B12, INVCOST!$C$8:$C$193, INVCOST!H$8:H$193)</f>
        <v>21.108000000000001</v>
      </c>
      <c r="AC12" s="40">
        <f>LOOKUP($B12, INVCOST!$C$8:$C$193, INVCOST!I$8:I$193)</f>
        <v>21.1</v>
      </c>
      <c r="AD12" s="40">
        <f>LOOKUP($B12, INVCOST!$C$8:$C$193, INVCOST!J$8:J$193)</f>
        <v>21.093</v>
      </c>
      <c r="AE12" s="40">
        <f>LOOKUP($B12, INVCOST!$C$8:$C$193, INVCOST!K$8:K$193)</f>
        <v>21.088000000000001</v>
      </c>
    </row>
    <row r="13" spans="2:31" s="39" customFormat="1" x14ac:dyDescent="0.3">
      <c r="B13" s="209"/>
      <c r="C13" s="209"/>
      <c r="D13" s="209" t="s">
        <v>48</v>
      </c>
      <c r="E13" s="209"/>
      <c r="F13" s="209"/>
      <c r="G13" s="50"/>
      <c r="H13" s="40"/>
      <c r="I13" s="41"/>
      <c r="J13" s="41"/>
      <c r="K13" s="42"/>
      <c r="L13" s="42"/>
      <c r="M13" s="163"/>
      <c r="N13" s="163"/>
      <c r="O13" s="163"/>
      <c r="P13" s="163"/>
      <c r="Q13" s="163"/>
      <c r="R13" s="40"/>
      <c r="S13" s="40"/>
      <c r="T13" s="40"/>
      <c r="U13" s="40"/>
      <c r="V13" s="41"/>
      <c r="W13" s="60"/>
      <c r="X13" s="40"/>
      <c r="Y13" s="40"/>
      <c r="Z13" s="40"/>
      <c r="AA13" s="40"/>
      <c r="AB13" s="40"/>
      <c r="AC13" s="40"/>
      <c r="AD13" s="40"/>
      <c r="AE13" s="40"/>
    </row>
    <row r="14" spans="2:31" s="39" customFormat="1" x14ac:dyDescent="0.3">
      <c r="B14" s="209"/>
      <c r="C14" s="209"/>
      <c r="D14" s="209"/>
      <c r="E14" s="209"/>
      <c r="F14" s="209" t="s">
        <v>333</v>
      </c>
      <c r="G14" s="50"/>
      <c r="H14" s="40"/>
      <c r="I14" s="41"/>
      <c r="J14" s="41"/>
      <c r="K14" s="42"/>
      <c r="L14" s="42"/>
      <c r="M14" s="164">
        <f>LOOKUP($B12, CEFF!$C$8:$C$156, CEFF!F$8:F$156)</f>
        <v>0.57471000000000005</v>
      </c>
      <c r="N14" s="164">
        <f>LOOKUP($B12, CEFF!$C$8:$C$156, CEFF!G$8:G$156)</f>
        <v>0.61350000000000005</v>
      </c>
      <c r="O14" s="164">
        <f>LOOKUP($B12, CEFF!$C$8:$C$156, CEFF!H$8:H$156)</f>
        <v>0.64515999999999996</v>
      </c>
      <c r="P14" s="164">
        <f>LOOKUP($B12, CEFF!$C$8:$C$156, CEFF!I$8:I$156)</f>
        <v>0.68027000000000004</v>
      </c>
      <c r="Q14" s="164">
        <f>LOOKUP($B12, CEFF!$C$8:$C$156, CEFF!J$8:J$156)</f>
        <v>0.71428999999999998</v>
      </c>
      <c r="R14" s="40"/>
      <c r="S14" s="40"/>
      <c r="T14" s="40"/>
      <c r="U14" s="40"/>
      <c r="V14" s="41"/>
      <c r="W14" s="60"/>
      <c r="X14" s="40"/>
      <c r="Y14" s="40"/>
      <c r="Z14" s="40"/>
      <c r="AA14" s="40"/>
      <c r="AB14" s="40"/>
      <c r="AC14" s="40"/>
      <c r="AD14" s="40"/>
      <c r="AE14" s="40"/>
    </row>
    <row r="15" spans="2:31" s="39" customFormat="1" x14ac:dyDescent="0.3">
      <c r="B15" s="210"/>
      <c r="C15" s="210"/>
      <c r="D15" s="210"/>
      <c r="E15" s="210"/>
      <c r="F15" s="210" t="s">
        <v>335</v>
      </c>
      <c r="G15" s="51"/>
      <c r="H15" s="45"/>
      <c r="I15" s="46"/>
      <c r="J15" s="46"/>
      <c r="K15" s="44"/>
      <c r="L15" s="44"/>
      <c r="M15" s="259">
        <f>LOOKUP($B12, CEFF!$C$163:$C$330, CEFF!F$163:F$330)</f>
        <v>0.50251000000000001</v>
      </c>
      <c r="N15" s="259">
        <f>LOOKUP($B12, CEFF!$C$163:$C$330, CEFF!G$163:G$330)</f>
        <v>0.53763000000000005</v>
      </c>
      <c r="O15" s="259">
        <f>LOOKUP($B12, CEFF!$C$163:$C$330, CEFF!H$163:H$330)</f>
        <v>0.56496999999999997</v>
      </c>
      <c r="P15" s="259">
        <f>LOOKUP($B12, CEFF!$C$163:$C$330, CEFF!I$163:I$330)</f>
        <v>0.59523999999999999</v>
      </c>
      <c r="Q15" s="259">
        <f>LOOKUP($B12, CEFF!$C$163:$C$330, CEFF!J$163:J$330)</f>
        <v>0.625</v>
      </c>
      <c r="R15" s="45"/>
      <c r="S15" s="45"/>
      <c r="T15" s="45"/>
      <c r="U15" s="45"/>
      <c r="V15" s="46"/>
      <c r="W15" s="64"/>
      <c r="X15" s="45"/>
      <c r="Y15" s="45"/>
      <c r="Z15" s="45"/>
      <c r="AA15" s="45"/>
      <c r="AB15" s="45"/>
      <c r="AC15" s="45"/>
      <c r="AD15" s="45"/>
      <c r="AE15" s="45"/>
    </row>
    <row r="16" spans="2:31" s="39" customFormat="1" x14ac:dyDescent="0.3">
      <c r="B16" s="209" t="s">
        <v>138</v>
      </c>
      <c r="C16" s="208" t="str">
        <f>LOOKUP(B16, TRA_COMM_PRO!$C$7:$C$189, TRA_COMM_PRO!$D$7:$D$189)</f>
        <v>Truck.Light.ELC.01.</v>
      </c>
      <c r="D16" s="209" t="s">
        <v>27</v>
      </c>
      <c r="E16" s="209"/>
      <c r="F16" s="209"/>
      <c r="G16" s="10">
        <f>$G$5</f>
        <v>2019</v>
      </c>
      <c r="H16" s="40">
        <v>10</v>
      </c>
      <c r="I16" s="65">
        <f>$I$6</f>
        <v>1E-3</v>
      </c>
      <c r="J16" s="41">
        <f>$J$6</f>
        <v>0.3</v>
      </c>
      <c r="K16" s="42"/>
      <c r="L16" s="42"/>
      <c r="M16" s="163"/>
      <c r="N16" s="163"/>
      <c r="O16" s="163"/>
      <c r="P16" s="163"/>
      <c r="Q16" s="163"/>
      <c r="R16" s="40">
        <v>15</v>
      </c>
      <c r="S16" s="40"/>
      <c r="T16" s="40">
        <v>20</v>
      </c>
      <c r="U16" s="40"/>
      <c r="V16" s="41"/>
      <c r="W16" s="62">
        <f>LOOKUP(B16, FIXOM_VAROM!$C$8:$C$190, FIXOM_VAROM!$D$8:$D$190)</f>
        <v>40.000000000000007</v>
      </c>
      <c r="X16" s="40">
        <f>LOOKUP($B16, INVCOST!$C$8:$C$193, INVCOST!D$8:D$193)</f>
        <v>41.054000000000002</v>
      </c>
      <c r="Y16" s="40">
        <f>LOOKUP($B16, INVCOST!$C$8:$C$193, INVCOST!E$8:E$193)</f>
        <v>35.389000000000003</v>
      </c>
      <c r="Z16" s="40">
        <f>LOOKUP($B16, INVCOST!$C$8:$C$193, INVCOST!F$8:F$193)</f>
        <v>31.187999999999999</v>
      </c>
      <c r="AA16" s="40">
        <f>LOOKUP($B16, INVCOST!$C$8:$C$193, INVCOST!G$8:G$193)</f>
        <v>29.695</v>
      </c>
      <c r="AB16" s="40">
        <f>LOOKUP($B16, INVCOST!$C$8:$C$193, INVCOST!H$8:H$193)</f>
        <v>28.536999999999999</v>
      </c>
      <c r="AC16" s="40">
        <f>LOOKUP($B16, INVCOST!$C$8:$C$193, INVCOST!I$8:I$193)</f>
        <v>27.753</v>
      </c>
      <c r="AD16" s="40">
        <f>LOOKUP($B16, INVCOST!$C$8:$C$193, INVCOST!J$8:J$193)</f>
        <v>27.114000000000001</v>
      </c>
      <c r="AE16" s="40">
        <f>LOOKUP($B16, INVCOST!$C$8:$C$193, INVCOST!K$8:K$193)</f>
        <v>26.594000000000001</v>
      </c>
    </row>
    <row r="17" spans="2:31" s="39" customFormat="1" x14ac:dyDescent="0.3">
      <c r="B17" s="209"/>
      <c r="C17" s="209"/>
      <c r="D17" s="209"/>
      <c r="E17" s="209"/>
      <c r="F17" s="209" t="s">
        <v>333</v>
      </c>
      <c r="G17" s="50"/>
      <c r="H17" s="40"/>
      <c r="I17" s="41"/>
      <c r="J17" s="41"/>
      <c r="K17" s="42"/>
      <c r="L17" s="42"/>
      <c r="M17" s="164">
        <f>LOOKUP($B16, CEFF!$C$8:$C$156, CEFF!F$8:F$156)</f>
        <v>1.2987</v>
      </c>
      <c r="N17" s="164">
        <f>LOOKUP($B16, CEFF!$C$8:$C$156, CEFF!G$8:G$156)</f>
        <v>1.2987</v>
      </c>
      <c r="O17" s="164">
        <f>LOOKUP($B16, CEFF!$C$8:$C$156, CEFF!H$8:H$156)</f>
        <v>1.3698600000000001</v>
      </c>
      <c r="P17" s="164">
        <f>LOOKUP($B16, CEFF!$C$8:$C$156, CEFF!I$8:I$156)</f>
        <v>1.4285699999999999</v>
      </c>
      <c r="Q17" s="164">
        <f>LOOKUP($B16, CEFF!$C$8:$C$156, CEFF!J$8:J$156)</f>
        <v>1.51515</v>
      </c>
      <c r="R17" s="40"/>
      <c r="S17" s="40"/>
      <c r="T17" s="40"/>
      <c r="U17" s="40"/>
      <c r="V17" s="41"/>
      <c r="W17" s="60"/>
      <c r="X17" s="40"/>
      <c r="Y17" s="40"/>
      <c r="Z17" s="40"/>
      <c r="AA17" s="40"/>
      <c r="AB17" s="40"/>
      <c r="AC17" s="40"/>
      <c r="AD17" s="40"/>
      <c r="AE17" s="40"/>
    </row>
    <row r="18" spans="2:31" s="39" customFormat="1" x14ac:dyDescent="0.3">
      <c r="B18" s="210"/>
      <c r="C18" s="210"/>
      <c r="D18" s="210"/>
      <c r="E18" s="210"/>
      <c r="F18" s="210" t="s">
        <v>335</v>
      </c>
      <c r="G18" s="51"/>
      <c r="H18" s="45"/>
      <c r="I18" s="46"/>
      <c r="J18" s="46"/>
      <c r="K18" s="44"/>
      <c r="L18" s="44"/>
      <c r="M18" s="259">
        <f>LOOKUP($B16, CEFF!$C$163:$C$330, CEFF!F$163:F$330)</f>
        <v>1.6129</v>
      </c>
      <c r="N18" s="259">
        <f>LOOKUP($B16, CEFF!$C$163:$C$330, CEFF!G$163:G$330)</f>
        <v>1.6129</v>
      </c>
      <c r="O18" s="259">
        <f>LOOKUP($B16, CEFF!$C$163:$C$330, CEFF!H$163:H$330)</f>
        <v>1.69492</v>
      </c>
      <c r="P18" s="259">
        <f>LOOKUP($B16, CEFF!$C$163:$C$330, CEFF!I$163:I$330)</f>
        <v>1.7857099999999999</v>
      </c>
      <c r="Q18" s="259">
        <f>LOOKUP($B16, CEFF!$C$163:$C$330, CEFF!J$163:J$330)</f>
        <v>1.88679</v>
      </c>
      <c r="R18" s="45"/>
      <c r="S18" s="45"/>
      <c r="T18" s="45"/>
      <c r="U18" s="45"/>
      <c r="V18" s="46"/>
      <c r="W18" s="64"/>
      <c r="X18" s="45"/>
      <c r="Y18" s="45"/>
      <c r="Z18" s="45"/>
      <c r="AA18" s="45"/>
      <c r="AB18" s="45"/>
      <c r="AC18" s="45"/>
      <c r="AD18" s="45"/>
      <c r="AE18" s="45"/>
    </row>
    <row r="19" spans="2:31" s="39" customFormat="1" x14ac:dyDescent="0.3">
      <c r="B19" s="209" t="s">
        <v>140</v>
      </c>
      <c r="C19" s="208" t="str">
        <f>LOOKUP(B19, TRA_COMM_PRO!$C$7:$C$189, TRA_COMM_PRO!$D$7:$D$189)</f>
        <v>Truck.Light.ETH.01.</v>
      </c>
      <c r="D19" s="209" t="s">
        <v>51</v>
      </c>
      <c r="E19" s="209"/>
      <c r="F19" s="209"/>
      <c r="G19" s="10">
        <f>$G$5</f>
        <v>2019</v>
      </c>
      <c r="H19" s="40">
        <v>15</v>
      </c>
      <c r="I19" s="65">
        <f>$I$6</f>
        <v>1E-3</v>
      </c>
      <c r="J19" s="41">
        <f>$J$6</f>
        <v>0.3</v>
      </c>
      <c r="K19" s="42"/>
      <c r="L19" s="42"/>
      <c r="M19" s="163"/>
      <c r="N19" s="163"/>
      <c r="O19" s="163"/>
      <c r="P19" s="163"/>
      <c r="Q19" s="163"/>
      <c r="R19" s="40">
        <v>20</v>
      </c>
      <c r="S19" s="40"/>
      <c r="T19" s="40"/>
      <c r="U19" s="40"/>
      <c r="V19" s="41"/>
      <c r="W19" s="62">
        <f>LOOKUP(B19, FIXOM_VAROM!$C$8:$C$190, FIXOM_VAROM!$D$8:$D$190)</f>
        <v>50</v>
      </c>
      <c r="X19" s="40">
        <f>LOOKUP($B19, INVCOST!$C$8:$C$193, INVCOST!D$8:D$193)</f>
        <v>19.734999999999999</v>
      </c>
      <c r="Y19" s="40">
        <f>LOOKUP($B19, INVCOST!$C$8:$C$193, INVCOST!E$8:E$193)</f>
        <v>19.452000000000002</v>
      </c>
      <c r="Z19" s="40">
        <f>LOOKUP($B19, INVCOST!$C$8:$C$193, INVCOST!F$8:F$193)</f>
        <v>19.43</v>
      </c>
      <c r="AA19" s="40">
        <f>LOOKUP($B19, INVCOST!$C$8:$C$193, INVCOST!G$8:G$193)</f>
        <v>19.414999999999999</v>
      </c>
      <c r="AB19" s="40">
        <f>LOOKUP($B19, INVCOST!$C$8:$C$193, INVCOST!H$8:H$193)</f>
        <v>19.402999999999999</v>
      </c>
      <c r="AC19" s="40">
        <f>LOOKUP($B19, INVCOST!$C$8:$C$193, INVCOST!I$8:I$193)</f>
        <v>19.393000000000001</v>
      </c>
      <c r="AD19" s="40">
        <f>LOOKUP($B19, INVCOST!$C$8:$C$193, INVCOST!J$8:J$193)</f>
        <v>19.385000000000002</v>
      </c>
      <c r="AE19" s="40">
        <f>LOOKUP($B19, INVCOST!$C$8:$C$193, INVCOST!K$8:K$193)</f>
        <v>19.378</v>
      </c>
    </row>
    <row r="20" spans="2:31" s="39" customFormat="1" x14ac:dyDescent="0.3">
      <c r="B20" s="209"/>
      <c r="C20" s="209"/>
      <c r="D20" s="209" t="s">
        <v>39</v>
      </c>
      <c r="E20" s="209"/>
      <c r="F20" s="209"/>
      <c r="G20" s="50"/>
      <c r="H20" s="40"/>
      <c r="I20" s="41"/>
      <c r="J20" s="41"/>
      <c r="K20" s="42">
        <v>0.15</v>
      </c>
      <c r="L20" s="42"/>
      <c r="M20" s="163"/>
      <c r="N20" s="163"/>
      <c r="O20" s="163"/>
      <c r="P20" s="163"/>
      <c r="Q20" s="163"/>
      <c r="R20" s="40"/>
      <c r="S20" s="40"/>
      <c r="T20" s="40"/>
      <c r="U20" s="40"/>
      <c r="V20" s="41"/>
      <c r="W20" s="60"/>
      <c r="X20" s="40"/>
      <c r="Y20" s="40"/>
      <c r="Z20" s="40"/>
      <c r="AA20" s="40"/>
      <c r="AB20" s="40"/>
      <c r="AC20" s="40"/>
      <c r="AD20" s="40"/>
      <c r="AE20" s="40"/>
    </row>
    <row r="21" spans="2:31" s="39" customFormat="1" x14ac:dyDescent="0.3">
      <c r="B21" s="209"/>
      <c r="C21" s="209"/>
      <c r="D21" s="209"/>
      <c r="E21" s="209"/>
      <c r="F21" s="209" t="s">
        <v>333</v>
      </c>
      <c r="G21" s="50"/>
      <c r="H21" s="40"/>
      <c r="I21" s="41"/>
      <c r="J21" s="41"/>
      <c r="K21" s="42"/>
      <c r="L21" s="42"/>
      <c r="M21" s="164">
        <f>LOOKUP($B19, CEFF!$C$8:$C$156, CEFF!F$8:F$156)</f>
        <v>0.51812999999999998</v>
      </c>
      <c r="N21" s="164">
        <f>LOOKUP($B19, CEFF!$C$8:$C$156, CEFF!G$8:G$156)</f>
        <v>0.55249000000000004</v>
      </c>
      <c r="O21" s="164">
        <f>LOOKUP($B19, CEFF!$C$8:$C$156, CEFF!H$8:H$156)</f>
        <v>0.58140000000000003</v>
      </c>
      <c r="P21" s="164">
        <f>LOOKUP($B19, CEFF!$C$8:$C$156, CEFF!I$8:I$156)</f>
        <v>0.61350000000000005</v>
      </c>
      <c r="Q21" s="164">
        <f>LOOKUP($B19, CEFF!$C$8:$C$156, CEFF!J$8:J$156)</f>
        <v>0.64515999999999996</v>
      </c>
      <c r="R21" s="40"/>
      <c r="S21" s="40"/>
      <c r="T21" s="40"/>
      <c r="U21" s="40"/>
      <c r="V21" s="41"/>
      <c r="W21" s="60"/>
      <c r="X21" s="40"/>
      <c r="Y21" s="40"/>
      <c r="Z21" s="40"/>
      <c r="AA21" s="40"/>
      <c r="AB21" s="40"/>
      <c r="AC21" s="40"/>
      <c r="AD21" s="40"/>
      <c r="AE21" s="40"/>
    </row>
    <row r="22" spans="2:31" s="39" customFormat="1" x14ac:dyDescent="0.3">
      <c r="B22" s="210"/>
      <c r="C22" s="210"/>
      <c r="D22" s="210"/>
      <c r="E22" s="210"/>
      <c r="F22" s="210" t="s">
        <v>335</v>
      </c>
      <c r="G22" s="51"/>
      <c r="H22" s="45"/>
      <c r="I22" s="46"/>
      <c r="J22" s="46"/>
      <c r="K22" s="44"/>
      <c r="L22" s="44"/>
      <c r="M22" s="259">
        <f>LOOKUP($B19, CEFF!$C$163:$C$330, CEFF!F$163:F$330)</f>
        <v>0.42553000000000002</v>
      </c>
      <c r="N22" s="259">
        <f>LOOKUP($B19, CEFF!$C$163:$C$330, CEFF!G$163:G$330)</f>
        <v>0.45455000000000001</v>
      </c>
      <c r="O22" s="259">
        <f>LOOKUP($B19, CEFF!$C$163:$C$330, CEFF!H$163:H$330)</f>
        <v>0.47847000000000001</v>
      </c>
      <c r="P22" s="259">
        <f>LOOKUP($B19, CEFF!$C$163:$C$330, CEFF!I$163:I$330)</f>
        <v>0.50251000000000001</v>
      </c>
      <c r="Q22" s="259">
        <f>LOOKUP($B19, CEFF!$C$163:$C$330, CEFF!J$163:J$330)</f>
        <v>0.52910000000000001</v>
      </c>
      <c r="R22" s="45"/>
      <c r="S22" s="45"/>
      <c r="T22" s="45"/>
      <c r="U22" s="45"/>
      <c r="V22" s="46"/>
      <c r="W22" s="64"/>
      <c r="X22" s="45"/>
      <c r="Y22" s="45"/>
      <c r="Z22" s="45"/>
      <c r="AA22" s="45"/>
      <c r="AB22" s="45"/>
      <c r="AC22" s="45"/>
      <c r="AD22" s="45"/>
      <c r="AE22" s="45"/>
    </row>
    <row r="23" spans="2:31" s="39" customFormat="1" x14ac:dyDescent="0.3">
      <c r="B23" s="209" t="s">
        <v>142</v>
      </c>
      <c r="C23" s="208" t="str">
        <f>LOOKUP(B23, TRA_COMM_PRO!$C$7:$C$189, TRA_COMM_PRO!$D$7:$D$189)</f>
        <v>Truck.Light.GAS.01.</v>
      </c>
      <c r="D23" s="209" t="s">
        <v>54</v>
      </c>
      <c r="E23" s="209"/>
      <c r="F23" s="209"/>
      <c r="G23" s="10">
        <f>$G$5</f>
        <v>2019</v>
      </c>
      <c r="H23" s="40">
        <v>15</v>
      </c>
      <c r="I23" s="65">
        <f>$I$6</f>
        <v>1E-3</v>
      </c>
      <c r="J23" s="41">
        <f>$J$6</f>
        <v>0.3</v>
      </c>
      <c r="K23" s="42"/>
      <c r="L23" s="42"/>
      <c r="M23" s="163"/>
      <c r="N23" s="163"/>
      <c r="O23" s="163"/>
      <c r="P23" s="163"/>
      <c r="Q23" s="163"/>
      <c r="R23" s="40">
        <v>20</v>
      </c>
      <c r="S23" s="40"/>
      <c r="T23" s="40"/>
      <c r="U23" s="40"/>
      <c r="V23" s="41"/>
      <c r="W23" s="62">
        <f>LOOKUP(B23, FIXOM_VAROM!$C$8:$C$190, FIXOM_VAROM!$D$8:$D$190)</f>
        <v>50</v>
      </c>
      <c r="X23" s="40">
        <f>LOOKUP($B23, INVCOST!$C$8:$C$193, INVCOST!D$8:D$193)</f>
        <v>19.734999999999999</v>
      </c>
      <c r="Y23" s="40">
        <f>LOOKUP($B23, INVCOST!$C$8:$C$193, INVCOST!E$8:E$193)</f>
        <v>19.452000000000002</v>
      </c>
      <c r="Z23" s="40">
        <f>LOOKUP($B23, INVCOST!$C$8:$C$193, INVCOST!F$8:F$193)</f>
        <v>19.43</v>
      </c>
      <c r="AA23" s="40">
        <f>LOOKUP($B23, INVCOST!$C$8:$C$193, INVCOST!G$8:G$193)</f>
        <v>19.414999999999999</v>
      </c>
      <c r="AB23" s="40">
        <f>LOOKUP($B23, INVCOST!$C$8:$C$193, INVCOST!H$8:H$193)</f>
        <v>19.402999999999999</v>
      </c>
      <c r="AC23" s="40">
        <f>LOOKUP($B23, INVCOST!$C$8:$C$193, INVCOST!I$8:I$193)</f>
        <v>19.393000000000001</v>
      </c>
      <c r="AD23" s="40">
        <f>LOOKUP($B23, INVCOST!$C$8:$C$193, INVCOST!J$8:J$193)</f>
        <v>19.385000000000002</v>
      </c>
      <c r="AE23" s="40">
        <f>LOOKUP($B23, INVCOST!$C$8:$C$193, INVCOST!K$8:K$193)</f>
        <v>19.378</v>
      </c>
    </row>
    <row r="24" spans="2:31" s="39" customFormat="1" x14ac:dyDescent="0.3">
      <c r="B24" s="209"/>
      <c r="C24" s="209"/>
      <c r="D24" s="209" t="s">
        <v>39</v>
      </c>
      <c r="E24" s="209"/>
      <c r="F24" s="209"/>
      <c r="G24" s="50"/>
      <c r="H24" s="40"/>
      <c r="I24" s="41"/>
      <c r="J24" s="41"/>
      <c r="K24" s="42"/>
      <c r="L24" s="42">
        <v>0.05</v>
      </c>
      <c r="M24" s="163"/>
      <c r="N24" s="163"/>
      <c r="O24" s="163"/>
      <c r="P24" s="163"/>
      <c r="Q24" s="163"/>
      <c r="R24" s="40"/>
      <c r="S24" s="40"/>
      <c r="T24" s="40"/>
      <c r="U24" s="40"/>
      <c r="V24" s="41"/>
      <c r="W24" s="60"/>
      <c r="X24" s="40"/>
      <c r="Y24" s="40"/>
      <c r="Z24" s="40"/>
      <c r="AA24" s="40"/>
      <c r="AB24" s="40"/>
      <c r="AC24" s="40"/>
      <c r="AD24" s="40"/>
      <c r="AE24" s="40"/>
    </row>
    <row r="25" spans="2:31" s="39" customFormat="1" x14ac:dyDescent="0.3">
      <c r="B25" s="209"/>
      <c r="C25" s="209"/>
      <c r="D25" s="209" t="s">
        <v>53</v>
      </c>
      <c r="E25" s="209"/>
      <c r="F25" s="209"/>
      <c r="G25" s="50"/>
      <c r="H25" s="40"/>
      <c r="I25" s="41"/>
      <c r="J25" s="41"/>
      <c r="K25" s="42"/>
      <c r="L25" s="42"/>
      <c r="M25" s="163"/>
      <c r="N25" s="163"/>
      <c r="O25" s="163"/>
      <c r="P25" s="163"/>
      <c r="Q25" s="163"/>
      <c r="R25" s="40"/>
      <c r="S25" s="40"/>
      <c r="T25" s="40"/>
      <c r="U25" s="40"/>
      <c r="V25" s="41"/>
      <c r="W25" s="60"/>
      <c r="X25" s="40"/>
      <c r="Y25" s="40"/>
      <c r="Z25" s="40"/>
      <c r="AA25" s="40"/>
      <c r="AB25" s="40"/>
      <c r="AC25" s="40"/>
      <c r="AD25" s="40"/>
      <c r="AE25" s="40"/>
    </row>
    <row r="26" spans="2:31" s="39" customFormat="1" x14ac:dyDescent="0.3">
      <c r="B26" s="209"/>
      <c r="C26" s="209"/>
      <c r="D26" s="209"/>
      <c r="E26" s="209"/>
      <c r="F26" s="209" t="s">
        <v>333</v>
      </c>
      <c r="G26" s="50"/>
      <c r="H26" s="40"/>
      <c r="I26" s="41"/>
      <c r="J26" s="41"/>
      <c r="K26" s="42"/>
      <c r="L26" s="42"/>
      <c r="M26" s="164">
        <f>LOOKUP($B23, CEFF!$C$8:$C$156, CEFF!F$8:F$156)</f>
        <v>0.51812999999999998</v>
      </c>
      <c r="N26" s="164">
        <f>LOOKUP($B23, CEFF!$C$8:$C$156, CEFF!G$8:G$156)</f>
        <v>0.55249000000000004</v>
      </c>
      <c r="O26" s="164">
        <f>LOOKUP($B23, CEFF!$C$8:$C$156, CEFF!H$8:H$156)</f>
        <v>0.58140000000000003</v>
      </c>
      <c r="P26" s="164">
        <f>LOOKUP($B23, CEFF!$C$8:$C$156, CEFF!I$8:I$156)</f>
        <v>0.61350000000000005</v>
      </c>
      <c r="Q26" s="164">
        <f>LOOKUP($B23, CEFF!$C$8:$C$156, CEFF!J$8:J$156)</f>
        <v>0.64515999999999996</v>
      </c>
      <c r="R26" s="40"/>
      <c r="S26" s="40"/>
      <c r="T26" s="40"/>
      <c r="U26" s="40"/>
      <c r="V26" s="41"/>
      <c r="W26" s="60"/>
      <c r="X26" s="40"/>
      <c r="Y26" s="40"/>
      <c r="Z26" s="40"/>
      <c r="AA26" s="40"/>
      <c r="AB26" s="40"/>
      <c r="AC26" s="40"/>
      <c r="AD26" s="40"/>
      <c r="AE26" s="40"/>
    </row>
    <row r="27" spans="2:31" s="39" customFormat="1" x14ac:dyDescent="0.3">
      <c r="B27" s="210"/>
      <c r="C27" s="210"/>
      <c r="D27" s="210"/>
      <c r="E27" s="210"/>
      <c r="F27" s="210" t="s">
        <v>335</v>
      </c>
      <c r="G27" s="51"/>
      <c r="H27" s="45"/>
      <c r="I27" s="46"/>
      <c r="J27" s="46"/>
      <c r="K27" s="44"/>
      <c r="L27" s="44"/>
      <c r="M27" s="259">
        <f>LOOKUP($B23, CEFF!$C$163:$C$330, CEFF!F$163:F$330)</f>
        <v>0.42553000000000002</v>
      </c>
      <c r="N27" s="259">
        <f>LOOKUP($B23, CEFF!$C$163:$C$330, CEFF!G$163:G$330)</f>
        <v>0.45455000000000001</v>
      </c>
      <c r="O27" s="259">
        <f>LOOKUP($B23, CEFF!$C$163:$C$330, CEFF!H$163:H$330)</f>
        <v>0.47847000000000001</v>
      </c>
      <c r="P27" s="259">
        <f>LOOKUP($B23, CEFF!$C$163:$C$330, CEFF!I$163:I$330)</f>
        <v>0.50251000000000001</v>
      </c>
      <c r="Q27" s="259">
        <f>LOOKUP($B23, CEFF!$C$163:$C$330, CEFF!J$163:J$330)</f>
        <v>0.52910000000000001</v>
      </c>
      <c r="R27" s="45"/>
      <c r="S27" s="45"/>
      <c r="T27" s="45"/>
      <c r="U27" s="45"/>
      <c r="V27" s="46"/>
      <c r="W27" s="64"/>
      <c r="X27" s="45"/>
      <c r="Y27" s="45"/>
      <c r="Z27" s="45"/>
      <c r="AA27" s="45"/>
      <c r="AB27" s="45"/>
      <c r="AC27" s="45"/>
      <c r="AD27" s="45"/>
      <c r="AE27" s="45"/>
    </row>
    <row r="28" spans="2:31" s="39" customFormat="1" x14ac:dyDescent="0.3">
      <c r="B28" s="209" t="s">
        <v>144</v>
      </c>
      <c r="C28" s="208" t="str">
        <f>LOOKUP(B28, TRA_COMM_PRO!$C$7:$C$189, TRA_COMM_PRO!$D$7:$D$189)</f>
        <v>Truck.Light.GSL.01.</v>
      </c>
      <c r="D28" s="209" t="s">
        <v>39</v>
      </c>
      <c r="E28" s="209"/>
      <c r="F28" s="209"/>
      <c r="G28" s="10">
        <f>$G$5</f>
        <v>2019</v>
      </c>
      <c r="H28" s="40">
        <v>15</v>
      </c>
      <c r="I28" s="65">
        <f>$I$6</f>
        <v>1E-3</v>
      </c>
      <c r="J28" s="41">
        <f>$J$6</f>
        <v>0.3</v>
      </c>
      <c r="K28" s="42"/>
      <c r="L28" s="42"/>
      <c r="M28" s="163"/>
      <c r="N28" s="163"/>
      <c r="O28" s="163"/>
      <c r="P28" s="163"/>
      <c r="Q28" s="163"/>
      <c r="R28" s="40">
        <v>20</v>
      </c>
      <c r="S28" s="40"/>
      <c r="T28" s="40"/>
      <c r="U28" s="40"/>
      <c r="V28" s="41"/>
      <c r="W28" s="62">
        <f>LOOKUP(B28, FIXOM_VAROM!$C$8:$C$190, FIXOM_VAROM!$D$8:$D$190)</f>
        <v>50</v>
      </c>
      <c r="X28" s="40">
        <f>LOOKUP($B28, INVCOST!$C$8:$C$193, INVCOST!D$8:D$193)</f>
        <v>19.734999999999999</v>
      </c>
      <c r="Y28" s="40">
        <f>LOOKUP($B28, INVCOST!$C$8:$C$193, INVCOST!E$8:E$193)</f>
        <v>19.452000000000002</v>
      </c>
      <c r="Z28" s="40">
        <f>LOOKUP($B28, INVCOST!$C$8:$C$193, INVCOST!F$8:F$193)</f>
        <v>19.43</v>
      </c>
      <c r="AA28" s="40">
        <f>LOOKUP($B28, INVCOST!$C$8:$C$193, INVCOST!G$8:G$193)</f>
        <v>19.414999999999999</v>
      </c>
      <c r="AB28" s="40">
        <f>LOOKUP($B28, INVCOST!$C$8:$C$193, INVCOST!H$8:H$193)</f>
        <v>19.402999999999999</v>
      </c>
      <c r="AC28" s="40">
        <f>LOOKUP($B28, INVCOST!$C$8:$C$193, INVCOST!I$8:I$193)</f>
        <v>19.393000000000001</v>
      </c>
      <c r="AD28" s="40">
        <f>LOOKUP($B28, INVCOST!$C$8:$C$193, INVCOST!J$8:J$193)</f>
        <v>19.385000000000002</v>
      </c>
      <c r="AE28" s="40">
        <f>LOOKUP($B28, INVCOST!$C$8:$C$193, INVCOST!K$8:K$193)</f>
        <v>19.378</v>
      </c>
    </row>
    <row r="29" spans="2:31" s="39" customFormat="1" x14ac:dyDescent="0.3">
      <c r="B29" s="209"/>
      <c r="C29" s="209"/>
      <c r="D29" s="209" t="s">
        <v>40</v>
      </c>
      <c r="E29" s="209"/>
      <c r="F29" s="209"/>
      <c r="G29" s="50"/>
      <c r="H29" s="40"/>
      <c r="I29" s="41"/>
      <c r="J29" s="41"/>
      <c r="K29" s="42"/>
      <c r="L29" s="42">
        <v>0.05</v>
      </c>
      <c r="M29" s="163"/>
      <c r="N29" s="163"/>
      <c r="O29" s="163"/>
      <c r="P29" s="163"/>
      <c r="Q29" s="163"/>
      <c r="R29" s="40"/>
      <c r="S29" s="40"/>
      <c r="T29" s="40"/>
      <c r="U29" s="40"/>
      <c r="V29" s="41"/>
      <c r="W29" s="60"/>
      <c r="X29" s="40"/>
      <c r="Y29" s="40"/>
      <c r="Z29" s="40"/>
      <c r="AA29" s="40"/>
      <c r="AB29" s="40"/>
      <c r="AC29" s="40"/>
      <c r="AD29" s="40"/>
      <c r="AE29" s="40"/>
    </row>
    <row r="30" spans="2:31" s="39" customFormat="1" x14ac:dyDescent="0.3">
      <c r="B30" s="209"/>
      <c r="C30" s="209"/>
      <c r="D30" s="209"/>
      <c r="E30" s="209"/>
      <c r="F30" s="209" t="s">
        <v>333</v>
      </c>
      <c r="G30" s="50"/>
      <c r="H30" s="40"/>
      <c r="I30" s="41"/>
      <c r="J30" s="41"/>
      <c r="K30" s="42"/>
      <c r="L30" s="42"/>
      <c r="M30" s="164">
        <f>LOOKUP($B28, CEFF!$C$8:$C$156, CEFF!F$8:F$156)</f>
        <v>0.51812999999999998</v>
      </c>
      <c r="N30" s="164">
        <f>LOOKUP($B28, CEFF!$C$8:$C$156, CEFF!G$8:G$156)</f>
        <v>0.55249000000000004</v>
      </c>
      <c r="O30" s="164">
        <f>LOOKUP($B28, CEFF!$C$8:$C$156, CEFF!H$8:H$156)</f>
        <v>0.58140000000000003</v>
      </c>
      <c r="P30" s="164">
        <f>LOOKUP($B28, CEFF!$C$8:$C$156, CEFF!I$8:I$156)</f>
        <v>0.61350000000000005</v>
      </c>
      <c r="Q30" s="164">
        <f>LOOKUP($B28, CEFF!$C$8:$C$156, CEFF!J$8:J$156)</f>
        <v>0.64515999999999996</v>
      </c>
      <c r="R30" s="40"/>
      <c r="S30" s="40"/>
      <c r="T30" s="40"/>
      <c r="U30" s="40"/>
      <c r="V30" s="41"/>
      <c r="W30" s="60"/>
      <c r="X30" s="40"/>
      <c r="Y30" s="40"/>
      <c r="Z30" s="40"/>
      <c r="AA30" s="40"/>
      <c r="AB30" s="40"/>
      <c r="AC30" s="40"/>
      <c r="AD30" s="40"/>
      <c r="AE30" s="40"/>
    </row>
    <row r="31" spans="2:31" s="39" customFormat="1" x14ac:dyDescent="0.3">
      <c r="B31" s="210"/>
      <c r="C31" s="210"/>
      <c r="D31" s="210"/>
      <c r="E31" s="210"/>
      <c r="F31" s="210" t="s">
        <v>335</v>
      </c>
      <c r="G31" s="51"/>
      <c r="H31" s="45"/>
      <c r="I31" s="46"/>
      <c r="J31" s="46"/>
      <c r="K31" s="44"/>
      <c r="L31" s="44"/>
      <c r="M31" s="259">
        <f>LOOKUP($B28, CEFF!$C$163:$C$330, CEFF!F$163:F$330)</f>
        <v>0.42553000000000002</v>
      </c>
      <c r="N31" s="259">
        <f>LOOKUP($B28, CEFF!$C$163:$C$330, CEFF!G$163:G$330)</f>
        <v>0.45455000000000001</v>
      </c>
      <c r="O31" s="259">
        <f>LOOKUP($B28, CEFF!$C$163:$C$330, CEFF!H$163:H$330)</f>
        <v>0.47847000000000001</v>
      </c>
      <c r="P31" s="259">
        <f>LOOKUP($B28, CEFF!$C$163:$C$330, CEFF!I$163:I$330)</f>
        <v>0.50251000000000001</v>
      </c>
      <c r="Q31" s="259">
        <f>LOOKUP($B28, CEFF!$C$163:$C$330, CEFF!J$163:J$330)</f>
        <v>0.52910000000000001</v>
      </c>
      <c r="R31" s="45"/>
      <c r="S31" s="45"/>
      <c r="T31" s="45"/>
      <c r="U31" s="45"/>
      <c r="V31" s="46"/>
      <c r="W31" s="64"/>
      <c r="X31" s="45"/>
      <c r="Y31" s="45"/>
      <c r="Z31" s="45"/>
      <c r="AA31" s="45"/>
      <c r="AB31" s="45"/>
      <c r="AC31" s="45"/>
      <c r="AD31" s="45"/>
      <c r="AE31" s="45"/>
    </row>
    <row r="32" spans="2:31" s="39" customFormat="1" x14ac:dyDescent="0.3">
      <c r="B32" s="209" t="s">
        <v>146</v>
      </c>
      <c r="C32" s="208" t="str">
        <f>LOOKUP(B32, TRA_COMM_PRO!$C$7:$C$189, TRA_COMM_PRO!$D$7:$D$189)</f>
        <v>Truck.Light.H2G.01.</v>
      </c>
      <c r="D32" s="209" t="s">
        <v>57</v>
      </c>
      <c r="E32" s="209"/>
      <c r="F32" s="209"/>
      <c r="G32" s="10">
        <v>2019</v>
      </c>
      <c r="H32" s="40">
        <v>15</v>
      </c>
      <c r="I32" s="65">
        <f>$I$6</f>
        <v>1E-3</v>
      </c>
      <c r="J32" s="41">
        <f>$J$6</f>
        <v>0.3</v>
      </c>
      <c r="K32" s="42"/>
      <c r="L32" s="42"/>
      <c r="M32" s="163"/>
      <c r="N32" s="163"/>
      <c r="O32" s="163"/>
      <c r="P32" s="163"/>
      <c r="Q32" s="163"/>
      <c r="R32" s="40">
        <v>20</v>
      </c>
      <c r="S32" s="40"/>
      <c r="T32" s="40"/>
      <c r="U32" s="40"/>
      <c r="V32" s="41"/>
      <c r="W32" s="62">
        <f>LOOKUP(B32, FIXOM_VAROM!$C$8:$C$190, FIXOM_VAROM!$D$8:$D$190)</f>
        <v>40.000000000000007</v>
      </c>
      <c r="X32" s="40">
        <f>LOOKUP($B32, INVCOST!$C$8:$C$193, INVCOST!D$8:D$193)</f>
        <v>35.097999999999999</v>
      </c>
      <c r="Y32" s="40">
        <f>LOOKUP($B32, INVCOST!$C$8:$C$193, INVCOST!E$8:E$193)</f>
        <v>33.204999999999998</v>
      </c>
      <c r="Z32" s="40">
        <f>LOOKUP($B32, INVCOST!$C$8:$C$193, INVCOST!F$8:F$193)</f>
        <v>30.501000000000001</v>
      </c>
      <c r="AA32" s="40">
        <f>LOOKUP($B32, INVCOST!$C$8:$C$193, INVCOST!G$8:G$193)</f>
        <v>29.122</v>
      </c>
      <c r="AB32" s="40">
        <f>LOOKUP($B32, INVCOST!$C$8:$C$193, INVCOST!H$8:H$193)</f>
        <v>28.056000000000001</v>
      </c>
      <c r="AC32" s="40">
        <f>LOOKUP($B32, INVCOST!$C$8:$C$193, INVCOST!I$8:I$193)</f>
        <v>27.158999999999999</v>
      </c>
      <c r="AD32" s="40">
        <f>LOOKUP($B32, INVCOST!$C$8:$C$193, INVCOST!J$8:J$193)</f>
        <v>26.395</v>
      </c>
      <c r="AE32" s="40">
        <f>LOOKUP($B32, INVCOST!$C$8:$C$193, INVCOST!K$8:K$193)</f>
        <v>25.727</v>
      </c>
    </row>
    <row r="33" spans="2:31" s="39" customFormat="1" x14ac:dyDescent="0.3">
      <c r="B33" s="209"/>
      <c r="C33" s="209"/>
      <c r="D33" s="209"/>
      <c r="E33" s="209"/>
      <c r="F33" s="209" t="s">
        <v>333</v>
      </c>
      <c r="G33" s="50"/>
      <c r="H33" s="40"/>
      <c r="I33" s="41"/>
      <c r="J33" s="41"/>
      <c r="K33" s="42"/>
      <c r="L33" s="42"/>
      <c r="M33" s="164">
        <f>LOOKUP($B32, CEFF!$C$8:$C$156, CEFF!F$8:F$156)</f>
        <v>0.98038999999999998</v>
      </c>
      <c r="N33" s="164">
        <f>LOOKUP($B32, CEFF!$C$8:$C$156, CEFF!G$8:G$156)</f>
        <v>0.98038999999999998</v>
      </c>
      <c r="O33" s="164">
        <f>LOOKUP($B32, CEFF!$C$8:$C$156, CEFF!H$8:H$156)</f>
        <v>1.0869599999999999</v>
      </c>
      <c r="P33" s="164">
        <f>LOOKUP($B32, CEFF!$C$8:$C$156, CEFF!I$8:I$156)</f>
        <v>1.20482</v>
      </c>
      <c r="Q33" s="164">
        <f>LOOKUP($B32, CEFF!$C$8:$C$156, CEFF!J$8:J$156)</f>
        <v>1.2658199999999999</v>
      </c>
      <c r="R33" s="40"/>
      <c r="S33" s="40"/>
      <c r="T33" s="40"/>
      <c r="U33" s="40"/>
      <c r="V33" s="41"/>
      <c r="W33" s="60"/>
      <c r="X33" s="40"/>
      <c r="Y33" s="40"/>
      <c r="Z33" s="40"/>
      <c r="AA33" s="40"/>
      <c r="AB33" s="40"/>
      <c r="AC33" s="40"/>
      <c r="AD33" s="40"/>
      <c r="AE33" s="40"/>
    </row>
    <row r="34" spans="2:31" s="39" customFormat="1" x14ac:dyDescent="0.3">
      <c r="B34" s="210"/>
      <c r="C34" s="210"/>
      <c r="D34" s="210"/>
      <c r="E34" s="210"/>
      <c r="F34" s="210" t="s">
        <v>335</v>
      </c>
      <c r="G34" s="51"/>
      <c r="H34" s="45"/>
      <c r="I34" s="46"/>
      <c r="J34" s="46"/>
      <c r="K34" s="44"/>
      <c r="L34" s="44"/>
      <c r="M34" s="259">
        <f>LOOKUP($B32, CEFF!$C$163:$C$330, CEFF!F$163:F$330)</f>
        <v>0.80645</v>
      </c>
      <c r="N34" s="259">
        <f>LOOKUP($B32, CEFF!$C$163:$C$330, CEFF!G$163:G$330)</f>
        <v>0.80645</v>
      </c>
      <c r="O34" s="259">
        <f>LOOKUP($B32, CEFF!$C$163:$C$330, CEFF!H$163:H$330)</f>
        <v>0.89285999999999999</v>
      </c>
      <c r="P34" s="259">
        <f>LOOKUP($B32, CEFF!$C$163:$C$330, CEFF!I$163:I$330)</f>
        <v>0.99009999999999998</v>
      </c>
      <c r="Q34" s="259">
        <f>LOOKUP($B32, CEFF!$C$163:$C$330, CEFF!J$163:J$330)</f>
        <v>1.0989</v>
      </c>
      <c r="R34" s="45"/>
      <c r="S34" s="45"/>
      <c r="T34" s="45"/>
      <c r="U34" s="45"/>
      <c r="V34" s="46"/>
      <c r="W34" s="64"/>
      <c r="X34" s="45"/>
      <c r="Y34" s="45"/>
      <c r="Z34" s="45"/>
      <c r="AA34" s="45"/>
      <c r="AB34" s="45"/>
      <c r="AC34" s="45"/>
      <c r="AD34" s="45"/>
      <c r="AE34" s="45"/>
    </row>
    <row r="35" spans="2:31" s="39" customFormat="1" x14ac:dyDescent="0.3">
      <c r="B35" s="209" t="s">
        <v>149</v>
      </c>
      <c r="C35" s="208" t="str">
        <f>LOOKUP(B35, TRA_COMM_PRO!$C$7:$C$189, TRA_COMM_PRO!$D$7:$D$189)</f>
        <v>Truck.Light.Hybrid.DST.01.</v>
      </c>
      <c r="D35" s="209" t="s">
        <v>44</v>
      </c>
      <c r="E35" s="209"/>
      <c r="F35" s="209"/>
      <c r="G35" s="10">
        <f>$G$5</f>
        <v>2019</v>
      </c>
      <c r="H35" s="54">
        <v>15</v>
      </c>
      <c r="I35" s="65">
        <f>$I$6</f>
        <v>1E-3</v>
      </c>
      <c r="J35" s="41">
        <f>$J$6</f>
        <v>0.3</v>
      </c>
      <c r="K35" s="42"/>
      <c r="L35" s="42"/>
      <c r="M35" s="164"/>
      <c r="N35" s="164"/>
      <c r="O35" s="164"/>
      <c r="P35" s="164"/>
      <c r="Q35" s="164"/>
      <c r="R35" s="40">
        <v>20</v>
      </c>
      <c r="S35" s="40"/>
      <c r="T35" s="40"/>
      <c r="U35" s="40"/>
      <c r="V35" s="41"/>
      <c r="W35" s="62">
        <f>LOOKUP(B35, FIXOM_VAROM!$C$8:$C$190, FIXOM_VAROM!$D$8:$D$190)</f>
        <v>50</v>
      </c>
      <c r="X35" s="40">
        <f>LOOKUP($B35, INVCOST!$C$8:$C$193, INVCOST!D$8:D$193)</f>
        <v>24.67</v>
      </c>
      <c r="Y35" s="40">
        <f>LOOKUP($B35, INVCOST!$C$8:$C$193, INVCOST!E$8:E$193)</f>
        <v>23.181999999999999</v>
      </c>
      <c r="Z35" s="40">
        <f>LOOKUP($B35, INVCOST!$C$8:$C$193, INVCOST!F$8:F$193)</f>
        <v>22.738</v>
      </c>
      <c r="AA35" s="40">
        <f>LOOKUP($B35, INVCOST!$C$8:$C$193, INVCOST!G$8:G$193)</f>
        <v>22.478000000000002</v>
      </c>
      <c r="AB35" s="40">
        <f>LOOKUP($B35, INVCOST!$C$8:$C$193, INVCOST!H$8:H$193)</f>
        <v>22.3</v>
      </c>
      <c r="AC35" s="40">
        <f>LOOKUP($B35, INVCOST!$C$8:$C$193, INVCOST!I$8:I$193)</f>
        <v>22.170999999999999</v>
      </c>
      <c r="AD35" s="40">
        <f>LOOKUP($B35, INVCOST!$C$8:$C$193, INVCOST!J$8:J$193)</f>
        <v>22.068999999999999</v>
      </c>
      <c r="AE35" s="40">
        <f>LOOKUP($B35, INVCOST!$C$8:$C$193, INVCOST!K$8:K$193)</f>
        <v>21.995000000000001</v>
      </c>
    </row>
    <row r="36" spans="2:31" s="39" customFormat="1" x14ac:dyDescent="0.3">
      <c r="B36" s="209"/>
      <c r="C36" s="209"/>
      <c r="D36" s="209" t="s">
        <v>48</v>
      </c>
      <c r="E36" s="209"/>
      <c r="F36" s="209"/>
      <c r="G36" s="50"/>
      <c r="H36" s="40"/>
      <c r="I36" s="41"/>
      <c r="J36" s="41"/>
      <c r="K36" s="42"/>
      <c r="L36" s="42"/>
      <c r="M36" s="164"/>
      <c r="N36" s="164"/>
      <c r="O36" s="164"/>
      <c r="P36" s="164"/>
      <c r="Q36" s="164"/>
      <c r="R36" s="40"/>
      <c r="S36" s="40"/>
      <c r="T36" s="40"/>
      <c r="U36" s="40"/>
      <c r="V36" s="42"/>
      <c r="W36" s="60"/>
      <c r="X36" s="40"/>
      <c r="Y36" s="40"/>
      <c r="Z36" s="40"/>
      <c r="AA36" s="40"/>
      <c r="AB36" s="40"/>
      <c r="AC36" s="40"/>
      <c r="AD36" s="40"/>
      <c r="AE36" s="40"/>
    </row>
    <row r="37" spans="2:31" s="39" customFormat="1" x14ac:dyDescent="0.3">
      <c r="B37" s="209"/>
      <c r="C37" s="209"/>
      <c r="D37" s="209"/>
      <c r="E37" s="209"/>
      <c r="F37" s="209" t="s">
        <v>333</v>
      </c>
      <c r="G37" s="50"/>
      <c r="H37" s="40"/>
      <c r="I37" s="41"/>
      <c r="J37" s="41"/>
      <c r="K37" s="42"/>
      <c r="L37" s="42"/>
      <c r="M37" s="164">
        <f>LOOKUP($B35, CEFF!$C$8:$C$156, CEFF!F$8:F$156)</f>
        <v>0.70921999999999996</v>
      </c>
      <c r="N37" s="164">
        <f>LOOKUP($B35, CEFF!$C$8:$C$156, CEFF!G$8:G$156)</f>
        <v>0.74626999999999999</v>
      </c>
      <c r="O37" s="164">
        <f>LOOKUP($B35, CEFF!$C$8:$C$156, CEFF!H$8:H$156)</f>
        <v>0.82645000000000002</v>
      </c>
      <c r="P37" s="164">
        <f>LOOKUP($B35, CEFF!$C$8:$C$156, CEFF!I$8:I$156)</f>
        <v>0.91742999999999997</v>
      </c>
      <c r="Q37" s="164">
        <f>LOOKUP($B35, CEFF!$C$8:$C$156, CEFF!J$8:J$156)</f>
        <v>1.02041</v>
      </c>
      <c r="R37" s="40"/>
      <c r="S37" s="40"/>
      <c r="T37" s="40"/>
      <c r="U37" s="40"/>
      <c r="V37" s="42"/>
      <c r="W37" s="60"/>
      <c r="X37" s="40"/>
      <c r="Y37" s="40"/>
      <c r="Z37" s="40"/>
      <c r="AA37" s="40"/>
      <c r="AB37" s="40"/>
      <c r="AC37" s="40"/>
      <c r="AD37" s="40"/>
      <c r="AE37" s="40"/>
    </row>
    <row r="38" spans="2:31" s="39" customFormat="1" x14ac:dyDescent="0.3">
      <c r="B38" s="210"/>
      <c r="C38" s="210"/>
      <c r="D38" s="210"/>
      <c r="E38" s="210"/>
      <c r="F38" s="210" t="s">
        <v>335</v>
      </c>
      <c r="G38" s="51"/>
      <c r="H38" s="45"/>
      <c r="I38" s="46"/>
      <c r="J38" s="46"/>
      <c r="K38" s="44"/>
      <c r="L38" s="44"/>
      <c r="M38" s="259">
        <f>LOOKUP($B35, CEFF!$C$163:$C$330, CEFF!F$163:F$330)</f>
        <v>0.62112000000000001</v>
      </c>
      <c r="N38" s="259">
        <f>LOOKUP($B35, CEFF!$C$163:$C$330, CEFF!G$163:G$330)</f>
        <v>0.65788999999999997</v>
      </c>
      <c r="O38" s="259">
        <f>LOOKUP($B35, CEFF!$C$163:$C$330, CEFF!H$163:H$330)</f>
        <v>0.72992999999999997</v>
      </c>
      <c r="P38" s="259">
        <f>LOOKUP($B35, CEFF!$C$163:$C$330, CEFF!I$163:I$330)</f>
        <v>0.80645</v>
      </c>
      <c r="Q38" s="259">
        <f>LOOKUP($B35, CEFF!$C$163:$C$330, CEFF!J$163:J$330)</f>
        <v>0.89285999999999999</v>
      </c>
      <c r="R38" s="45"/>
      <c r="S38" s="45"/>
      <c r="T38" s="45"/>
      <c r="U38" s="45"/>
      <c r="V38" s="44"/>
      <c r="W38" s="64"/>
      <c r="X38" s="45"/>
      <c r="Y38" s="45"/>
      <c r="Z38" s="45"/>
      <c r="AA38" s="45"/>
      <c r="AB38" s="45"/>
      <c r="AC38" s="45"/>
      <c r="AD38" s="45"/>
      <c r="AE38" s="45"/>
    </row>
    <row r="39" spans="2:31" s="39" customFormat="1" x14ac:dyDescent="0.3">
      <c r="B39" s="209" t="s">
        <v>151</v>
      </c>
      <c r="C39" s="208" t="str">
        <f>LOOKUP(B39, TRA_COMM_PRO!$C$7:$C$189, TRA_COMM_PRO!$D$7:$D$189)</f>
        <v>Truck.Light.Hybrid.GSL.01.</v>
      </c>
      <c r="D39" s="209" t="s">
        <v>40</v>
      </c>
      <c r="E39" s="209"/>
      <c r="F39" s="209"/>
      <c r="G39" s="10">
        <f>$G$5</f>
        <v>2019</v>
      </c>
      <c r="H39" s="54">
        <v>15</v>
      </c>
      <c r="I39" s="65">
        <f>$I$6</f>
        <v>1E-3</v>
      </c>
      <c r="J39" s="41">
        <f>$J$6</f>
        <v>0.3</v>
      </c>
      <c r="K39" s="42"/>
      <c r="L39" s="42">
        <v>0.05</v>
      </c>
      <c r="M39" s="261"/>
      <c r="N39" s="261"/>
      <c r="O39" s="261"/>
      <c r="P39" s="261"/>
      <c r="Q39" s="261"/>
      <c r="R39" s="40">
        <v>20</v>
      </c>
      <c r="S39" s="40"/>
      <c r="T39" s="40"/>
      <c r="U39" s="40"/>
      <c r="V39" s="41"/>
      <c r="W39" s="62">
        <f>LOOKUP(B39, FIXOM_VAROM!$C$8:$C$190, FIXOM_VAROM!$D$8:$D$190)</f>
        <v>50</v>
      </c>
      <c r="X39" s="40">
        <f>LOOKUP($B39, INVCOST!$C$8:$C$193, INVCOST!D$8:D$193)</f>
        <v>22.67</v>
      </c>
      <c r="Y39" s="40">
        <f>LOOKUP($B39, INVCOST!$C$8:$C$193, INVCOST!E$8:E$193)</f>
        <v>21.329000000000001</v>
      </c>
      <c r="Z39" s="40">
        <f>LOOKUP($B39, INVCOST!$C$8:$C$193, INVCOST!F$8:F$193)</f>
        <v>20.885999999999999</v>
      </c>
      <c r="AA39" s="40">
        <f>LOOKUP($B39, INVCOST!$C$8:$C$193, INVCOST!G$8:G$193)</f>
        <v>20.626000000000001</v>
      </c>
      <c r="AB39" s="40">
        <f>LOOKUP($B39, INVCOST!$C$8:$C$193, INVCOST!H$8:H$193)</f>
        <v>20.446000000000002</v>
      </c>
      <c r="AC39" s="40">
        <f>LOOKUP($B39, INVCOST!$C$8:$C$193, INVCOST!I$8:I$193)</f>
        <v>20.135999999999999</v>
      </c>
      <c r="AD39" s="40">
        <f>LOOKUP($B39, INVCOST!$C$8:$C$193, INVCOST!J$8:J$193)</f>
        <v>20.212</v>
      </c>
      <c r="AE39" s="40">
        <f>LOOKUP($B39, INVCOST!$C$8:$C$193, INVCOST!K$8:K$193)</f>
        <v>20.135999999999999</v>
      </c>
    </row>
    <row r="40" spans="2:31" s="39" customFormat="1" x14ac:dyDescent="0.3">
      <c r="B40" s="209"/>
      <c r="C40" s="208"/>
      <c r="D40" s="209" t="s">
        <v>39</v>
      </c>
      <c r="E40" s="209"/>
      <c r="F40" s="209"/>
      <c r="G40" s="10"/>
      <c r="H40" s="40"/>
      <c r="I40" s="65"/>
      <c r="J40" s="41"/>
      <c r="K40" s="42"/>
      <c r="L40" s="42"/>
      <c r="M40" s="261"/>
      <c r="N40" s="261"/>
      <c r="O40" s="261"/>
      <c r="P40" s="261"/>
      <c r="Q40" s="261"/>
      <c r="R40" s="40"/>
      <c r="S40" s="40"/>
      <c r="T40" s="40"/>
      <c r="U40" s="40"/>
      <c r="V40" s="41"/>
      <c r="W40" s="60"/>
      <c r="X40" s="40"/>
      <c r="Y40" s="40"/>
      <c r="Z40" s="40"/>
      <c r="AA40" s="40"/>
      <c r="AB40" s="40"/>
      <c r="AC40" s="40"/>
      <c r="AD40" s="40"/>
      <c r="AE40" s="40"/>
    </row>
    <row r="41" spans="2:31" s="39" customFormat="1" x14ac:dyDescent="0.3">
      <c r="B41" s="209"/>
      <c r="C41" s="209"/>
      <c r="D41" s="209"/>
      <c r="E41" s="209"/>
      <c r="F41" s="209" t="s">
        <v>333</v>
      </c>
      <c r="G41" s="50"/>
      <c r="H41" s="40"/>
      <c r="I41" s="41"/>
      <c r="J41" s="41"/>
      <c r="K41" s="42"/>
      <c r="L41" s="42"/>
      <c r="M41" s="164">
        <f>LOOKUP($B39, CEFF!$C$8:$C$156, CEFF!F$8:F$156)</f>
        <v>0.63693999999999995</v>
      </c>
      <c r="N41" s="164">
        <f>LOOKUP($B39, CEFF!$C$8:$C$156, CEFF!G$8:G$156)</f>
        <v>0.67113999999999996</v>
      </c>
      <c r="O41" s="164">
        <f>LOOKUP($B39, CEFF!$C$8:$C$156, CEFF!H$8:H$156)</f>
        <v>0.74626999999999999</v>
      </c>
      <c r="P41" s="164">
        <f>LOOKUP($B39, CEFF!$C$8:$C$156, CEFF!I$8:I$156)</f>
        <v>0.82645000000000002</v>
      </c>
      <c r="Q41" s="164">
        <f>LOOKUP($B39, CEFF!$C$8:$C$156, CEFF!J$8:J$156)</f>
        <v>0.91742999999999997</v>
      </c>
      <c r="R41" s="40"/>
      <c r="S41" s="40"/>
      <c r="T41" s="40"/>
      <c r="U41" s="40"/>
      <c r="V41" s="42"/>
      <c r="W41" s="60"/>
      <c r="X41" s="40"/>
      <c r="Y41" s="40"/>
      <c r="Z41" s="40"/>
      <c r="AA41" s="40"/>
      <c r="AB41" s="40"/>
      <c r="AC41" s="40"/>
      <c r="AD41" s="40"/>
      <c r="AE41" s="40"/>
    </row>
    <row r="42" spans="2:31" s="39" customFormat="1" x14ac:dyDescent="0.3">
      <c r="B42" s="210"/>
      <c r="C42" s="210"/>
      <c r="D42" s="210"/>
      <c r="E42" s="210"/>
      <c r="F42" s="210" t="s">
        <v>335</v>
      </c>
      <c r="G42" s="51"/>
      <c r="H42" s="45"/>
      <c r="I42" s="46"/>
      <c r="J42" s="46"/>
      <c r="K42" s="44"/>
      <c r="L42" s="44"/>
      <c r="M42" s="259">
        <f>LOOKUP($B39, CEFF!$C$163:$C$330, CEFF!F$163:F$330)</f>
        <v>0.52356000000000003</v>
      </c>
      <c r="N42" s="259">
        <f>LOOKUP($B39, CEFF!$C$163:$C$330, CEFF!G$163:G$330)</f>
        <v>0.55249000000000004</v>
      </c>
      <c r="O42" s="259">
        <f>LOOKUP($B39, CEFF!$C$163:$C$330, CEFF!H$163:H$330)</f>
        <v>0.61350000000000005</v>
      </c>
      <c r="P42" s="259">
        <f>LOOKUP($B39, CEFF!$C$163:$C$330, CEFF!I$163:I$330)</f>
        <v>0.68027000000000004</v>
      </c>
      <c r="Q42" s="259">
        <f>LOOKUP($B39, CEFF!$C$163:$C$330, CEFF!J$163:J$330)</f>
        <v>0.75187999999999999</v>
      </c>
      <c r="R42" s="45"/>
      <c r="S42" s="45"/>
      <c r="T42" s="45"/>
      <c r="U42" s="45"/>
      <c r="V42" s="44"/>
      <c r="W42" s="64"/>
      <c r="X42" s="45"/>
      <c r="Y42" s="45"/>
      <c r="Z42" s="45"/>
      <c r="AA42" s="45"/>
      <c r="AB42" s="45"/>
      <c r="AC42" s="45"/>
      <c r="AD42" s="45"/>
      <c r="AE42" s="45"/>
    </row>
    <row r="43" spans="2:31" s="39" customFormat="1" x14ac:dyDescent="0.3">
      <c r="B43" s="209" t="s">
        <v>148</v>
      </c>
      <c r="C43" s="208" t="str">
        <f>LOOKUP(B43, TRA_COMM_PRO!$C$7:$C$189, TRA_COMM_PRO!$D$7:$D$189)</f>
        <v>Truck.Light.LPG.City.01.</v>
      </c>
      <c r="D43" s="209" t="s">
        <v>62</v>
      </c>
      <c r="E43" s="209"/>
      <c r="F43" s="209"/>
      <c r="G43" s="10">
        <f>$G$5</f>
        <v>2019</v>
      </c>
      <c r="H43" s="40">
        <f>H46</f>
        <v>15</v>
      </c>
      <c r="I43" s="65">
        <f>$I$6</f>
        <v>1E-3</v>
      </c>
      <c r="J43" s="41">
        <f>$J$6</f>
        <v>0.3</v>
      </c>
      <c r="K43" s="42"/>
      <c r="L43" s="42"/>
      <c r="M43" s="163"/>
      <c r="N43" s="163"/>
      <c r="O43" s="163"/>
      <c r="P43" s="163"/>
      <c r="Q43" s="163"/>
      <c r="R43" s="40">
        <f>R46</f>
        <v>20</v>
      </c>
      <c r="S43" s="40"/>
      <c r="T43" s="40"/>
      <c r="U43" s="40"/>
      <c r="V43" s="41"/>
      <c r="W43" s="62">
        <f>LOOKUP(B43, FIXOM_VAROM!$C$8:$C$190, FIXOM_VAROM!$D$8:$D$190)</f>
        <v>50</v>
      </c>
      <c r="X43" s="40">
        <f>LOOKUP($B43, INVCOST!$C$8:$C$193, INVCOST!D$8:D$193)</f>
        <v>19.734999999999999</v>
      </c>
      <c r="Y43" s="40">
        <f>LOOKUP($B43, INVCOST!$C$8:$C$193, INVCOST!E$8:E$193)</f>
        <v>19.452000000000002</v>
      </c>
      <c r="Z43" s="40">
        <f>LOOKUP($B43, INVCOST!$C$8:$C$193, INVCOST!F$8:F$193)</f>
        <v>19.43</v>
      </c>
      <c r="AA43" s="40">
        <f>LOOKUP($B43, INVCOST!$C$8:$C$193, INVCOST!G$8:G$193)</f>
        <v>19.414999999999999</v>
      </c>
      <c r="AB43" s="40">
        <f>LOOKUP($B43, INVCOST!$C$8:$C$193, INVCOST!H$8:H$193)</f>
        <v>19.402999999999999</v>
      </c>
      <c r="AC43" s="40">
        <f>LOOKUP($B43, INVCOST!$C$8:$C$193, INVCOST!I$8:I$193)</f>
        <v>19.393000000000001</v>
      </c>
      <c r="AD43" s="40">
        <f>LOOKUP($B43, INVCOST!$C$8:$C$193, INVCOST!J$8:J$193)</f>
        <v>19.385000000000002</v>
      </c>
      <c r="AE43" s="40">
        <f>LOOKUP($B43, INVCOST!$C$8:$C$193, INVCOST!K$8:K$193)</f>
        <v>19.378</v>
      </c>
    </row>
    <row r="44" spans="2:31" s="39" customFormat="1" x14ac:dyDescent="0.3">
      <c r="B44" s="209"/>
      <c r="C44" s="209"/>
      <c r="D44" s="209"/>
      <c r="E44" s="209"/>
      <c r="F44" s="209" t="s">
        <v>333</v>
      </c>
      <c r="G44" s="50"/>
      <c r="H44" s="40"/>
      <c r="I44" s="41"/>
      <c r="J44" s="41"/>
      <c r="K44" s="42"/>
      <c r="L44" s="42"/>
      <c r="M44" s="164">
        <f>LOOKUP($B43, CEFF!$C$8:$C$156, CEFF!F$8:F$156)</f>
        <v>0.51812999999999998</v>
      </c>
      <c r="N44" s="164">
        <f>LOOKUP($B43, CEFF!$C$8:$C$156, CEFF!G$8:G$156)</f>
        <v>0.55249000000000004</v>
      </c>
      <c r="O44" s="164">
        <f>LOOKUP($B43, CEFF!$C$8:$C$156, CEFF!H$8:H$156)</f>
        <v>0.58140000000000003</v>
      </c>
      <c r="P44" s="164">
        <f>LOOKUP($B43, CEFF!$C$8:$C$156, CEFF!I$8:I$156)</f>
        <v>0.61350000000000005</v>
      </c>
      <c r="Q44" s="164">
        <f>LOOKUP($B43, CEFF!$C$8:$C$156, CEFF!J$8:J$156)</f>
        <v>0.64515999999999996</v>
      </c>
      <c r="R44" s="40"/>
      <c r="S44" s="40"/>
      <c r="T44" s="40"/>
      <c r="U44" s="40"/>
      <c r="V44" s="41"/>
      <c r="W44" s="60"/>
      <c r="X44" s="40"/>
      <c r="Y44" s="40"/>
      <c r="Z44" s="40"/>
      <c r="AA44" s="40"/>
      <c r="AB44" s="40"/>
      <c r="AC44" s="40"/>
      <c r="AD44" s="40"/>
      <c r="AE44" s="40"/>
    </row>
    <row r="45" spans="2:31" s="39" customFormat="1" x14ac:dyDescent="0.3">
      <c r="B45" s="210"/>
      <c r="C45" s="210"/>
      <c r="D45" s="210"/>
      <c r="E45" s="210"/>
      <c r="F45" s="210" t="s">
        <v>335</v>
      </c>
      <c r="G45" s="51"/>
      <c r="H45" s="45"/>
      <c r="I45" s="46"/>
      <c r="J45" s="46"/>
      <c r="K45" s="44"/>
      <c r="L45" s="44"/>
      <c r="M45" s="259">
        <f>LOOKUP($B43, CEFF!$C$163:$C$330, CEFF!F$163:F$330)</f>
        <v>0.42553000000000002</v>
      </c>
      <c r="N45" s="259">
        <f>LOOKUP($B43, CEFF!$C$163:$C$330, CEFF!G$163:G$330)</f>
        <v>0.45455000000000001</v>
      </c>
      <c r="O45" s="259">
        <f>LOOKUP($B43, CEFF!$C$163:$C$330, CEFF!H$163:H$330)</f>
        <v>0.47847000000000001</v>
      </c>
      <c r="P45" s="259">
        <f>LOOKUP($B43, CEFF!$C$163:$C$330, CEFF!I$163:I$330)</f>
        <v>0.50251000000000001</v>
      </c>
      <c r="Q45" s="259">
        <f>LOOKUP($B43, CEFF!$C$163:$C$330, CEFF!J$163:J$330)</f>
        <v>0.52910000000000001</v>
      </c>
      <c r="R45" s="45"/>
      <c r="S45" s="45"/>
      <c r="T45" s="45"/>
      <c r="U45" s="45"/>
      <c r="V45" s="46"/>
      <c r="W45" s="64"/>
      <c r="X45" s="45"/>
      <c r="Y45" s="45"/>
      <c r="Z45" s="45"/>
      <c r="AA45" s="45"/>
      <c r="AB45" s="45"/>
      <c r="AC45" s="45"/>
      <c r="AD45" s="45"/>
      <c r="AE45" s="45"/>
    </row>
    <row r="46" spans="2:31" s="39" customFormat="1" x14ac:dyDescent="0.3">
      <c r="B46" s="209" t="s">
        <v>592</v>
      </c>
      <c r="C46" s="208" t="str">
        <f>LOOKUP(B46, TRA_COMM_PRO!$C$7:$C$189, TRA_COMM_PRO!$D$7:$D$189)</f>
        <v>Truck.Light.MTH.01.</v>
      </c>
      <c r="D46" s="209" t="s">
        <v>582</v>
      </c>
      <c r="E46" s="209"/>
      <c r="F46" s="209"/>
      <c r="G46" s="10">
        <f>$G$5</f>
        <v>2019</v>
      </c>
      <c r="H46" s="40">
        <v>15</v>
      </c>
      <c r="I46" s="65">
        <f>$I$6</f>
        <v>1E-3</v>
      </c>
      <c r="J46" s="41">
        <f>$J$6</f>
        <v>0.3</v>
      </c>
      <c r="K46" s="42"/>
      <c r="L46" s="42"/>
      <c r="M46" s="163"/>
      <c r="N46" s="163"/>
      <c r="O46" s="163"/>
      <c r="P46" s="163"/>
      <c r="Q46" s="163"/>
      <c r="R46" s="40">
        <v>20</v>
      </c>
      <c r="S46" s="40"/>
      <c r="T46" s="40"/>
      <c r="U46" s="40"/>
      <c r="V46" s="41"/>
      <c r="W46" s="62">
        <f>LOOKUP(B46, FIXOM_VAROM!$C$8:$C$190, FIXOM_VAROM!$D$8:$D$190)</f>
        <v>50</v>
      </c>
      <c r="X46" s="40">
        <f>LOOKUP($B46, INVCOST!$C$8:$C$193, INVCOST!D$8:D$193)</f>
        <v>19.734999999999999</v>
      </c>
      <c r="Y46" s="40">
        <f>LOOKUP($B46, INVCOST!$C$8:$C$193, INVCOST!E$8:E$193)</f>
        <v>19.452000000000002</v>
      </c>
      <c r="Z46" s="40">
        <f>LOOKUP($B46, INVCOST!$C$8:$C$193, INVCOST!F$8:F$193)</f>
        <v>19.43</v>
      </c>
      <c r="AA46" s="40">
        <f>LOOKUP($B46, INVCOST!$C$8:$C$193, INVCOST!G$8:G$193)</f>
        <v>19.414999999999999</v>
      </c>
      <c r="AB46" s="40">
        <f>LOOKUP($B46, INVCOST!$C$8:$C$193, INVCOST!H$8:H$193)</f>
        <v>19.402999999999999</v>
      </c>
      <c r="AC46" s="40">
        <f>LOOKUP($B46, INVCOST!$C$8:$C$193, INVCOST!I$8:I$193)</f>
        <v>19.393000000000001</v>
      </c>
      <c r="AD46" s="40">
        <f>LOOKUP($B46, INVCOST!$C$8:$C$193, INVCOST!J$8:J$193)</f>
        <v>19.385000000000002</v>
      </c>
      <c r="AE46" s="40">
        <f>LOOKUP($B46, INVCOST!$C$8:$C$193, INVCOST!K$8:K$193)</f>
        <v>19.378</v>
      </c>
    </row>
    <row r="47" spans="2:31" s="39" customFormat="1" x14ac:dyDescent="0.3">
      <c r="B47" s="209"/>
      <c r="C47" s="209"/>
      <c r="D47" s="209"/>
      <c r="E47" s="209"/>
      <c r="F47" s="209" t="s">
        <v>333</v>
      </c>
      <c r="G47" s="50"/>
      <c r="H47" s="40"/>
      <c r="I47" s="41"/>
      <c r="J47" s="41"/>
      <c r="K47" s="42"/>
      <c r="L47" s="42"/>
      <c r="M47" s="164">
        <f>LOOKUP($B46, CEFF!$C$8:$C$156, CEFF!F$8:F$156)</f>
        <v>0.51812999999999998</v>
      </c>
      <c r="N47" s="164">
        <f>LOOKUP($B46, CEFF!$C$8:$C$156, CEFF!G$8:G$156)</f>
        <v>0.55249000000000004</v>
      </c>
      <c r="O47" s="164">
        <f>LOOKUP($B46, CEFF!$C$8:$C$156, CEFF!H$8:H$156)</f>
        <v>0.58140000000000003</v>
      </c>
      <c r="P47" s="164">
        <f>LOOKUP($B46, CEFF!$C$8:$C$156, CEFF!I$8:I$156)</f>
        <v>0.61350000000000005</v>
      </c>
      <c r="Q47" s="164">
        <f>LOOKUP($B46, CEFF!$C$8:$C$156, CEFF!J$8:J$156)</f>
        <v>0.64515999999999996</v>
      </c>
      <c r="R47" s="40"/>
      <c r="S47" s="40"/>
      <c r="T47" s="40"/>
      <c r="U47" s="40"/>
      <c r="V47" s="41"/>
      <c r="W47" s="60"/>
      <c r="X47" s="40"/>
      <c r="Y47" s="40"/>
      <c r="Z47" s="40"/>
      <c r="AA47" s="40"/>
      <c r="AB47" s="40"/>
      <c r="AC47" s="40"/>
      <c r="AD47" s="40"/>
      <c r="AE47" s="40"/>
    </row>
    <row r="48" spans="2:31" s="39" customFormat="1" x14ac:dyDescent="0.3">
      <c r="B48" s="210"/>
      <c r="C48" s="210"/>
      <c r="D48" s="210"/>
      <c r="E48" s="210"/>
      <c r="F48" s="210" t="s">
        <v>335</v>
      </c>
      <c r="G48" s="51"/>
      <c r="H48" s="45"/>
      <c r="I48" s="46"/>
      <c r="J48" s="46"/>
      <c r="K48" s="44"/>
      <c r="L48" s="44"/>
      <c r="M48" s="259">
        <f>LOOKUP($B46, CEFF!$C$163:$C$330, CEFF!F$163:F$330)</f>
        <v>0.42553000000000002</v>
      </c>
      <c r="N48" s="259">
        <f>LOOKUP($B46, CEFF!$C$163:$C$330, CEFF!G$163:G$330)</f>
        <v>0.45455000000000001</v>
      </c>
      <c r="O48" s="259">
        <f>LOOKUP($B46, CEFF!$C$163:$C$330, CEFF!H$163:H$330)</f>
        <v>0.47847000000000001</v>
      </c>
      <c r="P48" s="259">
        <f>LOOKUP($B46, CEFF!$C$163:$C$330, CEFF!I$163:I$330)</f>
        <v>0.50251000000000001</v>
      </c>
      <c r="Q48" s="259">
        <f>LOOKUP($B46, CEFF!$C$163:$C$330, CEFF!J$163:J$330)</f>
        <v>0.52910000000000001</v>
      </c>
      <c r="R48" s="45"/>
      <c r="S48" s="45"/>
      <c r="T48" s="45"/>
      <c r="U48" s="45"/>
      <c r="V48" s="46"/>
      <c r="W48" s="64"/>
      <c r="X48" s="154"/>
      <c r="Y48" s="154"/>
      <c r="Z48" s="154"/>
      <c r="AA48" s="154"/>
      <c r="AB48" s="154"/>
      <c r="AC48" s="154"/>
      <c r="AD48" s="154"/>
      <c r="AE48" s="154"/>
    </row>
    <row r="49" spans="2:31" s="39" customFormat="1" x14ac:dyDescent="0.3">
      <c r="B49" s="212" t="s">
        <v>152</v>
      </c>
      <c r="C49" s="208" t="str">
        <f>LOOKUP(B49, TRA_COMM_PRO!$C$7:$C$189, TRA_COMM_PRO!$D$7:$D$189)</f>
        <v>Truck.Light.Plugin-Hybrid.DST.01.</v>
      </c>
      <c r="D49" s="212" t="s">
        <v>44</v>
      </c>
      <c r="E49" s="212"/>
      <c r="F49" s="212"/>
      <c r="G49" s="10">
        <f>$G$5</f>
        <v>2019</v>
      </c>
      <c r="H49" s="54">
        <v>15</v>
      </c>
      <c r="I49" s="65">
        <f>$I$6</f>
        <v>1E-3</v>
      </c>
      <c r="J49" s="41">
        <f>$J$6</f>
        <v>0.3</v>
      </c>
      <c r="K49" s="42"/>
      <c r="L49" s="42"/>
      <c r="M49" s="164"/>
      <c r="N49" s="164"/>
      <c r="O49" s="164"/>
      <c r="P49" s="164"/>
      <c r="Q49" s="164"/>
      <c r="R49" s="40">
        <v>20</v>
      </c>
      <c r="S49" s="40"/>
      <c r="T49" s="40"/>
      <c r="U49" s="40"/>
      <c r="V49" s="41"/>
      <c r="W49" s="62">
        <f>LOOKUP(B49, FIXOM_VAROM!$C$8:$C$190, FIXOM_VAROM!$D$8:$D$190)</f>
        <v>50</v>
      </c>
      <c r="X49" s="40">
        <f>LOOKUP($B49, INVCOST!$C$8:$C$193, INVCOST!D$8:D$193)</f>
        <v>32.155000000000001</v>
      </c>
      <c r="Y49" s="40">
        <f>LOOKUP($B49, INVCOST!$C$8:$C$193, INVCOST!E$8:E$193)</f>
        <v>29.478999999999999</v>
      </c>
      <c r="Z49" s="40">
        <f>LOOKUP($B49, INVCOST!$C$8:$C$193, INVCOST!F$8:F$193)</f>
        <v>27.831</v>
      </c>
      <c r="AA49" s="40">
        <f>LOOKUP($B49, INVCOST!$C$8:$C$193, INVCOST!G$8:G$193)</f>
        <v>26.962</v>
      </c>
      <c r="AB49" s="40">
        <f>LOOKUP($B49, INVCOST!$C$8:$C$193, INVCOST!H$8:H$193)</f>
        <v>26.277000000000001</v>
      </c>
      <c r="AC49" s="40">
        <f>LOOKUP($B49, INVCOST!$C$8:$C$193, INVCOST!I$8:I$193)</f>
        <v>25.709</v>
      </c>
      <c r="AD49" s="40">
        <f>LOOKUP($B49, INVCOST!$C$8:$C$193, INVCOST!J$8:J$193)</f>
        <v>25.244</v>
      </c>
      <c r="AE49" s="40">
        <f>LOOKUP($B49, INVCOST!$C$8:$C$193, INVCOST!K$8:K$193)</f>
        <v>24.864000000000001</v>
      </c>
    </row>
    <row r="50" spans="2:31" s="39" customFormat="1" x14ac:dyDescent="0.3">
      <c r="B50" s="209"/>
      <c r="C50" s="209"/>
      <c r="D50" s="209" t="s">
        <v>48</v>
      </c>
      <c r="E50" s="209"/>
      <c r="F50" s="209"/>
      <c r="G50" s="50"/>
      <c r="H50" s="40"/>
      <c r="I50" s="41"/>
      <c r="J50" s="41"/>
      <c r="K50" s="42"/>
      <c r="L50" s="42"/>
      <c r="M50" s="164"/>
      <c r="N50" s="164"/>
      <c r="O50" s="164"/>
      <c r="P50" s="164"/>
      <c r="Q50" s="164"/>
      <c r="R50" s="40"/>
      <c r="S50" s="40"/>
      <c r="T50" s="40"/>
      <c r="U50" s="40"/>
      <c r="V50" s="42"/>
      <c r="W50" s="60"/>
      <c r="X50" s="40"/>
      <c r="Y50" s="40"/>
      <c r="Z50" s="40"/>
      <c r="AA50" s="40"/>
      <c r="AB50" s="40"/>
      <c r="AC50" s="40"/>
      <c r="AD50" s="40"/>
      <c r="AE50" s="40"/>
    </row>
    <row r="51" spans="2:31" s="39" customFormat="1" x14ac:dyDescent="0.3">
      <c r="B51" s="209"/>
      <c r="C51" s="209"/>
      <c r="D51" s="209"/>
      <c r="E51" s="209"/>
      <c r="F51" s="209" t="s">
        <v>333</v>
      </c>
      <c r="G51" s="50"/>
      <c r="H51" s="40"/>
      <c r="I51" s="41"/>
      <c r="J51" s="41"/>
      <c r="K51" s="42"/>
      <c r="L51" s="42"/>
      <c r="M51" s="164">
        <f>LOOKUP($B49, CEFF!$C$8:$C$156, CEFF!F$8:F$156)</f>
        <v>0.85470000000000002</v>
      </c>
      <c r="N51" s="164">
        <f>LOOKUP($B49, CEFF!$C$8:$C$156, CEFF!G$8:G$156)</f>
        <v>0.85470000000000002</v>
      </c>
      <c r="O51" s="164">
        <f>LOOKUP($B49, CEFF!$C$8:$C$156, CEFF!H$8:H$156)</f>
        <v>0.94340000000000002</v>
      </c>
      <c r="P51" s="164">
        <f>LOOKUP($B49, CEFF!$C$8:$C$156, CEFF!I$8:I$156)</f>
        <v>1.0416700000000001</v>
      </c>
      <c r="Q51" s="164">
        <f>LOOKUP($B49, CEFF!$C$8:$C$156, CEFF!J$8:J$156)</f>
        <v>1.16279</v>
      </c>
      <c r="R51" s="40"/>
      <c r="S51" s="40"/>
      <c r="T51" s="40"/>
      <c r="U51" s="40"/>
      <c r="V51" s="42"/>
      <c r="W51" s="60"/>
      <c r="X51" s="40"/>
      <c r="Y51" s="40"/>
      <c r="Z51" s="40"/>
      <c r="AA51" s="40"/>
      <c r="AB51" s="40"/>
      <c r="AC51" s="40"/>
      <c r="AD51" s="40"/>
      <c r="AE51" s="40"/>
    </row>
    <row r="52" spans="2:31" s="39" customFormat="1" x14ac:dyDescent="0.3">
      <c r="B52" s="210"/>
      <c r="C52" s="210"/>
      <c r="D52" s="210"/>
      <c r="E52" s="210"/>
      <c r="F52" s="210" t="s">
        <v>335</v>
      </c>
      <c r="G52" s="51"/>
      <c r="H52" s="45"/>
      <c r="I52" s="46"/>
      <c r="J52" s="46"/>
      <c r="K52" s="44"/>
      <c r="L52" s="44"/>
      <c r="M52" s="259">
        <f>LOOKUP($B49, CEFF!$C$163:$C$330, CEFF!F$163:F$330)</f>
        <v>1.0869599999999999</v>
      </c>
      <c r="N52" s="259">
        <f>LOOKUP($B49, CEFF!$C$163:$C$330, CEFF!G$163:G$330)</f>
        <v>1.0638300000000001</v>
      </c>
      <c r="O52" s="259">
        <f>LOOKUP($B49, CEFF!$C$163:$C$330, CEFF!H$163:H$330)</f>
        <v>1.13636</v>
      </c>
      <c r="P52" s="259">
        <f>LOOKUP($B49, CEFF!$C$163:$C$330, CEFF!I$163:I$330)</f>
        <v>1.2195100000000001</v>
      </c>
      <c r="Q52" s="259">
        <f>LOOKUP($B49, CEFF!$C$163:$C$330, CEFF!J$163:J$330)</f>
        <v>1.31579</v>
      </c>
      <c r="R52" s="45"/>
      <c r="S52" s="45"/>
      <c r="T52" s="45"/>
      <c r="U52" s="45"/>
      <c r="V52" s="44"/>
      <c r="W52" s="64"/>
      <c r="X52" s="45"/>
      <c r="Y52" s="45"/>
      <c r="Z52" s="45"/>
      <c r="AA52" s="45"/>
      <c r="AB52" s="45"/>
      <c r="AC52" s="45"/>
      <c r="AD52" s="45"/>
      <c r="AE52" s="45"/>
    </row>
    <row r="53" spans="2:31" s="39" customFormat="1" x14ac:dyDescent="0.3">
      <c r="B53" s="209" t="s">
        <v>154</v>
      </c>
      <c r="C53" s="208" t="str">
        <f>LOOKUP(B53, TRA_COMM_PRO!$C$7:$C$189, TRA_COMM_PRO!$D$7:$D$189)</f>
        <v>Truck.Light.Plugin-Hybrid.GSL01.</v>
      </c>
      <c r="D53" s="209" t="s">
        <v>40</v>
      </c>
      <c r="E53" s="209"/>
      <c r="F53" s="209"/>
      <c r="G53" s="10">
        <f>$G$5</f>
        <v>2019</v>
      </c>
      <c r="H53" s="54">
        <v>15</v>
      </c>
      <c r="I53" s="65">
        <f>$I$6</f>
        <v>1E-3</v>
      </c>
      <c r="J53" s="41">
        <f>$J$6</f>
        <v>0.3</v>
      </c>
      <c r="K53" s="42"/>
      <c r="L53" s="42">
        <v>0.05</v>
      </c>
      <c r="M53" s="164"/>
      <c r="N53" s="164"/>
      <c r="O53" s="164"/>
      <c r="P53" s="164"/>
      <c r="Q53" s="164"/>
      <c r="R53" s="40">
        <v>20</v>
      </c>
      <c r="S53" s="40"/>
      <c r="T53" s="40"/>
      <c r="U53" s="40"/>
      <c r="V53" s="41"/>
      <c r="W53" s="62">
        <f>LOOKUP(B53, FIXOM_VAROM!$C$8:$C$190, FIXOM_VAROM!$D$8:$D$190)</f>
        <v>50</v>
      </c>
      <c r="X53" s="40">
        <f>LOOKUP($B53, INVCOST!$C$8:$C$193, INVCOST!D$8:D$193)</f>
        <v>30.745000000000001</v>
      </c>
      <c r="Y53" s="40">
        <f>LOOKUP($B53, INVCOST!$C$8:$C$193, INVCOST!E$8:E$193)</f>
        <v>28.067</v>
      </c>
      <c r="Z53" s="40">
        <f>LOOKUP($B53, INVCOST!$C$8:$C$193, INVCOST!F$8:F$193)</f>
        <v>26.41</v>
      </c>
      <c r="AA53" s="40">
        <f>LOOKUP($B53, INVCOST!$C$8:$C$193, INVCOST!G$8:G$193)</f>
        <v>25.536000000000001</v>
      </c>
      <c r="AB53" s="40">
        <f>LOOKUP($B53, INVCOST!$C$8:$C$193, INVCOST!H$8:H$193)</f>
        <v>24.844999999999999</v>
      </c>
      <c r="AC53" s="40">
        <f>LOOKUP($B53, INVCOST!$C$8:$C$193, INVCOST!I$8:I$193)</f>
        <v>24.273</v>
      </c>
      <c r="AD53" s="40">
        <f>LOOKUP($B53, INVCOST!$C$8:$C$193, INVCOST!J$8:J$193)</f>
        <v>23.803000000000001</v>
      </c>
      <c r="AE53" s="40">
        <f>LOOKUP($B53, INVCOST!$C$8:$C$193, INVCOST!K$8:K$193)</f>
        <v>23.42</v>
      </c>
    </row>
    <row r="54" spans="2:31" s="39" customFormat="1" x14ac:dyDescent="0.3">
      <c r="B54" s="209"/>
      <c r="C54" s="208"/>
      <c r="D54" s="209" t="s">
        <v>39</v>
      </c>
      <c r="E54" s="209"/>
      <c r="F54" s="209"/>
      <c r="G54" s="10"/>
      <c r="H54" s="40"/>
      <c r="I54" s="65"/>
      <c r="J54" s="41"/>
      <c r="K54" s="42"/>
      <c r="L54" s="42"/>
      <c r="M54" s="164"/>
      <c r="N54" s="164"/>
      <c r="O54" s="164"/>
      <c r="P54" s="164"/>
      <c r="Q54" s="164"/>
      <c r="R54" s="40"/>
      <c r="S54" s="40"/>
      <c r="T54" s="40"/>
      <c r="U54" s="40"/>
      <c r="V54" s="41"/>
      <c r="W54" s="42"/>
      <c r="X54" s="40"/>
      <c r="Y54" s="40"/>
      <c r="Z54" s="40"/>
      <c r="AA54" s="40"/>
      <c r="AB54" s="40"/>
      <c r="AC54" s="40"/>
      <c r="AD54" s="40"/>
      <c r="AE54" s="40"/>
    </row>
    <row r="55" spans="2:31" s="39" customFormat="1" x14ac:dyDescent="0.3">
      <c r="B55" s="209"/>
      <c r="C55" s="209"/>
      <c r="D55" s="209"/>
      <c r="E55" s="209"/>
      <c r="F55" s="209" t="s">
        <v>333</v>
      </c>
      <c r="G55" s="50"/>
      <c r="H55" s="40"/>
      <c r="I55" s="41"/>
      <c r="J55" s="41"/>
      <c r="K55" s="42"/>
      <c r="L55" s="42"/>
      <c r="M55" s="164">
        <f>LOOKUP($B53, CEFF!$C$8:$C$156, CEFF!F$8:F$156)</f>
        <v>0.90908999999999995</v>
      </c>
      <c r="N55" s="164">
        <f>LOOKUP($B53, CEFF!$C$8:$C$156, CEFF!G$8:G$156)</f>
        <v>0.90908999999999995</v>
      </c>
      <c r="O55" s="164">
        <f>LOOKUP($B53, CEFF!$C$8:$C$156, CEFF!H$8:H$156)</f>
        <v>1.0101</v>
      </c>
      <c r="P55" s="164">
        <f>LOOKUP($B53, CEFF!$C$8:$C$156, CEFF!I$8:I$156)</f>
        <v>1.11111</v>
      </c>
      <c r="Q55" s="164">
        <f>LOOKUP($B53, CEFF!$C$8:$C$156, CEFF!J$8:J$156)</f>
        <v>1.2345699999999999</v>
      </c>
      <c r="R55" s="40"/>
      <c r="S55" s="40"/>
      <c r="T55" s="40"/>
      <c r="U55" s="40"/>
      <c r="V55" s="42"/>
      <c r="W55" s="41"/>
      <c r="X55" s="41"/>
      <c r="Y55" s="41"/>
      <c r="Z55" s="41"/>
      <c r="AA55" s="41"/>
      <c r="AB55" s="41"/>
      <c r="AC55" s="41"/>
      <c r="AD55" s="41"/>
      <c r="AE55" s="41"/>
    </row>
    <row r="56" spans="2:31" s="39" customFormat="1" x14ac:dyDescent="0.3">
      <c r="B56" s="213"/>
      <c r="C56" s="213"/>
      <c r="D56" s="213"/>
      <c r="E56" s="213"/>
      <c r="F56" s="213" t="s">
        <v>335</v>
      </c>
      <c r="G56" s="180"/>
      <c r="H56" s="181"/>
      <c r="I56" s="179"/>
      <c r="J56" s="179"/>
      <c r="K56" s="177"/>
      <c r="L56" s="177"/>
      <c r="M56" s="262">
        <f>LOOKUP($B53, CEFF!$C$163:$C$330, CEFF!F$163:F$330)</f>
        <v>1.0101</v>
      </c>
      <c r="N56" s="262">
        <f>LOOKUP($B53, CEFF!$C$163:$C$330, CEFF!G$163:G$330)</f>
        <v>0.99009999999999998</v>
      </c>
      <c r="O56" s="262">
        <f>LOOKUP($B53, CEFF!$C$163:$C$330, CEFF!H$163:H$330)</f>
        <v>1.05263</v>
      </c>
      <c r="P56" s="262">
        <f>LOOKUP($B53, CEFF!$C$163:$C$330, CEFF!I$163:I$330)</f>
        <v>1.1235999999999999</v>
      </c>
      <c r="Q56" s="262">
        <f>LOOKUP($B53, CEFF!$C$163:$C$330, CEFF!J$163:J$330)</f>
        <v>1.19048</v>
      </c>
      <c r="R56" s="181"/>
      <c r="S56" s="181"/>
      <c r="T56" s="181"/>
      <c r="U56" s="181"/>
      <c r="V56" s="177"/>
      <c r="W56" s="179"/>
      <c r="X56" s="179"/>
      <c r="Y56" s="179"/>
      <c r="Z56" s="179"/>
      <c r="AA56" s="179"/>
      <c r="AB56" s="179"/>
      <c r="AC56" s="179"/>
      <c r="AD56" s="179"/>
      <c r="AE56" s="179"/>
    </row>
    <row r="57" spans="2:31" s="39" customFormat="1" x14ac:dyDescent="0.3">
      <c r="H57" s="36"/>
      <c r="I57" s="37"/>
      <c r="J57" s="38"/>
      <c r="K57" s="58"/>
      <c r="L57" s="58"/>
      <c r="M57" s="58"/>
      <c r="N57" s="58"/>
      <c r="O57" s="58"/>
      <c r="P57" s="58"/>
      <c r="Q57" s="58"/>
      <c r="R57" s="36"/>
      <c r="S57" s="36"/>
      <c r="T57" s="36"/>
      <c r="U57" s="36"/>
      <c r="V57" s="38"/>
      <c r="W57" s="38"/>
      <c r="X57" s="38"/>
      <c r="Y57" s="38"/>
      <c r="Z57" s="38"/>
      <c r="AA57" s="38"/>
      <c r="AB57" s="38"/>
      <c r="AC57" s="38"/>
      <c r="AD57" s="38"/>
      <c r="AE57" s="38"/>
    </row>
    <row r="59" spans="2:31" x14ac:dyDescent="0.3">
      <c r="B59" s="6" t="s">
        <v>544</v>
      </c>
      <c r="C59" s="7"/>
      <c r="D59" s="8"/>
      <c r="E59" s="8"/>
      <c r="F59" s="9" t="s">
        <v>1</v>
      </c>
      <c r="G59" s="4"/>
    </row>
    <row r="60" spans="2:31" x14ac:dyDescent="0.3">
      <c r="B60" s="199" t="s">
        <v>2</v>
      </c>
      <c r="C60" s="199" t="s">
        <v>3</v>
      </c>
      <c r="D60" s="199" t="s">
        <v>4</v>
      </c>
      <c r="E60" s="199" t="s">
        <v>5</v>
      </c>
      <c r="F60" s="200" t="s">
        <v>6</v>
      </c>
      <c r="G60" s="200" t="s">
        <v>186</v>
      </c>
      <c r="H60" s="201" t="s">
        <v>185</v>
      </c>
      <c r="I60" s="201" t="s">
        <v>11</v>
      </c>
      <c r="J60" s="200" t="s">
        <v>12</v>
      </c>
      <c r="K60" s="200" t="s">
        <v>7</v>
      </c>
      <c r="L60" s="200" t="s">
        <v>8</v>
      </c>
      <c r="M60" s="201" t="s">
        <v>688</v>
      </c>
      <c r="N60" s="201" t="s">
        <v>321</v>
      </c>
      <c r="O60" s="201" t="s">
        <v>322</v>
      </c>
      <c r="P60" s="201" t="s">
        <v>9</v>
      </c>
      <c r="Q60" s="201" t="s">
        <v>10</v>
      </c>
      <c r="R60" s="201" t="s">
        <v>687</v>
      </c>
      <c r="S60" s="201" t="s">
        <v>448</v>
      </c>
      <c r="T60" s="201" t="s">
        <v>13</v>
      </c>
      <c r="U60" s="201" t="s">
        <v>382</v>
      </c>
      <c r="V60" s="201" t="s">
        <v>42</v>
      </c>
      <c r="W60" s="201" t="s">
        <v>14</v>
      </c>
      <c r="X60" s="201" t="s">
        <v>381</v>
      </c>
      <c r="Y60" s="201" t="s">
        <v>15</v>
      </c>
      <c r="Z60" s="201" t="s">
        <v>16</v>
      </c>
      <c r="AA60" s="201" t="s">
        <v>17</v>
      </c>
      <c r="AB60" s="201" t="s">
        <v>18</v>
      </c>
      <c r="AC60" s="201" t="s">
        <v>19</v>
      </c>
      <c r="AD60" s="201" t="s">
        <v>20</v>
      </c>
      <c r="AE60" s="201" t="s">
        <v>21</v>
      </c>
    </row>
    <row r="61" spans="2:31" ht="33.75" customHeight="1" thickBot="1" x14ac:dyDescent="0.35">
      <c r="B61" s="202" t="s">
        <v>22</v>
      </c>
      <c r="C61" s="202"/>
      <c r="D61" s="202"/>
      <c r="E61" s="202"/>
      <c r="F61" s="203" t="s">
        <v>23</v>
      </c>
      <c r="G61" s="203">
        <v>2019</v>
      </c>
      <c r="H61" s="204" t="s">
        <v>26</v>
      </c>
      <c r="I61" s="204" t="s">
        <v>543</v>
      </c>
      <c r="J61" s="204" t="s">
        <v>126</v>
      </c>
      <c r="K61" s="203"/>
      <c r="L61" s="203"/>
      <c r="M61" s="205" t="s">
        <v>653</v>
      </c>
      <c r="N61" s="205" t="s">
        <v>653</v>
      </c>
      <c r="O61" s="205" t="s">
        <v>653</v>
      </c>
      <c r="P61" s="205" t="s">
        <v>653</v>
      </c>
      <c r="Q61" s="205" t="s">
        <v>653</v>
      </c>
      <c r="R61" s="204" t="s">
        <v>658</v>
      </c>
      <c r="S61" s="204" t="s">
        <v>658</v>
      </c>
      <c r="T61" s="204" t="s">
        <v>658</v>
      </c>
      <c r="U61" s="204" t="s">
        <v>658</v>
      </c>
      <c r="V61" s="206" t="s">
        <v>662</v>
      </c>
      <c r="W61" s="206" t="s">
        <v>661</v>
      </c>
      <c r="X61" s="206" t="s">
        <v>657</v>
      </c>
      <c r="Y61" s="206" t="s">
        <v>657</v>
      </c>
      <c r="Z61" s="206" t="s">
        <v>657</v>
      </c>
      <c r="AA61" s="206" t="s">
        <v>657</v>
      </c>
      <c r="AB61" s="206" t="s">
        <v>657</v>
      </c>
      <c r="AC61" s="206" t="s">
        <v>657</v>
      </c>
      <c r="AD61" s="206" t="s">
        <v>657</v>
      </c>
      <c r="AE61" s="206" t="s">
        <v>657</v>
      </c>
    </row>
    <row r="62" spans="2:31" s="39" customFormat="1" x14ac:dyDescent="0.3">
      <c r="B62" s="207" t="s">
        <v>236</v>
      </c>
      <c r="C62" s="208" t="str">
        <f>LOOKUP(B62, TRA_COMM_PRO!$C$7:$C$189, TRA_COMM_PRO!$D$7:$D$189)</f>
        <v>Truck.Light.BDL.City.01.</v>
      </c>
      <c r="D62" s="207" t="s">
        <v>44</v>
      </c>
      <c r="E62" s="207"/>
      <c r="F62" s="207"/>
      <c r="G62" s="10">
        <f>$G$5</f>
        <v>2019</v>
      </c>
      <c r="H62" s="71">
        <v>15</v>
      </c>
      <c r="I62" s="156">
        <f>10^-3</f>
        <v>1E-3</v>
      </c>
      <c r="J62" s="72">
        <v>0.3</v>
      </c>
      <c r="K62" s="73"/>
      <c r="L62" s="73"/>
      <c r="M62" s="71"/>
      <c r="N62" s="71"/>
      <c r="O62" s="71"/>
      <c r="P62" s="71"/>
      <c r="Q62" s="71"/>
      <c r="R62" s="71">
        <v>20</v>
      </c>
      <c r="S62" s="71"/>
      <c r="T62" s="71"/>
      <c r="U62" s="71"/>
      <c r="V62" s="72"/>
      <c r="W62" s="62">
        <f>LOOKUP(B62, FIXOM_VAROM!$C$8:$C$190, FIXOM_VAROM!$D$8:$D$190)</f>
        <v>50</v>
      </c>
      <c r="X62" s="40">
        <f>LOOKUP($B62, INVCOST!$C$8:$C$193, INVCOST!D$8:D$193)</f>
        <v>21.434999999999999</v>
      </c>
      <c r="Y62" s="40">
        <f>LOOKUP($B62, INVCOST!$C$8:$C$193, INVCOST!E$8:E$193)</f>
        <v>21.155000000000001</v>
      </c>
      <c r="Z62" s="40">
        <f>LOOKUP($B62, INVCOST!$C$8:$C$193, INVCOST!F$8:F$193)</f>
        <v>21.132000000000001</v>
      </c>
      <c r="AA62" s="40">
        <f>LOOKUP($B62, INVCOST!$C$8:$C$193, INVCOST!G$8:G$193)</f>
        <v>21.117999999999999</v>
      </c>
      <c r="AB62" s="40">
        <f>LOOKUP($B62, INVCOST!$C$8:$C$193, INVCOST!H$8:H$193)</f>
        <v>21.108000000000001</v>
      </c>
      <c r="AC62" s="40">
        <f>LOOKUP($B62, INVCOST!$C$8:$C$193, INVCOST!I$8:I$193)</f>
        <v>21.1</v>
      </c>
      <c r="AD62" s="40">
        <f>LOOKUP($B62, INVCOST!$C$8:$C$193, INVCOST!J$8:J$193)</f>
        <v>21.093</v>
      </c>
      <c r="AE62" s="40">
        <f>LOOKUP($B62, INVCOST!$C$8:$C$193, INVCOST!K$8:K$193)</f>
        <v>21.088000000000001</v>
      </c>
    </row>
    <row r="63" spans="2:31" s="39" customFormat="1" x14ac:dyDescent="0.3">
      <c r="B63" s="209"/>
      <c r="C63" s="211"/>
      <c r="D63" s="209"/>
      <c r="E63" s="209"/>
      <c r="F63" s="209" t="s">
        <v>477</v>
      </c>
      <c r="G63" s="50"/>
      <c r="H63" s="40"/>
      <c r="I63" s="41"/>
      <c r="J63" s="41"/>
      <c r="K63" s="42"/>
      <c r="L63" s="42"/>
      <c r="M63" s="164">
        <f>LOOKUP($B62, CEFF!$C$8:$C$156, CEFF!F$8:F$156)</f>
        <v>0.57471000000000005</v>
      </c>
      <c r="N63" s="164">
        <f>LOOKUP($B62, CEFF!$C$8:$C$156, CEFF!G$8:G$156)</f>
        <v>0.61350000000000005</v>
      </c>
      <c r="O63" s="164">
        <f>LOOKUP($B62, CEFF!$C$8:$C$156, CEFF!H$8:H$156)</f>
        <v>0.64515999999999996</v>
      </c>
      <c r="P63" s="164">
        <f>LOOKUP($B62, CEFF!$C$8:$C$156, CEFF!I$8:I$156)</f>
        <v>0.68027000000000004</v>
      </c>
      <c r="Q63" s="164">
        <f>LOOKUP($B62, CEFF!$C$8:$C$156, CEFF!J$8:J$156)</f>
        <v>0.71428999999999998</v>
      </c>
      <c r="R63" s="40"/>
      <c r="S63" s="40"/>
      <c r="T63" s="40"/>
      <c r="U63" s="40"/>
      <c r="V63" s="41"/>
      <c r="W63" s="60"/>
      <c r="X63" s="40"/>
      <c r="Y63" s="40"/>
      <c r="Z63" s="40"/>
      <c r="AA63" s="40"/>
      <c r="AB63" s="40"/>
      <c r="AC63" s="40"/>
      <c r="AD63" s="40"/>
      <c r="AE63" s="40"/>
    </row>
    <row r="64" spans="2:31" s="39" customFormat="1" x14ac:dyDescent="0.3">
      <c r="B64" s="210"/>
      <c r="C64" s="210"/>
      <c r="D64" s="210"/>
      <c r="E64" s="210"/>
      <c r="F64" s="210" t="s">
        <v>476</v>
      </c>
      <c r="G64" s="51"/>
      <c r="H64" s="45"/>
      <c r="I64" s="46"/>
      <c r="J64" s="46"/>
      <c r="K64" s="44"/>
      <c r="L64" s="44"/>
      <c r="M64" s="259">
        <f>LOOKUP($B62, CEFF!$C$163:$C$330, CEFF!F$163:F$330)</f>
        <v>0.50251000000000001</v>
      </c>
      <c r="N64" s="259">
        <f>LOOKUP($B62, CEFF!$C$163:$C$330, CEFF!G$163:G$330)</f>
        <v>0.53763000000000005</v>
      </c>
      <c r="O64" s="259">
        <f>LOOKUP($B62, CEFF!$C$163:$C$330, CEFF!H$163:H$330)</f>
        <v>0.56496999999999997</v>
      </c>
      <c r="P64" s="259">
        <f>LOOKUP($B62, CEFF!$C$163:$C$330, CEFF!I$163:I$330)</f>
        <v>0.59523999999999999</v>
      </c>
      <c r="Q64" s="259">
        <f>LOOKUP($B62, CEFF!$C$163:$C$330, CEFF!J$163:J$330)</f>
        <v>0.625</v>
      </c>
      <c r="R64" s="45"/>
      <c r="S64" s="45"/>
      <c r="T64" s="45"/>
      <c r="U64" s="45"/>
      <c r="V64" s="46"/>
      <c r="W64" s="64"/>
      <c r="X64" s="45"/>
      <c r="Y64" s="45"/>
      <c r="Z64" s="45"/>
      <c r="AA64" s="45"/>
      <c r="AB64" s="45"/>
      <c r="AC64" s="45"/>
      <c r="AD64" s="45"/>
      <c r="AE64" s="45"/>
    </row>
    <row r="65" spans="2:31" s="39" customFormat="1" x14ac:dyDescent="0.3">
      <c r="B65" s="209" t="s">
        <v>238</v>
      </c>
      <c r="C65" s="208" t="str">
        <f>LOOKUP(B65, TRA_COMM_PRO!$C$7:$C$189, TRA_COMM_PRO!$D$7:$D$189)</f>
        <v>Truck.Light.DME.City.01.</v>
      </c>
      <c r="D65" s="209" t="s">
        <v>71</v>
      </c>
      <c r="E65" s="209"/>
      <c r="F65" s="209"/>
      <c r="G65" s="10">
        <f>$G$5</f>
        <v>2019</v>
      </c>
      <c r="H65" s="40">
        <v>15</v>
      </c>
      <c r="I65" s="65">
        <f>$I$6</f>
        <v>1E-3</v>
      </c>
      <c r="J65" s="41">
        <f>$J$62</f>
        <v>0.3</v>
      </c>
      <c r="K65" s="42"/>
      <c r="L65" s="42"/>
      <c r="M65" s="163"/>
      <c r="N65" s="163"/>
      <c r="O65" s="163"/>
      <c r="P65" s="163"/>
      <c r="Q65" s="163"/>
      <c r="R65" s="40">
        <v>20</v>
      </c>
      <c r="S65" s="40"/>
      <c r="T65" s="40"/>
      <c r="U65" s="40"/>
      <c r="V65" s="41"/>
      <c r="W65" s="62">
        <f>LOOKUP(B65, FIXOM_VAROM!$C$8:$C$190, FIXOM_VAROM!$D$8:$D$190)</f>
        <v>50</v>
      </c>
      <c r="X65" s="40">
        <f>LOOKUP($B65, INVCOST!$C$8:$C$193, INVCOST!D$8:D$193)</f>
        <v>23.578499999999998</v>
      </c>
      <c r="Y65" s="40">
        <f>LOOKUP($B65, INVCOST!$C$8:$C$193, INVCOST!E$8:E$193)</f>
        <v>23.270500000000002</v>
      </c>
      <c r="Z65" s="40">
        <f>LOOKUP($B65, INVCOST!$C$8:$C$193, INVCOST!F$8:F$193)</f>
        <v>23.245200000000004</v>
      </c>
      <c r="AA65" s="40">
        <f>LOOKUP($B65, INVCOST!$C$8:$C$193, INVCOST!G$8:G$193)</f>
        <v>23.229800000000001</v>
      </c>
      <c r="AB65" s="40">
        <f>LOOKUP($B65, INVCOST!$C$8:$C$193, INVCOST!H$8:H$193)</f>
        <v>23.218800000000002</v>
      </c>
      <c r="AC65" s="40">
        <f>LOOKUP($B65, INVCOST!$C$8:$C$193, INVCOST!I$8:I$193)</f>
        <v>23.210000000000004</v>
      </c>
      <c r="AD65" s="40">
        <f>LOOKUP($B65, INVCOST!$C$8:$C$193, INVCOST!J$8:J$193)</f>
        <v>23.202300000000001</v>
      </c>
      <c r="AE65" s="40">
        <f>LOOKUP($B65, INVCOST!$C$8:$C$193, INVCOST!K$8:K$193)</f>
        <v>23.196800000000003</v>
      </c>
    </row>
    <row r="66" spans="2:31" s="39" customFormat="1" x14ac:dyDescent="0.3">
      <c r="B66" s="209"/>
      <c r="C66" s="209"/>
      <c r="D66" s="209"/>
      <c r="E66" s="209"/>
      <c r="F66" s="209" t="s">
        <v>477</v>
      </c>
      <c r="G66" s="50"/>
      <c r="H66" s="40"/>
      <c r="I66" s="41"/>
      <c r="J66" s="41"/>
      <c r="K66" s="42"/>
      <c r="L66" s="42"/>
      <c r="M66" s="164">
        <f>LOOKUP($B65, CEFF!$C$8:$C$156, CEFF!F$8:F$156)</f>
        <v>0.57471000000000005</v>
      </c>
      <c r="N66" s="164">
        <f>LOOKUP($B65, CEFF!$C$8:$C$156, CEFF!G$8:G$156)</f>
        <v>0.61350000000000005</v>
      </c>
      <c r="O66" s="164">
        <f>LOOKUP($B65, CEFF!$C$8:$C$156, CEFF!H$8:H$156)</f>
        <v>0.64515999999999996</v>
      </c>
      <c r="P66" s="164">
        <f>LOOKUP($B65, CEFF!$C$8:$C$156, CEFF!I$8:I$156)</f>
        <v>0.68027000000000004</v>
      </c>
      <c r="Q66" s="164">
        <f>LOOKUP($B65, CEFF!$C$8:$C$156, CEFF!J$8:J$156)</f>
        <v>0.71428999999999998</v>
      </c>
      <c r="R66" s="40"/>
      <c r="S66" s="40"/>
      <c r="T66" s="40"/>
      <c r="U66" s="40"/>
      <c r="V66" s="41"/>
      <c r="W66" s="60"/>
      <c r="X66" s="40"/>
      <c r="Y66" s="40"/>
      <c r="Z66" s="40"/>
      <c r="AA66" s="40"/>
      <c r="AB66" s="40"/>
      <c r="AC66" s="40"/>
      <c r="AD66" s="40"/>
      <c r="AE66" s="40"/>
    </row>
    <row r="67" spans="2:31" s="39" customFormat="1" x14ac:dyDescent="0.3">
      <c r="B67" s="210"/>
      <c r="C67" s="210"/>
      <c r="D67" s="210"/>
      <c r="E67" s="210"/>
      <c r="F67" s="210" t="s">
        <v>476</v>
      </c>
      <c r="G67" s="51"/>
      <c r="H67" s="45"/>
      <c r="I67" s="46"/>
      <c r="J67" s="46"/>
      <c r="K67" s="44"/>
      <c r="L67" s="44"/>
      <c r="M67" s="259">
        <f>LOOKUP($B65, CEFF!$C$163:$C$330, CEFF!F$163:F$330)</f>
        <v>0.50251000000000001</v>
      </c>
      <c r="N67" s="259">
        <f>LOOKUP($B65, CEFF!$C$163:$C$330, CEFF!G$163:G$330)</f>
        <v>0.53763000000000005</v>
      </c>
      <c r="O67" s="259">
        <f>LOOKUP($B65, CEFF!$C$163:$C$330, CEFF!H$163:H$330)</f>
        <v>0.56496999999999997</v>
      </c>
      <c r="P67" s="259">
        <f>LOOKUP($B65, CEFF!$C$163:$C$330, CEFF!I$163:I$330)</f>
        <v>0.59523999999999999</v>
      </c>
      <c r="Q67" s="259">
        <f>LOOKUP($B65, CEFF!$C$163:$C$330, CEFF!J$163:J$330)</f>
        <v>0.625</v>
      </c>
      <c r="R67" s="45"/>
      <c r="S67" s="45"/>
      <c r="T67" s="45"/>
      <c r="U67" s="45"/>
      <c r="V67" s="46"/>
      <c r="W67" s="64"/>
      <c r="X67" s="45"/>
      <c r="Y67" s="45"/>
      <c r="Z67" s="45"/>
      <c r="AA67" s="45"/>
      <c r="AB67" s="45"/>
      <c r="AC67" s="45"/>
      <c r="AD67" s="45"/>
      <c r="AE67" s="45"/>
    </row>
    <row r="68" spans="2:31" s="39" customFormat="1" x14ac:dyDescent="0.3">
      <c r="B68" s="209" t="s">
        <v>240</v>
      </c>
      <c r="C68" s="208" t="str">
        <f>LOOKUP(B68, TRA_COMM_PRO!$C$7:$C$189, TRA_COMM_PRO!$D$7:$D$189)</f>
        <v>Truck.Light.DST.City.01.</v>
      </c>
      <c r="D68" s="209" t="s">
        <v>44</v>
      </c>
      <c r="E68" s="209"/>
      <c r="F68" s="209"/>
      <c r="G68" s="10">
        <f>$G$5</f>
        <v>2019</v>
      </c>
      <c r="H68" s="40">
        <v>15</v>
      </c>
      <c r="I68" s="65">
        <f>$I$6</f>
        <v>1E-3</v>
      </c>
      <c r="J68" s="41">
        <f>$J$62</f>
        <v>0.3</v>
      </c>
      <c r="K68" s="42"/>
      <c r="L68" s="42"/>
      <c r="M68" s="163"/>
      <c r="N68" s="163"/>
      <c r="O68" s="163"/>
      <c r="P68" s="163"/>
      <c r="Q68" s="163"/>
      <c r="R68" s="40">
        <v>20</v>
      </c>
      <c r="S68" s="40"/>
      <c r="T68" s="40"/>
      <c r="U68" s="40"/>
      <c r="V68" s="41"/>
      <c r="W68" s="62">
        <f>LOOKUP(B68, FIXOM_VAROM!$C$8:$C$190, FIXOM_VAROM!$D$8:$D$190)</f>
        <v>50</v>
      </c>
      <c r="X68" s="40">
        <f>LOOKUP($B68, INVCOST!$C$8:$C$193, INVCOST!D$8:D$193)</f>
        <v>21.434999999999999</v>
      </c>
      <c r="Y68" s="40">
        <f>LOOKUP($B68, INVCOST!$C$8:$C$193, INVCOST!E$8:E$193)</f>
        <v>21.155000000000001</v>
      </c>
      <c r="Z68" s="40">
        <f>LOOKUP($B68, INVCOST!$C$8:$C$193, INVCOST!F$8:F$193)</f>
        <v>21.132000000000001</v>
      </c>
      <c r="AA68" s="40">
        <f>LOOKUP($B68, INVCOST!$C$8:$C$193, INVCOST!G$8:G$193)</f>
        <v>21.117999999999999</v>
      </c>
      <c r="AB68" s="40">
        <f>LOOKUP($B68, INVCOST!$C$8:$C$193, INVCOST!H$8:H$193)</f>
        <v>21.108000000000001</v>
      </c>
      <c r="AC68" s="40">
        <f>LOOKUP($B68, INVCOST!$C$8:$C$193, INVCOST!I$8:I$193)</f>
        <v>21.1</v>
      </c>
      <c r="AD68" s="40">
        <f>LOOKUP($B68, INVCOST!$C$8:$C$193, INVCOST!J$8:J$193)</f>
        <v>21.093</v>
      </c>
      <c r="AE68" s="40">
        <f>LOOKUP($B68, INVCOST!$C$8:$C$193, INVCOST!K$8:K$193)</f>
        <v>21.088000000000001</v>
      </c>
    </row>
    <row r="69" spans="2:31" s="39" customFormat="1" x14ac:dyDescent="0.3">
      <c r="B69" s="209"/>
      <c r="C69" s="209"/>
      <c r="D69" s="209" t="s">
        <v>48</v>
      </c>
      <c r="E69" s="209"/>
      <c r="F69" s="209"/>
      <c r="G69" s="50"/>
      <c r="H69" s="40"/>
      <c r="I69" s="41"/>
      <c r="J69" s="41"/>
      <c r="K69" s="42"/>
      <c r="L69" s="42"/>
      <c r="M69" s="163"/>
      <c r="N69" s="163"/>
      <c r="O69" s="163"/>
      <c r="P69" s="163"/>
      <c r="Q69" s="163"/>
      <c r="R69" s="40"/>
      <c r="S69" s="40"/>
      <c r="T69" s="40"/>
      <c r="U69" s="40"/>
      <c r="V69" s="41"/>
      <c r="W69" s="60"/>
      <c r="X69" s="40"/>
      <c r="Y69" s="40"/>
      <c r="Z69" s="40"/>
      <c r="AA69" s="40"/>
      <c r="AB69" s="40"/>
      <c r="AC69" s="40"/>
      <c r="AD69" s="40"/>
      <c r="AE69" s="40"/>
    </row>
    <row r="70" spans="2:31" s="39" customFormat="1" x14ac:dyDescent="0.3">
      <c r="B70" s="209"/>
      <c r="C70" s="209"/>
      <c r="D70" s="209"/>
      <c r="E70" s="209"/>
      <c r="F70" s="209" t="s">
        <v>477</v>
      </c>
      <c r="G70" s="50"/>
      <c r="H70" s="40"/>
      <c r="I70" s="41"/>
      <c r="J70" s="41"/>
      <c r="K70" s="42"/>
      <c r="L70" s="42"/>
      <c r="M70" s="164">
        <f>LOOKUP($B68, CEFF!$C$8:$C$156, CEFF!F$8:F$156)</f>
        <v>0.57471000000000005</v>
      </c>
      <c r="N70" s="164">
        <f>LOOKUP($B68, CEFF!$C$8:$C$156, CEFF!G$8:G$156)</f>
        <v>0.61350000000000005</v>
      </c>
      <c r="O70" s="164">
        <f>LOOKUP($B68, CEFF!$C$8:$C$156, CEFF!H$8:H$156)</f>
        <v>0.64515999999999996</v>
      </c>
      <c r="P70" s="164">
        <f>LOOKUP($B68, CEFF!$C$8:$C$156, CEFF!I$8:I$156)</f>
        <v>0.68027000000000004</v>
      </c>
      <c r="Q70" s="164">
        <f>LOOKUP($B68, CEFF!$C$8:$C$156, CEFF!J$8:J$156)</f>
        <v>0.71428999999999998</v>
      </c>
      <c r="R70" s="40"/>
      <c r="S70" s="40"/>
      <c r="T70" s="40"/>
      <c r="U70" s="40"/>
      <c r="V70" s="41"/>
      <c r="W70" s="60"/>
      <c r="X70" s="40"/>
      <c r="Y70" s="40"/>
      <c r="Z70" s="40"/>
      <c r="AA70" s="40"/>
      <c r="AB70" s="40"/>
      <c r="AC70" s="40"/>
      <c r="AD70" s="40"/>
      <c r="AE70" s="40"/>
    </row>
    <row r="71" spans="2:31" s="39" customFormat="1" x14ac:dyDescent="0.3">
      <c r="B71" s="210"/>
      <c r="C71" s="210"/>
      <c r="D71" s="210"/>
      <c r="E71" s="210"/>
      <c r="F71" s="210" t="s">
        <v>476</v>
      </c>
      <c r="G71" s="51"/>
      <c r="H71" s="45"/>
      <c r="I71" s="46"/>
      <c r="J71" s="46"/>
      <c r="K71" s="44"/>
      <c r="L71" s="44"/>
      <c r="M71" s="259">
        <f>LOOKUP($B68, CEFF!$C$163:$C$330, CEFF!F$163:F$330)</f>
        <v>0.50251000000000001</v>
      </c>
      <c r="N71" s="259">
        <f>LOOKUP($B68, CEFF!$C$163:$C$330, CEFF!G$163:G$330)</f>
        <v>0.53763000000000005</v>
      </c>
      <c r="O71" s="259">
        <f>LOOKUP($B68, CEFF!$C$163:$C$330, CEFF!H$163:H$330)</f>
        <v>0.56496999999999997</v>
      </c>
      <c r="P71" s="259">
        <f>LOOKUP($B68, CEFF!$C$163:$C$330, CEFF!I$163:I$330)</f>
        <v>0.59523999999999999</v>
      </c>
      <c r="Q71" s="259">
        <f>LOOKUP($B68, CEFF!$C$163:$C$330, CEFF!J$163:J$330)</f>
        <v>0.625</v>
      </c>
      <c r="R71" s="45"/>
      <c r="S71" s="45"/>
      <c r="T71" s="45"/>
      <c r="U71" s="45"/>
      <c r="V71" s="46"/>
      <c r="W71" s="64"/>
      <c r="X71" s="45"/>
      <c r="Y71" s="45"/>
      <c r="Z71" s="45"/>
      <c r="AA71" s="45"/>
      <c r="AB71" s="45"/>
      <c r="AC71" s="45"/>
      <c r="AD71" s="45"/>
      <c r="AE71" s="45"/>
    </row>
    <row r="72" spans="2:31" s="39" customFormat="1" x14ac:dyDescent="0.3">
      <c r="B72" s="209" t="s">
        <v>242</v>
      </c>
      <c r="C72" s="208" t="str">
        <f>LOOKUP(B72, TRA_COMM_PRO!$C$7:$C$189, TRA_COMM_PRO!$D$7:$D$189)</f>
        <v>Truck.Light.ELC.City.01.</v>
      </c>
      <c r="D72" s="209" t="s">
        <v>27</v>
      </c>
      <c r="E72" s="209"/>
      <c r="F72" s="209"/>
      <c r="G72" s="10">
        <f>$G$5</f>
        <v>2019</v>
      </c>
      <c r="H72" s="40">
        <v>10</v>
      </c>
      <c r="I72" s="65">
        <f>$I$6</f>
        <v>1E-3</v>
      </c>
      <c r="J72" s="41">
        <f>$J$62</f>
        <v>0.3</v>
      </c>
      <c r="K72" s="42"/>
      <c r="L72" s="42"/>
      <c r="M72" s="163"/>
      <c r="N72" s="163"/>
      <c r="O72" s="163"/>
      <c r="P72" s="163"/>
      <c r="Q72" s="163"/>
      <c r="R72" s="40">
        <v>15</v>
      </c>
      <c r="S72" s="40"/>
      <c r="T72" s="40">
        <v>20</v>
      </c>
      <c r="U72" s="40"/>
      <c r="V72" s="41"/>
      <c r="W72" s="62">
        <f>LOOKUP(B72, FIXOM_VAROM!$C$8:$C$190, FIXOM_VAROM!$D$8:$D$190)</f>
        <v>40.000000000000007</v>
      </c>
      <c r="X72" s="40">
        <f>LOOKUP($B72, INVCOST!$C$8:$C$193, INVCOST!D$8:D$193)</f>
        <v>41.054000000000002</v>
      </c>
      <c r="Y72" s="40">
        <f>LOOKUP($B72, INVCOST!$C$8:$C$193, INVCOST!E$8:E$193)</f>
        <v>35.389000000000003</v>
      </c>
      <c r="Z72" s="40">
        <f>LOOKUP($B72, INVCOST!$C$8:$C$193, INVCOST!F$8:F$193)</f>
        <v>31.187999999999999</v>
      </c>
      <c r="AA72" s="40">
        <f>LOOKUP($B72, INVCOST!$C$8:$C$193, INVCOST!G$8:G$193)</f>
        <v>29.695</v>
      </c>
      <c r="AB72" s="40">
        <f>LOOKUP($B72, INVCOST!$C$8:$C$193, INVCOST!H$8:H$193)</f>
        <v>28.536999999999999</v>
      </c>
      <c r="AC72" s="40">
        <f>LOOKUP($B72, INVCOST!$C$8:$C$193, INVCOST!I$8:I$193)</f>
        <v>27.753</v>
      </c>
      <c r="AD72" s="40">
        <f>LOOKUP($B72, INVCOST!$C$8:$C$193, INVCOST!J$8:J$193)</f>
        <v>27.114000000000001</v>
      </c>
      <c r="AE72" s="40">
        <f>LOOKUP($B72, INVCOST!$C$8:$C$193, INVCOST!K$8:K$193)</f>
        <v>26.594000000000001</v>
      </c>
    </row>
    <row r="73" spans="2:31" s="39" customFormat="1" x14ac:dyDescent="0.3">
      <c r="B73" s="209"/>
      <c r="C73" s="209"/>
      <c r="D73" s="209"/>
      <c r="E73" s="209"/>
      <c r="F73" s="209" t="s">
        <v>477</v>
      </c>
      <c r="G73" s="50"/>
      <c r="H73" s="40"/>
      <c r="I73" s="41"/>
      <c r="J73" s="41"/>
      <c r="K73" s="42"/>
      <c r="L73" s="42"/>
      <c r="M73" s="164">
        <f>LOOKUP($B72, CEFF!$C$8:$C$156, CEFF!F$8:F$156)</f>
        <v>1.2987</v>
      </c>
      <c r="N73" s="164">
        <f>LOOKUP($B72, CEFF!$C$8:$C$156, CEFF!G$8:G$156)</f>
        <v>1.2987</v>
      </c>
      <c r="O73" s="164">
        <f>LOOKUP($B72, CEFF!$C$8:$C$156, CEFF!H$8:H$156)</f>
        <v>1.3698600000000001</v>
      </c>
      <c r="P73" s="164">
        <f>LOOKUP($B72, CEFF!$C$8:$C$156, CEFF!I$8:I$156)</f>
        <v>1.4285699999999999</v>
      </c>
      <c r="Q73" s="164">
        <f>LOOKUP($B72, CEFF!$C$8:$C$156, CEFF!J$8:J$156)</f>
        <v>1.51515</v>
      </c>
      <c r="R73" s="40"/>
      <c r="S73" s="40"/>
      <c r="T73" s="40"/>
      <c r="U73" s="40"/>
      <c r="V73" s="41"/>
      <c r="W73" s="60"/>
      <c r="X73" s="40"/>
      <c r="Y73" s="40"/>
      <c r="Z73" s="40"/>
      <c r="AA73" s="40"/>
      <c r="AB73" s="40"/>
      <c r="AC73" s="40"/>
      <c r="AD73" s="40"/>
      <c r="AE73" s="40"/>
    </row>
    <row r="74" spans="2:31" s="39" customFormat="1" x14ac:dyDescent="0.3">
      <c r="B74" s="210"/>
      <c r="C74" s="210"/>
      <c r="D74" s="210"/>
      <c r="E74" s="210"/>
      <c r="F74" s="210" t="s">
        <v>476</v>
      </c>
      <c r="G74" s="51"/>
      <c r="H74" s="45"/>
      <c r="I74" s="46"/>
      <c r="J74" s="46"/>
      <c r="K74" s="44"/>
      <c r="L74" s="44"/>
      <c r="M74" s="259">
        <f>LOOKUP($B72, CEFF!$C$163:$C$330, CEFF!F$163:F$330)</f>
        <v>1.6129</v>
      </c>
      <c r="N74" s="259">
        <f>LOOKUP($B72, CEFF!$C$163:$C$330, CEFF!G$163:G$330)</f>
        <v>1.6129</v>
      </c>
      <c r="O74" s="259">
        <f>LOOKUP($B72, CEFF!$C$163:$C$330, CEFF!H$163:H$330)</f>
        <v>1.69492</v>
      </c>
      <c r="P74" s="259">
        <f>LOOKUP($B72, CEFF!$C$163:$C$330, CEFF!I$163:I$330)</f>
        <v>1.7857099999999999</v>
      </c>
      <c r="Q74" s="259">
        <f>LOOKUP($B72, CEFF!$C$163:$C$330, CEFF!J$163:J$330)</f>
        <v>1.88679</v>
      </c>
      <c r="R74" s="45"/>
      <c r="S74" s="45"/>
      <c r="T74" s="45"/>
      <c r="U74" s="45"/>
      <c r="V74" s="46"/>
      <c r="W74" s="64"/>
      <c r="X74" s="45"/>
      <c r="Y74" s="45"/>
      <c r="Z74" s="45"/>
      <c r="AA74" s="45"/>
      <c r="AB74" s="45"/>
      <c r="AC74" s="45"/>
      <c r="AD74" s="45"/>
      <c r="AE74" s="45"/>
    </row>
    <row r="75" spans="2:31" s="39" customFormat="1" x14ac:dyDescent="0.3">
      <c r="B75" s="209" t="s">
        <v>244</v>
      </c>
      <c r="C75" s="208" t="str">
        <f>LOOKUP(B75, TRA_COMM_PRO!$C$7:$C$189, TRA_COMM_PRO!$D$7:$D$189)</f>
        <v>Truck.Light.ETH.City.01.</v>
      </c>
      <c r="D75" s="209" t="s">
        <v>51</v>
      </c>
      <c r="E75" s="209"/>
      <c r="F75" s="209"/>
      <c r="G75" s="10">
        <f>$G$5</f>
        <v>2019</v>
      </c>
      <c r="H75" s="40">
        <v>15</v>
      </c>
      <c r="I75" s="65">
        <f>$I$6</f>
        <v>1E-3</v>
      </c>
      <c r="J75" s="41">
        <f>$J$62</f>
        <v>0.3</v>
      </c>
      <c r="K75" s="42"/>
      <c r="L75" s="42"/>
      <c r="M75" s="163"/>
      <c r="N75" s="163"/>
      <c r="O75" s="163"/>
      <c r="P75" s="163"/>
      <c r="Q75" s="163"/>
      <c r="R75" s="40">
        <v>20</v>
      </c>
      <c r="S75" s="40"/>
      <c r="T75" s="40"/>
      <c r="U75" s="40"/>
      <c r="V75" s="41"/>
      <c r="W75" s="62">
        <f>LOOKUP(B75, FIXOM_VAROM!$C$8:$C$190, FIXOM_VAROM!$D$8:$D$190)</f>
        <v>50</v>
      </c>
      <c r="X75" s="40">
        <f>LOOKUP($B75, INVCOST!$C$8:$C$193, INVCOST!D$8:D$193)</f>
        <v>19.734999999999999</v>
      </c>
      <c r="Y75" s="40">
        <f>LOOKUP($B75, INVCOST!$C$8:$C$193, INVCOST!E$8:E$193)</f>
        <v>19.452000000000002</v>
      </c>
      <c r="Z75" s="40">
        <f>LOOKUP($B75, INVCOST!$C$8:$C$193, INVCOST!F$8:F$193)</f>
        <v>19.43</v>
      </c>
      <c r="AA75" s="40">
        <f>LOOKUP($B75, INVCOST!$C$8:$C$193, INVCOST!G$8:G$193)</f>
        <v>19.414999999999999</v>
      </c>
      <c r="AB75" s="40">
        <f>LOOKUP($B75, INVCOST!$C$8:$C$193, INVCOST!H$8:H$193)</f>
        <v>19.402999999999999</v>
      </c>
      <c r="AC75" s="40">
        <f>LOOKUP($B75, INVCOST!$C$8:$C$193, INVCOST!I$8:I$193)</f>
        <v>19.393000000000001</v>
      </c>
      <c r="AD75" s="40">
        <f>LOOKUP($B75, INVCOST!$C$8:$C$193, INVCOST!J$8:J$193)</f>
        <v>19.385000000000002</v>
      </c>
      <c r="AE75" s="40">
        <f>LOOKUP($B75, INVCOST!$C$8:$C$193, INVCOST!K$8:K$193)</f>
        <v>19.378</v>
      </c>
    </row>
    <row r="76" spans="2:31" s="39" customFormat="1" x14ac:dyDescent="0.3">
      <c r="B76" s="209"/>
      <c r="C76" s="209"/>
      <c r="D76" s="209" t="s">
        <v>39</v>
      </c>
      <c r="E76" s="209"/>
      <c r="F76" s="209"/>
      <c r="G76" s="50"/>
      <c r="H76" s="40"/>
      <c r="I76" s="41"/>
      <c r="J76" s="41"/>
      <c r="K76" s="42">
        <v>0.15</v>
      </c>
      <c r="L76" s="42"/>
      <c r="M76" s="163"/>
      <c r="N76" s="163"/>
      <c r="O76" s="163"/>
      <c r="P76" s="163"/>
      <c r="Q76" s="163"/>
      <c r="R76" s="40"/>
      <c r="S76" s="40"/>
      <c r="T76" s="40"/>
      <c r="U76" s="40"/>
      <c r="V76" s="41"/>
      <c r="W76" s="60"/>
      <c r="X76" s="40"/>
      <c r="Y76" s="40"/>
      <c r="Z76" s="40"/>
      <c r="AA76" s="40"/>
      <c r="AB76" s="40"/>
      <c r="AC76" s="40"/>
      <c r="AD76" s="40"/>
      <c r="AE76" s="40"/>
    </row>
    <row r="77" spans="2:31" s="39" customFormat="1" x14ac:dyDescent="0.3">
      <c r="B77" s="209"/>
      <c r="C77" s="209"/>
      <c r="D77" s="209"/>
      <c r="E77" s="209"/>
      <c r="F77" s="209" t="s">
        <v>477</v>
      </c>
      <c r="G77" s="50"/>
      <c r="H77" s="40"/>
      <c r="I77" s="41"/>
      <c r="J77" s="41"/>
      <c r="K77" s="42"/>
      <c r="L77" s="42"/>
      <c r="M77" s="164">
        <f>LOOKUP($B75, CEFF!$C$8:$C$156, CEFF!F$8:F$156)</f>
        <v>0.51812999999999998</v>
      </c>
      <c r="N77" s="164">
        <f>LOOKUP($B75, CEFF!$C$8:$C$156, CEFF!G$8:G$156)</f>
        <v>0.55249000000000004</v>
      </c>
      <c r="O77" s="164">
        <f>LOOKUP($B75, CEFF!$C$8:$C$156, CEFF!H$8:H$156)</f>
        <v>0.58140000000000003</v>
      </c>
      <c r="P77" s="164">
        <f>LOOKUP($B75, CEFF!$C$8:$C$156, CEFF!I$8:I$156)</f>
        <v>0.61350000000000005</v>
      </c>
      <c r="Q77" s="164">
        <f>LOOKUP($B75, CEFF!$C$8:$C$156, CEFF!J$8:J$156)</f>
        <v>0.64515999999999996</v>
      </c>
      <c r="R77" s="40"/>
      <c r="S77" s="40"/>
      <c r="T77" s="40"/>
      <c r="U77" s="40"/>
      <c r="V77" s="41"/>
      <c r="W77" s="60"/>
      <c r="X77" s="40"/>
      <c r="Y77" s="40"/>
      <c r="Z77" s="40"/>
      <c r="AA77" s="40"/>
      <c r="AB77" s="40"/>
      <c r="AC77" s="40"/>
      <c r="AD77" s="40"/>
      <c r="AE77" s="40"/>
    </row>
    <row r="78" spans="2:31" s="39" customFormat="1" x14ac:dyDescent="0.3">
      <c r="B78" s="210"/>
      <c r="C78" s="210"/>
      <c r="D78" s="210"/>
      <c r="E78" s="210"/>
      <c r="F78" s="210" t="s">
        <v>476</v>
      </c>
      <c r="G78" s="51"/>
      <c r="H78" s="45"/>
      <c r="I78" s="46"/>
      <c r="J78" s="46"/>
      <c r="K78" s="44"/>
      <c r="L78" s="44"/>
      <c r="M78" s="259">
        <f>LOOKUP($B75, CEFF!$C$163:$C$330, CEFF!F$163:F$330)</f>
        <v>0.42553000000000002</v>
      </c>
      <c r="N78" s="259">
        <f>LOOKUP($B75, CEFF!$C$163:$C$330, CEFF!G$163:G$330)</f>
        <v>0.45455000000000001</v>
      </c>
      <c r="O78" s="259">
        <f>LOOKUP($B75, CEFF!$C$163:$C$330, CEFF!H$163:H$330)</f>
        <v>0.47847000000000001</v>
      </c>
      <c r="P78" s="259">
        <f>LOOKUP($B75, CEFF!$C$163:$C$330, CEFF!I$163:I$330)</f>
        <v>0.50251000000000001</v>
      </c>
      <c r="Q78" s="259">
        <f>LOOKUP($B75, CEFF!$C$163:$C$330, CEFF!J$163:J$330)</f>
        <v>0.52910000000000001</v>
      </c>
      <c r="R78" s="45"/>
      <c r="S78" s="45"/>
      <c r="T78" s="45"/>
      <c r="U78" s="45"/>
      <c r="V78" s="46"/>
      <c r="W78" s="64"/>
      <c r="X78" s="45"/>
      <c r="Y78" s="45"/>
      <c r="Z78" s="45"/>
      <c r="AA78" s="45"/>
      <c r="AB78" s="45"/>
      <c r="AC78" s="45"/>
      <c r="AD78" s="45"/>
      <c r="AE78" s="45"/>
    </row>
    <row r="79" spans="2:31" s="39" customFormat="1" x14ac:dyDescent="0.3">
      <c r="B79" s="209" t="s">
        <v>246</v>
      </c>
      <c r="C79" s="208" t="str">
        <f>LOOKUP(B79, TRA_COMM_PRO!$C$7:$C$189, TRA_COMM_PRO!$D$7:$D$189)</f>
        <v>Truck.Light.GAS.City.01.</v>
      </c>
      <c r="D79" s="209" t="s">
        <v>54</v>
      </c>
      <c r="E79" s="209"/>
      <c r="F79" s="209"/>
      <c r="G79" s="10">
        <f>$G$5</f>
        <v>2019</v>
      </c>
      <c r="H79" s="40">
        <v>15</v>
      </c>
      <c r="I79" s="65">
        <f>$I$6</f>
        <v>1E-3</v>
      </c>
      <c r="J79" s="41">
        <f>$J$62</f>
        <v>0.3</v>
      </c>
      <c r="K79" s="42"/>
      <c r="L79" s="42"/>
      <c r="M79" s="163"/>
      <c r="N79" s="163"/>
      <c r="O79" s="163"/>
      <c r="P79" s="163"/>
      <c r="Q79" s="163"/>
      <c r="R79" s="40">
        <v>20</v>
      </c>
      <c r="S79" s="40"/>
      <c r="T79" s="40"/>
      <c r="U79" s="40"/>
      <c r="V79" s="41"/>
      <c r="W79" s="62">
        <f>LOOKUP(B79, FIXOM_VAROM!$C$8:$C$190, FIXOM_VAROM!$D$8:$D$190)</f>
        <v>50</v>
      </c>
      <c r="X79" s="40">
        <f>LOOKUP($B79, INVCOST!$C$8:$C$193, INVCOST!D$8:D$193)</f>
        <v>19.734999999999999</v>
      </c>
      <c r="Y79" s="40">
        <f>LOOKUP($B79, INVCOST!$C$8:$C$193, INVCOST!E$8:E$193)</f>
        <v>19.452000000000002</v>
      </c>
      <c r="Z79" s="40">
        <f>LOOKUP($B79, INVCOST!$C$8:$C$193, INVCOST!F$8:F$193)</f>
        <v>19.43</v>
      </c>
      <c r="AA79" s="40">
        <f>LOOKUP($B79, INVCOST!$C$8:$C$193, INVCOST!G$8:G$193)</f>
        <v>19.414999999999999</v>
      </c>
      <c r="AB79" s="40">
        <f>LOOKUP($B79, INVCOST!$C$8:$C$193, INVCOST!H$8:H$193)</f>
        <v>19.402999999999999</v>
      </c>
      <c r="AC79" s="40">
        <f>LOOKUP($B79, INVCOST!$C$8:$C$193, INVCOST!I$8:I$193)</f>
        <v>19.393000000000001</v>
      </c>
      <c r="AD79" s="40">
        <f>LOOKUP($B79, INVCOST!$C$8:$C$193, INVCOST!J$8:J$193)</f>
        <v>19.385000000000002</v>
      </c>
      <c r="AE79" s="40">
        <f>LOOKUP($B79, INVCOST!$C$8:$C$193, INVCOST!K$8:K$193)</f>
        <v>19.378</v>
      </c>
    </row>
    <row r="80" spans="2:31" s="39" customFormat="1" x14ac:dyDescent="0.3">
      <c r="B80" s="209"/>
      <c r="C80" s="209"/>
      <c r="D80" s="209" t="s">
        <v>39</v>
      </c>
      <c r="E80" s="209"/>
      <c r="F80" s="209"/>
      <c r="G80" s="50"/>
      <c r="H80" s="40"/>
      <c r="I80" s="41"/>
      <c r="J80" s="41"/>
      <c r="K80" s="42"/>
      <c r="L80" s="42">
        <v>0.05</v>
      </c>
      <c r="M80" s="163"/>
      <c r="N80" s="163"/>
      <c r="O80" s="163"/>
      <c r="P80" s="163"/>
      <c r="Q80" s="163"/>
      <c r="R80" s="40"/>
      <c r="S80" s="40"/>
      <c r="T80" s="40"/>
      <c r="U80" s="40"/>
      <c r="V80" s="41"/>
      <c r="W80" s="60"/>
      <c r="X80" s="40"/>
      <c r="Y80" s="40"/>
      <c r="Z80" s="40"/>
      <c r="AA80" s="40"/>
      <c r="AB80" s="40"/>
      <c r="AC80" s="40"/>
      <c r="AD80" s="40"/>
      <c r="AE80" s="40"/>
    </row>
    <row r="81" spans="2:31" s="39" customFormat="1" x14ac:dyDescent="0.3">
      <c r="B81" s="209"/>
      <c r="C81" s="209"/>
      <c r="D81" s="209" t="s">
        <v>53</v>
      </c>
      <c r="E81" s="209"/>
      <c r="F81" s="209"/>
      <c r="G81" s="50"/>
      <c r="H81" s="40"/>
      <c r="I81" s="41"/>
      <c r="J81" s="41"/>
      <c r="K81" s="42"/>
      <c r="L81" s="42"/>
      <c r="M81" s="163"/>
      <c r="N81" s="163"/>
      <c r="O81" s="163"/>
      <c r="P81" s="163"/>
      <c r="Q81" s="163"/>
      <c r="R81" s="40"/>
      <c r="S81" s="40"/>
      <c r="T81" s="40"/>
      <c r="U81" s="40"/>
      <c r="V81" s="41"/>
      <c r="W81" s="60"/>
      <c r="X81" s="40"/>
      <c r="Y81" s="40"/>
      <c r="Z81" s="40"/>
      <c r="AA81" s="40"/>
      <c r="AB81" s="40"/>
      <c r="AC81" s="40"/>
      <c r="AD81" s="40"/>
      <c r="AE81" s="40"/>
    </row>
    <row r="82" spans="2:31" s="39" customFormat="1" x14ac:dyDescent="0.3">
      <c r="B82" s="209"/>
      <c r="C82" s="209"/>
      <c r="D82" s="209"/>
      <c r="E82" s="209"/>
      <c r="F82" s="209" t="s">
        <v>477</v>
      </c>
      <c r="G82" s="50"/>
      <c r="H82" s="40"/>
      <c r="I82" s="41"/>
      <c r="J82" s="41"/>
      <c r="K82" s="42"/>
      <c r="L82" s="42"/>
      <c r="M82" s="164">
        <f>LOOKUP($B79, CEFF!$C$8:$C$156, CEFF!F$8:F$156)</f>
        <v>0.51812999999999998</v>
      </c>
      <c r="N82" s="164">
        <f>LOOKUP($B79, CEFF!$C$8:$C$156, CEFF!G$8:G$156)</f>
        <v>0.55249000000000004</v>
      </c>
      <c r="O82" s="164">
        <f>LOOKUP($B79, CEFF!$C$8:$C$156, CEFF!H$8:H$156)</f>
        <v>0.58140000000000003</v>
      </c>
      <c r="P82" s="164">
        <f>LOOKUP($B79, CEFF!$C$8:$C$156, CEFF!I$8:I$156)</f>
        <v>0.61350000000000005</v>
      </c>
      <c r="Q82" s="164">
        <f>LOOKUP($B79, CEFF!$C$8:$C$156, CEFF!J$8:J$156)</f>
        <v>0.64515999999999996</v>
      </c>
      <c r="R82" s="40"/>
      <c r="S82" s="40"/>
      <c r="T82" s="40"/>
      <c r="U82" s="40"/>
      <c r="V82" s="41"/>
      <c r="W82" s="60"/>
      <c r="X82" s="40"/>
      <c r="Y82" s="40"/>
      <c r="Z82" s="40"/>
      <c r="AA82" s="40"/>
      <c r="AB82" s="40"/>
      <c r="AC82" s="40"/>
      <c r="AD82" s="40"/>
      <c r="AE82" s="40"/>
    </row>
    <row r="83" spans="2:31" s="39" customFormat="1" x14ac:dyDescent="0.3">
      <c r="B83" s="210"/>
      <c r="C83" s="210"/>
      <c r="D83" s="210"/>
      <c r="E83" s="210"/>
      <c r="F83" s="210" t="s">
        <v>476</v>
      </c>
      <c r="G83" s="51"/>
      <c r="H83" s="45"/>
      <c r="I83" s="46"/>
      <c r="J83" s="46"/>
      <c r="K83" s="44"/>
      <c r="L83" s="44"/>
      <c r="M83" s="259">
        <f>LOOKUP($B79, CEFF!$C$163:$C$330, CEFF!F$163:F$330)</f>
        <v>0.42553000000000002</v>
      </c>
      <c r="N83" s="259">
        <f>LOOKUP($B79, CEFF!$C$163:$C$330, CEFF!G$163:G$330)</f>
        <v>0.45455000000000001</v>
      </c>
      <c r="O83" s="259">
        <f>LOOKUP($B79, CEFF!$C$163:$C$330, CEFF!H$163:H$330)</f>
        <v>0.47847000000000001</v>
      </c>
      <c r="P83" s="259">
        <f>LOOKUP($B79, CEFF!$C$163:$C$330, CEFF!I$163:I$330)</f>
        <v>0.50251000000000001</v>
      </c>
      <c r="Q83" s="259">
        <f>LOOKUP($B79, CEFF!$C$163:$C$330, CEFF!J$163:J$330)</f>
        <v>0.52910000000000001</v>
      </c>
      <c r="R83" s="45"/>
      <c r="S83" s="45"/>
      <c r="T83" s="45"/>
      <c r="U83" s="45"/>
      <c r="V83" s="46"/>
      <c r="W83" s="64"/>
      <c r="X83" s="45"/>
      <c r="Y83" s="45"/>
      <c r="Z83" s="45"/>
      <c r="AA83" s="45"/>
      <c r="AB83" s="45"/>
      <c r="AC83" s="45"/>
      <c r="AD83" s="45"/>
      <c r="AE83" s="45"/>
    </row>
    <row r="84" spans="2:31" s="39" customFormat="1" x14ac:dyDescent="0.3">
      <c r="B84" s="209" t="s">
        <v>248</v>
      </c>
      <c r="C84" s="208" t="str">
        <f>LOOKUP(B84, TRA_COMM_PRO!$C$7:$C$189, TRA_COMM_PRO!$D$7:$D$189)</f>
        <v>Truck.Light.GSL.City.01.</v>
      </c>
      <c r="D84" s="209" t="s">
        <v>40</v>
      </c>
      <c r="E84" s="209"/>
      <c r="F84" s="209"/>
      <c r="G84" s="10">
        <f>$G$5</f>
        <v>2019</v>
      </c>
      <c r="H84" s="40">
        <v>15</v>
      </c>
      <c r="I84" s="65">
        <f>$I$6</f>
        <v>1E-3</v>
      </c>
      <c r="J84" s="41">
        <f>$J$62</f>
        <v>0.3</v>
      </c>
      <c r="K84" s="42"/>
      <c r="L84" s="42">
        <v>0.05</v>
      </c>
      <c r="M84" s="163"/>
      <c r="N84" s="163"/>
      <c r="O84" s="163"/>
      <c r="P84" s="163"/>
      <c r="Q84" s="163"/>
      <c r="R84" s="40">
        <v>20</v>
      </c>
      <c r="S84" s="40"/>
      <c r="T84" s="40"/>
      <c r="U84" s="40"/>
      <c r="V84" s="41"/>
      <c r="W84" s="62">
        <f>LOOKUP(B84, FIXOM_VAROM!$C$8:$C$190, FIXOM_VAROM!$D$8:$D$190)</f>
        <v>50</v>
      </c>
      <c r="X84" s="40">
        <f>LOOKUP($B84, INVCOST!$C$8:$C$193, INVCOST!D$8:D$193)</f>
        <v>19.734999999999999</v>
      </c>
      <c r="Y84" s="40">
        <f>LOOKUP($B84, INVCOST!$C$8:$C$193, INVCOST!E$8:E$193)</f>
        <v>19.452000000000002</v>
      </c>
      <c r="Z84" s="40">
        <f>LOOKUP($B84, INVCOST!$C$8:$C$193, INVCOST!F$8:F$193)</f>
        <v>19.43</v>
      </c>
      <c r="AA84" s="40">
        <f>LOOKUP($B84, INVCOST!$C$8:$C$193, INVCOST!G$8:G$193)</f>
        <v>19.414999999999999</v>
      </c>
      <c r="AB84" s="40">
        <f>LOOKUP($B84, INVCOST!$C$8:$C$193, INVCOST!H$8:H$193)</f>
        <v>19.402999999999999</v>
      </c>
      <c r="AC84" s="40">
        <f>LOOKUP($B84, INVCOST!$C$8:$C$193, INVCOST!I$8:I$193)</f>
        <v>19.393000000000001</v>
      </c>
      <c r="AD84" s="40">
        <f>LOOKUP($B84, INVCOST!$C$8:$C$193, INVCOST!J$8:J$193)</f>
        <v>19.385000000000002</v>
      </c>
      <c r="AE84" s="40">
        <f>LOOKUP($B84, INVCOST!$C$8:$C$193, INVCOST!K$8:K$193)</f>
        <v>19.378</v>
      </c>
    </row>
    <row r="85" spans="2:31" s="39" customFormat="1" x14ac:dyDescent="0.3">
      <c r="B85" s="209"/>
      <c r="C85" s="209"/>
      <c r="D85" s="209" t="s">
        <v>39</v>
      </c>
      <c r="E85" s="209"/>
      <c r="F85" s="209"/>
      <c r="G85" s="50"/>
      <c r="H85" s="40"/>
      <c r="I85" s="41"/>
      <c r="J85" s="41"/>
      <c r="K85" s="42"/>
      <c r="L85" s="42"/>
      <c r="M85" s="163"/>
      <c r="N85" s="163"/>
      <c r="O85" s="163"/>
      <c r="P85" s="163"/>
      <c r="Q85" s="163"/>
      <c r="R85" s="40"/>
      <c r="S85" s="40"/>
      <c r="T85" s="40"/>
      <c r="U85" s="40"/>
      <c r="V85" s="41"/>
      <c r="W85" s="60"/>
      <c r="X85" s="40"/>
      <c r="Y85" s="40"/>
      <c r="Z85" s="40"/>
      <c r="AA85" s="40"/>
      <c r="AB85" s="40"/>
      <c r="AC85" s="40"/>
      <c r="AD85" s="40"/>
      <c r="AE85" s="40"/>
    </row>
    <row r="86" spans="2:31" s="39" customFormat="1" x14ac:dyDescent="0.3">
      <c r="B86" s="209"/>
      <c r="C86" s="209"/>
      <c r="D86" s="209"/>
      <c r="E86" s="209"/>
      <c r="F86" s="209" t="s">
        <v>477</v>
      </c>
      <c r="G86" s="50"/>
      <c r="H86" s="40"/>
      <c r="I86" s="41"/>
      <c r="J86" s="41"/>
      <c r="K86" s="42"/>
      <c r="L86" s="42"/>
      <c r="M86" s="164">
        <f>LOOKUP($B84, CEFF!$C$8:$C$156, CEFF!F$8:F$156)</f>
        <v>0.51812999999999998</v>
      </c>
      <c r="N86" s="164">
        <f>LOOKUP($B84, CEFF!$C$8:$C$156, CEFF!G$8:G$156)</f>
        <v>0.55249000000000004</v>
      </c>
      <c r="O86" s="164">
        <f>LOOKUP($B84, CEFF!$C$8:$C$156, CEFF!H$8:H$156)</f>
        <v>0.58140000000000003</v>
      </c>
      <c r="P86" s="164">
        <f>LOOKUP($B84, CEFF!$C$8:$C$156, CEFF!I$8:I$156)</f>
        <v>0.61350000000000005</v>
      </c>
      <c r="Q86" s="164">
        <f>LOOKUP($B84, CEFF!$C$8:$C$156, CEFF!J$8:J$156)</f>
        <v>0.64515999999999996</v>
      </c>
      <c r="R86" s="40"/>
      <c r="S86" s="40"/>
      <c r="T86" s="40"/>
      <c r="U86" s="40"/>
      <c r="V86" s="41"/>
      <c r="W86" s="60"/>
      <c r="X86" s="40"/>
      <c r="Y86" s="40"/>
      <c r="Z86" s="40"/>
      <c r="AA86" s="40"/>
      <c r="AB86" s="40"/>
      <c r="AC86" s="40"/>
      <c r="AD86" s="40"/>
      <c r="AE86" s="40"/>
    </row>
    <row r="87" spans="2:31" s="39" customFormat="1" x14ac:dyDescent="0.3">
      <c r="B87" s="210"/>
      <c r="C87" s="210"/>
      <c r="D87" s="210"/>
      <c r="E87" s="210"/>
      <c r="F87" s="210" t="s">
        <v>476</v>
      </c>
      <c r="G87" s="51"/>
      <c r="H87" s="45"/>
      <c r="I87" s="46"/>
      <c r="J87" s="46"/>
      <c r="K87" s="44"/>
      <c r="L87" s="44"/>
      <c r="M87" s="259">
        <f>LOOKUP($B84, CEFF!$C$163:$C$330, CEFF!F$163:F$330)</f>
        <v>0.42553000000000002</v>
      </c>
      <c r="N87" s="259">
        <f>LOOKUP($B84, CEFF!$C$163:$C$330, CEFF!G$163:G$330)</f>
        <v>0.45455000000000001</v>
      </c>
      <c r="O87" s="259">
        <f>LOOKUP($B84, CEFF!$C$163:$C$330, CEFF!H$163:H$330)</f>
        <v>0.47847000000000001</v>
      </c>
      <c r="P87" s="259">
        <f>LOOKUP($B84, CEFF!$C$163:$C$330, CEFF!I$163:I$330)</f>
        <v>0.50251000000000001</v>
      </c>
      <c r="Q87" s="259">
        <f>LOOKUP($B84, CEFF!$C$163:$C$330, CEFF!J$163:J$330)</f>
        <v>0.52910000000000001</v>
      </c>
      <c r="R87" s="45"/>
      <c r="S87" s="45"/>
      <c r="T87" s="45"/>
      <c r="U87" s="45"/>
      <c r="V87" s="46"/>
      <c r="W87" s="64"/>
      <c r="X87" s="45"/>
      <c r="Y87" s="45"/>
      <c r="Z87" s="45"/>
      <c r="AA87" s="45"/>
      <c r="AB87" s="45"/>
      <c r="AC87" s="45"/>
      <c r="AD87" s="45"/>
      <c r="AE87" s="45"/>
    </row>
    <row r="88" spans="2:31" s="39" customFormat="1" x14ac:dyDescent="0.3">
      <c r="B88" s="209" t="s">
        <v>250</v>
      </c>
      <c r="C88" s="208" t="str">
        <f>LOOKUP(B88, TRA_COMM_PRO!$C$7:$C$189, TRA_COMM_PRO!$D$7:$D$189)</f>
        <v>Truck.Light.H2G.City.01.</v>
      </c>
      <c r="D88" s="209" t="s">
        <v>57</v>
      </c>
      <c r="E88" s="209"/>
      <c r="F88" s="209"/>
      <c r="G88" s="10">
        <f>G32</f>
        <v>2019</v>
      </c>
      <c r="H88" s="40">
        <v>15</v>
      </c>
      <c r="I88" s="65">
        <f>$I$6</f>
        <v>1E-3</v>
      </c>
      <c r="J88" s="41">
        <f>$J$62</f>
        <v>0.3</v>
      </c>
      <c r="K88" s="42"/>
      <c r="L88" s="42"/>
      <c r="M88" s="163"/>
      <c r="N88" s="163"/>
      <c r="O88" s="163"/>
      <c r="P88" s="163"/>
      <c r="Q88" s="163"/>
      <c r="R88" s="40">
        <v>20</v>
      </c>
      <c r="S88" s="40"/>
      <c r="T88" s="40"/>
      <c r="U88" s="40"/>
      <c r="V88" s="41"/>
      <c r="W88" s="62">
        <f>LOOKUP(B88, FIXOM_VAROM!$C$8:$C$190, FIXOM_VAROM!$D$8:$D$190)</f>
        <v>40.000000000000007</v>
      </c>
      <c r="X88" s="40">
        <f>LOOKUP($B88, INVCOST!$C$8:$C$193, INVCOST!D$8:D$193)</f>
        <v>35.097999999999999</v>
      </c>
      <c r="Y88" s="40">
        <f>LOOKUP($B88, INVCOST!$C$8:$C$193, INVCOST!E$8:E$193)</f>
        <v>33.204999999999998</v>
      </c>
      <c r="Z88" s="40">
        <f>LOOKUP($B88, INVCOST!$C$8:$C$193, INVCOST!F$8:F$193)</f>
        <v>30.501000000000001</v>
      </c>
      <c r="AA88" s="40">
        <f>LOOKUP($B88, INVCOST!$C$8:$C$193, INVCOST!G$8:G$193)</f>
        <v>29.122</v>
      </c>
      <c r="AB88" s="40">
        <f>LOOKUP($B88, INVCOST!$C$8:$C$193, INVCOST!H$8:H$193)</f>
        <v>28.056000000000001</v>
      </c>
      <c r="AC88" s="40">
        <f>LOOKUP($B88, INVCOST!$C$8:$C$193, INVCOST!I$8:I$193)</f>
        <v>27.158999999999999</v>
      </c>
      <c r="AD88" s="40">
        <f>LOOKUP($B88, INVCOST!$C$8:$C$193, INVCOST!J$8:J$193)</f>
        <v>26.395</v>
      </c>
      <c r="AE88" s="40">
        <f>LOOKUP($B88, INVCOST!$C$8:$C$193, INVCOST!K$8:K$193)</f>
        <v>25.727</v>
      </c>
    </row>
    <row r="89" spans="2:31" s="39" customFormat="1" x14ac:dyDescent="0.3">
      <c r="B89" s="209"/>
      <c r="C89" s="209"/>
      <c r="D89" s="209"/>
      <c r="E89" s="209"/>
      <c r="F89" s="209" t="s">
        <v>477</v>
      </c>
      <c r="G89" s="50"/>
      <c r="H89" s="40"/>
      <c r="I89" s="41"/>
      <c r="J89" s="41"/>
      <c r="K89" s="42"/>
      <c r="L89" s="42"/>
      <c r="M89" s="164">
        <f>LOOKUP($B88, CEFF!$C$8:$C$156, CEFF!F$8:F$156)</f>
        <v>0.98038999999999998</v>
      </c>
      <c r="N89" s="164">
        <f>LOOKUP($B88, CEFF!$C$8:$C$156, CEFF!G$8:G$156)</f>
        <v>0.98038999999999998</v>
      </c>
      <c r="O89" s="164">
        <f>LOOKUP($B88, CEFF!$C$8:$C$156, CEFF!H$8:H$156)</f>
        <v>1.0869599999999999</v>
      </c>
      <c r="P89" s="164">
        <f>LOOKUP($B88, CEFF!$C$8:$C$156, CEFF!I$8:I$156)</f>
        <v>1.20482</v>
      </c>
      <c r="Q89" s="164">
        <f>LOOKUP($B88, CEFF!$C$8:$C$156, CEFF!J$8:J$156)</f>
        <v>1.2658199999999999</v>
      </c>
      <c r="R89" s="40"/>
      <c r="S89" s="40"/>
      <c r="T89" s="40"/>
      <c r="U89" s="40"/>
      <c r="V89" s="41"/>
      <c r="W89" s="60"/>
      <c r="X89" s="40"/>
      <c r="Y89" s="40"/>
      <c r="Z89" s="40"/>
      <c r="AA89" s="40"/>
      <c r="AB89" s="40"/>
      <c r="AC89" s="40"/>
      <c r="AD89" s="40"/>
      <c r="AE89" s="40"/>
    </row>
    <row r="90" spans="2:31" s="39" customFormat="1" x14ac:dyDescent="0.3">
      <c r="B90" s="210"/>
      <c r="C90" s="210"/>
      <c r="D90" s="210"/>
      <c r="E90" s="210"/>
      <c r="F90" s="210" t="s">
        <v>476</v>
      </c>
      <c r="G90" s="51"/>
      <c r="H90" s="45"/>
      <c r="I90" s="46"/>
      <c r="J90" s="46"/>
      <c r="K90" s="44"/>
      <c r="L90" s="44"/>
      <c r="M90" s="259">
        <f>LOOKUP($B88, CEFF!$C$163:$C$330, CEFF!F$163:F$330)</f>
        <v>0.80645</v>
      </c>
      <c r="N90" s="259">
        <f>LOOKUP($B88, CEFF!$C$163:$C$330, CEFF!G$163:G$330)</f>
        <v>0.80645</v>
      </c>
      <c r="O90" s="259">
        <f>LOOKUP($B88, CEFF!$C$163:$C$330, CEFF!H$163:H$330)</f>
        <v>0.89285999999999999</v>
      </c>
      <c r="P90" s="259">
        <f>LOOKUP($B88, CEFF!$C$163:$C$330, CEFF!I$163:I$330)</f>
        <v>0.99009999999999998</v>
      </c>
      <c r="Q90" s="259">
        <f>LOOKUP($B88, CEFF!$C$163:$C$330, CEFF!J$163:J$330)</f>
        <v>1.0989</v>
      </c>
      <c r="R90" s="45"/>
      <c r="S90" s="45"/>
      <c r="T90" s="45"/>
      <c r="U90" s="45"/>
      <c r="V90" s="46"/>
      <c r="W90" s="64"/>
      <c r="X90" s="45"/>
      <c r="Y90" s="45"/>
      <c r="Z90" s="45"/>
      <c r="AA90" s="45"/>
      <c r="AB90" s="45"/>
      <c r="AC90" s="45"/>
      <c r="AD90" s="45"/>
      <c r="AE90" s="45"/>
    </row>
    <row r="91" spans="2:31" s="39" customFormat="1" x14ac:dyDescent="0.3">
      <c r="B91" s="209" t="s">
        <v>297</v>
      </c>
      <c r="C91" s="208" t="str">
        <f>LOOKUP(B91, TRA_COMM_PRO!$C$7:$C$189, TRA_COMM_PRO!$D$7:$D$189)</f>
        <v>Truck.Light.Hybrid.DST.City.01.</v>
      </c>
      <c r="D91" s="209" t="s">
        <v>44</v>
      </c>
      <c r="E91" s="209"/>
      <c r="F91" s="209"/>
      <c r="G91" s="10">
        <f>$G$5</f>
        <v>2019</v>
      </c>
      <c r="H91" s="54">
        <v>15</v>
      </c>
      <c r="I91" s="65">
        <f>$I$6</f>
        <v>1E-3</v>
      </c>
      <c r="J91" s="41">
        <f>$J$62</f>
        <v>0.3</v>
      </c>
      <c r="K91" s="42"/>
      <c r="L91" s="42"/>
      <c r="M91" s="164"/>
      <c r="N91" s="164"/>
      <c r="O91" s="164"/>
      <c r="P91" s="164"/>
      <c r="Q91" s="164"/>
      <c r="R91" s="40">
        <v>20</v>
      </c>
      <c r="S91" s="40"/>
      <c r="T91" s="40"/>
      <c r="U91" s="40"/>
      <c r="V91" s="41"/>
      <c r="W91" s="62">
        <f>LOOKUP(B91, FIXOM_VAROM!$C$8:$C$190, FIXOM_VAROM!$D$8:$D$190)</f>
        <v>50</v>
      </c>
      <c r="X91" s="40">
        <f>LOOKUP($B91, INVCOST!$C$8:$C$193, INVCOST!D$8:D$193)</f>
        <v>24.67</v>
      </c>
      <c r="Y91" s="40">
        <f>LOOKUP($B91, INVCOST!$C$8:$C$193, INVCOST!E$8:E$193)</f>
        <v>23.181999999999999</v>
      </c>
      <c r="Z91" s="40">
        <f>LOOKUP($B91, INVCOST!$C$8:$C$193, INVCOST!F$8:F$193)</f>
        <v>22.738</v>
      </c>
      <c r="AA91" s="40">
        <f>LOOKUP($B91, INVCOST!$C$8:$C$193, INVCOST!G$8:G$193)</f>
        <v>22.478000000000002</v>
      </c>
      <c r="AB91" s="40">
        <f>LOOKUP($B91, INVCOST!$C$8:$C$193, INVCOST!H$8:H$193)</f>
        <v>22.3</v>
      </c>
      <c r="AC91" s="40">
        <f>LOOKUP($B91, INVCOST!$C$8:$C$193, INVCOST!I$8:I$193)</f>
        <v>22.170999999999999</v>
      </c>
      <c r="AD91" s="40">
        <f>LOOKUP($B91, INVCOST!$C$8:$C$193, INVCOST!J$8:J$193)</f>
        <v>22.068999999999999</v>
      </c>
      <c r="AE91" s="40">
        <f>LOOKUP($B91, INVCOST!$C$8:$C$193, INVCOST!K$8:K$193)</f>
        <v>21.995000000000001</v>
      </c>
    </row>
    <row r="92" spans="2:31" s="39" customFormat="1" x14ac:dyDescent="0.3">
      <c r="B92" s="209"/>
      <c r="C92" s="209"/>
      <c r="D92" s="209" t="s">
        <v>48</v>
      </c>
      <c r="E92" s="209"/>
      <c r="F92" s="209"/>
      <c r="G92" s="50"/>
      <c r="H92" s="40"/>
      <c r="I92" s="41"/>
      <c r="J92" s="41"/>
      <c r="K92" s="42"/>
      <c r="L92" s="42"/>
      <c r="M92" s="164"/>
      <c r="N92" s="164"/>
      <c r="O92" s="164"/>
      <c r="P92" s="164"/>
      <c r="Q92" s="164"/>
      <c r="R92" s="40"/>
      <c r="S92" s="40"/>
      <c r="T92" s="40"/>
      <c r="U92" s="40"/>
      <c r="V92" s="42"/>
      <c r="W92" s="60"/>
      <c r="X92" s="40"/>
      <c r="Y92" s="40"/>
      <c r="Z92" s="40"/>
      <c r="AA92" s="40"/>
      <c r="AB92" s="40"/>
      <c r="AC92" s="40"/>
      <c r="AD92" s="40"/>
      <c r="AE92" s="40"/>
    </row>
    <row r="93" spans="2:31" s="39" customFormat="1" x14ac:dyDescent="0.3">
      <c r="B93" s="209"/>
      <c r="C93" s="209"/>
      <c r="D93" s="209"/>
      <c r="E93" s="209"/>
      <c r="F93" s="209" t="s">
        <v>477</v>
      </c>
      <c r="G93" s="50"/>
      <c r="H93" s="40"/>
      <c r="I93" s="41"/>
      <c r="J93" s="41"/>
      <c r="K93" s="42"/>
      <c r="L93" s="42"/>
      <c r="M93" s="164">
        <f>LOOKUP($B91, CEFF!$C$8:$C$156, CEFF!F$8:F$156)</f>
        <v>0.70921999999999996</v>
      </c>
      <c r="N93" s="164">
        <f>LOOKUP($B91, CEFF!$C$8:$C$156, CEFF!G$8:G$156)</f>
        <v>0.74626999999999999</v>
      </c>
      <c r="O93" s="164">
        <f>LOOKUP($B91, CEFF!$C$8:$C$156, CEFF!H$8:H$156)</f>
        <v>0.82645000000000002</v>
      </c>
      <c r="P93" s="164">
        <f>LOOKUP($B91, CEFF!$C$8:$C$156, CEFF!I$8:I$156)</f>
        <v>0.91742999999999997</v>
      </c>
      <c r="Q93" s="164">
        <f>LOOKUP($B91, CEFF!$C$8:$C$156, CEFF!J$8:J$156)</f>
        <v>1.02041</v>
      </c>
      <c r="R93" s="40"/>
      <c r="S93" s="40"/>
      <c r="T93" s="40"/>
      <c r="U93" s="40"/>
      <c r="V93" s="42"/>
      <c r="W93" s="60"/>
      <c r="X93" s="40"/>
      <c r="Y93" s="40"/>
      <c r="Z93" s="40"/>
      <c r="AA93" s="40"/>
      <c r="AB93" s="40"/>
      <c r="AC93" s="40"/>
      <c r="AD93" s="40"/>
      <c r="AE93" s="40"/>
    </row>
    <row r="94" spans="2:31" s="39" customFormat="1" x14ac:dyDescent="0.3">
      <c r="B94" s="210"/>
      <c r="C94" s="210"/>
      <c r="D94" s="210"/>
      <c r="E94" s="210"/>
      <c r="F94" s="210" t="s">
        <v>476</v>
      </c>
      <c r="G94" s="51"/>
      <c r="H94" s="45"/>
      <c r="I94" s="46"/>
      <c r="J94" s="46"/>
      <c r="K94" s="44"/>
      <c r="L94" s="44"/>
      <c r="M94" s="259">
        <f>LOOKUP($B91, CEFF!$C$163:$C$330, CEFF!F$163:F$330)</f>
        <v>0.62112000000000001</v>
      </c>
      <c r="N94" s="259">
        <f>LOOKUP($B91, CEFF!$C$163:$C$330, CEFF!G$163:G$330)</f>
        <v>0.65788999999999997</v>
      </c>
      <c r="O94" s="259">
        <f>LOOKUP($B91, CEFF!$C$163:$C$330, CEFF!H$163:H$330)</f>
        <v>0.72992999999999997</v>
      </c>
      <c r="P94" s="259">
        <f>LOOKUP($B91, CEFF!$C$163:$C$330, CEFF!I$163:I$330)</f>
        <v>0.80645</v>
      </c>
      <c r="Q94" s="259">
        <f>LOOKUP($B91, CEFF!$C$163:$C$330, CEFF!J$163:J$330)</f>
        <v>0.89285999999999999</v>
      </c>
      <c r="R94" s="45"/>
      <c r="S94" s="45"/>
      <c r="T94" s="45"/>
      <c r="U94" s="45"/>
      <c r="V94" s="44"/>
      <c r="W94" s="64"/>
      <c r="X94" s="45"/>
      <c r="Y94" s="45"/>
      <c r="Z94" s="45"/>
      <c r="AA94" s="45"/>
      <c r="AB94" s="45"/>
      <c r="AC94" s="45"/>
      <c r="AD94" s="45"/>
      <c r="AE94" s="45"/>
    </row>
    <row r="95" spans="2:31" s="39" customFormat="1" x14ac:dyDescent="0.3">
      <c r="B95" s="209" t="s">
        <v>298</v>
      </c>
      <c r="C95" s="208" t="str">
        <f>LOOKUP(B95, TRA_COMM_PRO!$C$7:$C$189, TRA_COMM_PRO!$D$7:$D$189)</f>
        <v>Truck.Light.Hybrid.GSL.City.01.</v>
      </c>
      <c r="D95" s="209" t="s">
        <v>40</v>
      </c>
      <c r="E95" s="209"/>
      <c r="F95" s="209"/>
      <c r="G95" s="10">
        <f>$G$5</f>
        <v>2019</v>
      </c>
      <c r="H95" s="54">
        <v>15</v>
      </c>
      <c r="I95" s="65">
        <f>$I$6</f>
        <v>1E-3</v>
      </c>
      <c r="J95" s="41">
        <f>$J$62</f>
        <v>0.3</v>
      </c>
      <c r="K95" s="42"/>
      <c r="L95" s="42">
        <v>0.05</v>
      </c>
      <c r="M95" s="261"/>
      <c r="N95" s="261"/>
      <c r="O95" s="261"/>
      <c r="P95" s="261"/>
      <c r="Q95" s="261"/>
      <c r="R95" s="40">
        <v>20</v>
      </c>
      <c r="S95" s="40"/>
      <c r="T95" s="40"/>
      <c r="U95" s="40"/>
      <c r="V95" s="41"/>
      <c r="W95" s="62">
        <f>LOOKUP(B95, FIXOM_VAROM!$C$8:$C$190, FIXOM_VAROM!$D$8:$D$190)</f>
        <v>50</v>
      </c>
      <c r="X95" s="40">
        <f>LOOKUP($B95, INVCOST!$C$8:$C$193, INVCOST!D$8:D$193)</f>
        <v>22.67</v>
      </c>
      <c r="Y95" s="40">
        <f>LOOKUP($B95, INVCOST!$C$8:$C$193, INVCOST!E$8:E$193)</f>
        <v>21.329000000000001</v>
      </c>
      <c r="Z95" s="40">
        <f>LOOKUP($B95, INVCOST!$C$8:$C$193, INVCOST!F$8:F$193)</f>
        <v>20.885999999999999</v>
      </c>
      <c r="AA95" s="40">
        <f>LOOKUP($B95, INVCOST!$C$8:$C$193, INVCOST!G$8:G$193)</f>
        <v>20.626000000000001</v>
      </c>
      <c r="AB95" s="40">
        <f>LOOKUP($B95, INVCOST!$C$8:$C$193, INVCOST!H$8:H$193)</f>
        <v>20.446000000000002</v>
      </c>
      <c r="AC95" s="40">
        <f>LOOKUP($B95, INVCOST!$C$8:$C$193, INVCOST!I$8:I$193)</f>
        <v>20.135999999999999</v>
      </c>
      <c r="AD95" s="40">
        <f>LOOKUP($B95, INVCOST!$C$8:$C$193, INVCOST!J$8:J$193)</f>
        <v>20.212</v>
      </c>
      <c r="AE95" s="40">
        <f>LOOKUP($B95, INVCOST!$C$8:$C$193, INVCOST!K$8:K$193)</f>
        <v>20.135999999999999</v>
      </c>
    </row>
    <row r="96" spans="2:31" s="39" customFormat="1" x14ac:dyDescent="0.3">
      <c r="B96" s="209"/>
      <c r="C96" s="208"/>
      <c r="D96" s="209" t="s">
        <v>39</v>
      </c>
      <c r="E96" s="209"/>
      <c r="F96" s="209"/>
      <c r="G96" s="10"/>
      <c r="H96" s="40"/>
      <c r="I96" s="65"/>
      <c r="J96" s="41"/>
      <c r="K96" s="42"/>
      <c r="L96" s="42"/>
      <c r="M96" s="261"/>
      <c r="N96" s="261"/>
      <c r="O96" s="261"/>
      <c r="P96" s="261"/>
      <c r="Q96" s="261"/>
      <c r="R96" s="40"/>
      <c r="S96" s="40"/>
      <c r="T96" s="40"/>
      <c r="U96" s="40"/>
      <c r="V96" s="41"/>
      <c r="W96" s="60"/>
      <c r="X96" s="40"/>
      <c r="Y96" s="40"/>
      <c r="Z96" s="40"/>
      <c r="AA96" s="40"/>
      <c r="AB96" s="40"/>
      <c r="AC96" s="40"/>
      <c r="AD96" s="40"/>
      <c r="AE96" s="40"/>
    </row>
    <row r="97" spans="2:31" s="39" customFormat="1" x14ac:dyDescent="0.3">
      <c r="B97" s="209"/>
      <c r="C97" s="209"/>
      <c r="D97" s="209"/>
      <c r="E97" s="209"/>
      <c r="F97" s="209" t="s">
        <v>477</v>
      </c>
      <c r="G97" s="50"/>
      <c r="H97" s="40"/>
      <c r="I97" s="41"/>
      <c r="J97" s="41"/>
      <c r="K97" s="42"/>
      <c r="L97" s="42"/>
      <c r="M97" s="164">
        <f>LOOKUP($B95, CEFF!$C$8:$C$156, CEFF!F$8:F$156)</f>
        <v>0.63693999999999995</v>
      </c>
      <c r="N97" s="164">
        <f>LOOKUP($B95, CEFF!$C$8:$C$156, CEFF!G$8:G$156)</f>
        <v>0.67113999999999996</v>
      </c>
      <c r="O97" s="164">
        <f>LOOKUP($B95, CEFF!$C$8:$C$156, CEFF!H$8:H$156)</f>
        <v>0.74626999999999999</v>
      </c>
      <c r="P97" s="164">
        <f>LOOKUP($B95, CEFF!$C$8:$C$156, CEFF!I$8:I$156)</f>
        <v>0.82645000000000002</v>
      </c>
      <c r="Q97" s="164">
        <f>LOOKUP($B95, CEFF!$C$8:$C$156, CEFF!J$8:J$156)</f>
        <v>0.91742999999999997</v>
      </c>
      <c r="R97" s="40"/>
      <c r="S97" s="40"/>
      <c r="T97" s="40"/>
      <c r="U97" s="40"/>
      <c r="V97" s="42"/>
      <c r="W97" s="60"/>
      <c r="X97" s="40"/>
      <c r="Y97" s="40"/>
      <c r="Z97" s="40"/>
      <c r="AA97" s="40"/>
      <c r="AB97" s="40"/>
      <c r="AC97" s="40"/>
      <c r="AD97" s="40"/>
      <c r="AE97" s="40"/>
    </row>
    <row r="98" spans="2:31" s="39" customFormat="1" x14ac:dyDescent="0.3">
      <c r="B98" s="210"/>
      <c r="C98" s="210"/>
      <c r="D98" s="210"/>
      <c r="E98" s="210"/>
      <c r="F98" s="210" t="s">
        <v>476</v>
      </c>
      <c r="G98" s="51"/>
      <c r="H98" s="45"/>
      <c r="I98" s="46"/>
      <c r="J98" s="46"/>
      <c r="K98" s="44"/>
      <c r="L98" s="44"/>
      <c r="M98" s="259">
        <f>LOOKUP($B95, CEFF!$C$163:$C$330, CEFF!F$163:F$330)</f>
        <v>0.52356000000000003</v>
      </c>
      <c r="N98" s="259">
        <f>LOOKUP($B95, CEFF!$C$163:$C$330, CEFF!G$163:G$330)</f>
        <v>0.55249000000000004</v>
      </c>
      <c r="O98" s="259">
        <f>LOOKUP($B95, CEFF!$C$163:$C$330, CEFF!H$163:H$330)</f>
        <v>0.61350000000000005</v>
      </c>
      <c r="P98" s="259">
        <f>LOOKUP($B95, CEFF!$C$163:$C$330, CEFF!I$163:I$330)</f>
        <v>0.68027000000000004</v>
      </c>
      <c r="Q98" s="259">
        <f>LOOKUP($B95, CEFF!$C$163:$C$330, CEFF!J$163:J$330)</f>
        <v>0.75187999999999999</v>
      </c>
      <c r="R98" s="45"/>
      <c r="S98" s="45"/>
      <c r="T98" s="45"/>
      <c r="U98" s="45"/>
      <c r="V98" s="44"/>
      <c r="W98" s="64"/>
      <c r="X98" s="45"/>
      <c r="Y98" s="45"/>
      <c r="Z98" s="45"/>
      <c r="AA98" s="45"/>
      <c r="AB98" s="45"/>
      <c r="AC98" s="45"/>
      <c r="AD98" s="45"/>
      <c r="AE98" s="45"/>
    </row>
    <row r="99" spans="2:31" s="39" customFormat="1" x14ac:dyDescent="0.3">
      <c r="B99" s="209" t="s">
        <v>252</v>
      </c>
      <c r="C99" s="208" t="str">
        <f>LOOKUP(B99, TRA_COMM_PRO!$C$7:$C$189, TRA_COMM_PRO!$D$7:$D$189)</f>
        <v>Truck.Light.LPG.City.01.</v>
      </c>
      <c r="D99" s="209" t="s">
        <v>62</v>
      </c>
      <c r="E99" s="209"/>
      <c r="F99" s="209"/>
      <c r="G99" s="10">
        <f>$G$5</f>
        <v>2019</v>
      </c>
      <c r="H99" s="40">
        <f>H102</f>
        <v>15</v>
      </c>
      <c r="I99" s="65">
        <f>$I$6</f>
        <v>1E-3</v>
      </c>
      <c r="J99" s="41">
        <f>$J$62</f>
        <v>0.3</v>
      </c>
      <c r="K99" s="42"/>
      <c r="L99" s="42"/>
      <c r="M99" s="163"/>
      <c r="N99" s="163"/>
      <c r="O99" s="163"/>
      <c r="P99" s="163"/>
      <c r="Q99" s="163"/>
      <c r="R99" s="40">
        <f>R102</f>
        <v>20</v>
      </c>
      <c r="S99" s="40"/>
      <c r="T99" s="40"/>
      <c r="U99" s="40"/>
      <c r="V99" s="41"/>
      <c r="W99" s="62">
        <f>LOOKUP(B99, FIXOM_VAROM!$C$8:$C$190, FIXOM_VAROM!$D$8:$D$190)</f>
        <v>50</v>
      </c>
      <c r="X99" s="40">
        <f>LOOKUP($B99, INVCOST!$C$8:$C$193, INVCOST!D$8:D$193)</f>
        <v>19.734999999999999</v>
      </c>
      <c r="Y99" s="40">
        <f>LOOKUP($B99, INVCOST!$C$8:$C$193, INVCOST!E$8:E$193)</f>
        <v>19.452000000000002</v>
      </c>
      <c r="Z99" s="40">
        <f>LOOKUP($B99, INVCOST!$C$8:$C$193, INVCOST!F$8:F$193)</f>
        <v>19.43</v>
      </c>
      <c r="AA99" s="40">
        <f>LOOKUP($B99, INVCOST!$C$8:$C$193, INVCOST!G$8:G$193)</f>
        <v>19.414999999999999</v>
      </c>
      <c r="AB99" s="40">
        <f>LOOKUP($B99, INVCOST!$C$8:$C$193, INVCOST!H$8:H$193)</f>
        <v>19.402999999999999</v>
      </c>
      <c r="AC99" s="40">
        <f>LOOKUP($B99, INVCOST!$C$8:$C$193, INVCOST!I$8:I$193)</f>
        <v>19.393000000000001</v>
      </c>
      <c r="AD99" s="40">
        <f>LOOKUP($B99, INVCOST!$C$8:$C$193, INVCOST!J$8:J$193)</f>
        <v>19.385000000000002</v>
      </c>
      <c r="AE99" s="40">
        <f>LOOKUP($B99, INVCOST!$C$8:$C$193, INVCOST!K$8:K$193)</f>
        <v>19.378</v>
      </c>
    </row>
    <row r="100" spans="2:31" s="39" customFormat="1" x14ac:dyDescent="0.3">
      <c r="B100" s="209"/>
      <c r="C100" s="209"/>
      <c r="D100" s="209"/>
      <c r="E100" s="209"/>
      <c r="F100" s="209" t="s">
        <v>477</v>
      </c>
      <c r="G100" s="50"/>
      <c r="H100" s="40"/>
      <c r="I100" s="41"/>
      <c r="J100" s="41"/>
      <c r="K100" s="42"/>
      <c r="L100" s="42"/>
      <c r="M100" s="164">
        <f>LOOKUP($B99, CEFF!$C$8:$C$156, CEFF!F$8:F$156)</f>
        <v>0.51812999999999998</v>
      </c>
      <c r="N100" s="164">
        <f>LOOKUP($B99, CEFF!$C$8:$C$156, CEFF!G$8:G$156)</f>
        <v>0.55249000000000004</v>
      </c>
      <c r="O100" s="164">
        <f>LOOKUP($B99, CEFF!$C$8:$C$156, CEFF!H$8:H$156)</f>
        <v>0.58140000000000003</v>
      </c>
      <c r="P100" s="164">
        <f>LOOKUP($B99, CEFF!$C$8:$C$156, CEFF!I$8:I$156)</f>
        <v>0.61350000000000005</v>
      </c>
      <c r="Q100" s="164">
        <f>LOOKUP($B99, CEFF!$C$8:$C$156, CEFF!J$8:J$156)</f>
        <v>0.64515999999999996</v>
      </c>
      <c r="R100" s="40"/>
      <c r="S100" s="40"/>
      <c r="T100" s="40"/>
      <c r="U100" s="40"/>
      <c r="V100" s="41"/>
      <c r="W100" s="60"/>
      <c r="X100" s="40"/>
      <c r="Y100" s="40"/>
      <c r="Z100" s="40"/>
      <c r="AA100" s="40"/>
      <c r="AB100" s="40"/>
      <c r="AC100" s="40"/>
      <c r="AD100" s="40"/>
      <c r="AE100" s="40"/>
    </row>
    <row r="101" spans="2:31" s="39" customFormat="1" x14ac:dyDescent="0.3">
      <c r="B101" s="210"/>
      <c r="C101" s="210"/>
      <c r="D101" s="210"/>
      <c r="E101" s="210"/>
      <c r="F101" s="210" t="s">
        <v>476</v>
      </c>
      <c r="G101" s="51"/>
      <c r="H101" s="45"/>
      <c r="I101" s="46"/>
      <c r="J101" s="46"/>
      <c r="K101" s="44"/>
      <c r="L101" s="44"/>
      <c r="M101" s="259">
        <f>LOOKUP($B99, CEFF!$C$163:$C$330, CEFF!F$163:F$330)</f>
        <v>0.42553000000000002</v>
      </c>
      <c r="N101" s="259">
        <f>LOOKUP($B99, CEFF!$C$163:$C$330, CEFF!G$163:G$330)</f>
        <v>0.45455000000000001</v>
      </c>
      <c r="O101" s="259">
        <f>LOOKUP($B99, CEFF!$C$163:$C$330, CEFF!H$163:H$330)</f>
        <v>0.47847000000000001</v>
      </c>
      <c r="P101" s="259">
        <f>LOOKUP($B99, CEFF!$C$163:$C$330, CEFF!I$163:I$330)</f>
        <v>0.50251000000000001</v>
      </c>
      <c r="Q101" s="259">
        <f>LOOKUP($B99, CEFF!$C$163:$C$330, CEFF!J$163:J$330)</f>
        <v>0.52910000000000001</v>
      </c>
      <c r="R101" s="45"/>
      <c r="S101" s="45"/>
      <c r="T101" s="45"/>
      <c r="U101" s="45"/>
      <c r="V101" s="46"/>
      <c r="W101" s="64"/>
      <c r="X101" s="45"/>
      <c r="Y101" s="45"/>
      <c r="Z101" s="45"/>
      <c r="AA101" s="45"/>
      <c r="AB101" s="45"/>
      <c r="AC101" s="45"/>
      <c r="AD101" s="45"/>
      <c r="AE101" s="45"/>
    </row>
    <row r="102" spans="2:31" s="39" customFormat="1" x14ac:dyDescent="0.3">
      <c r="B102" s="209" t="s">
        <v>593</v>
      </c>
      <c r="C102" s="208" t="str">
        <f>LOOKUP(B102, TRA_COMM_PRO!$C$7:$C$189, TRA_COMM_PRO!$D$7:$D$189)</f>
        <v>Truck.Light.MTH.City.01.</v>
      </c>
      <c r="D102" s="209" t="s">
        <v>582</v>
      </c>
      <c r="E102" s="209"/>
      <c r="F102" s="209"/>
      <c r="G102" s="10">
        <f>$G$5</f>
        <v>2019</v>
      </c>
      <c r="H102" s="40">
        <v>15</v>
      </c>
      <c r="I102" s="65">
        <f>$I$6</f>
        <v>1E-3</v>
      </c>
      <c r="J102" s="41">
        <f>$J$62</f>
        <v>0.3</v>
      </c>
      <c r="K102" s="42"/>
      <c r="L102" s="42"/>
      <c r="M102" s="163"/>
      <c r="N102" s="163"/>
      <c r="O102" s="163"/>
      <c r="P102" s="163"/>
      <c r="Q102" s="163"/>
      <c r="R102" s="40">
        <v>20</v>
      </c>
      <c r="S102" s="40"/>
      <c r="T102" s="40"/>
      <c r="U102" s="40"/>
      <c r="V102" s="41"/>
      <c r="W102" s="62">
        <f>LOOKUP(B102, FIXOM_VAROM!$C$8:$C$190, FIXOM_VAROM!$D$8:$D$190)</f>
        <v>50</v>
      </c>
      <c r="X102" s="40">
        <f>LOOKUP($B102, INVCOST!$C$8:$C$193, INVCOST!D$8:D$193)</f>
        <v>19.734999999999999</v>
      </c>
      <c r="Y102" s="40">
        <f>LOOKUP($B102, INVCOST!$C$8:$C$193, INVCOST!E$8:E$193)</f>
        <v>19.452000000000002</v>
      </c>
      <c r="Z102" s="40">
        <f>LOOKUP($B102, INVCOST!$C$8:$C$193, INVCOST!F$8:F$193)</f>
        <v>19.43</v>
      </c>
      <c r="AA102" s="40">
        <f>LOOKUP($B102, INVCOST!$C$8:$C$193, INVCOST!G$8:G$193)</f>
        <v>19.414999999999999</v>
      </c>
      <c r="AB102" s="40">
        <f>LOOKUP($B102, INVCOST!$C$8:$C$193, INVCOST!H$8:H$193)</f>
        <v>19.402999999999999</v>
      </c>
      <c r="AC102" s="40">
        <f>LOOKUP($B102, INVCOST!$C$8:$C$193, INVCOST!I$8:I$193)</f>
        <v>19.393000000000001</v>
      </c>
      <c r="AD102" s="40">
        <f>LOOKUP($B102, INVCOST!$C$8:$C$193, INVCOST!J$8:J$193)</f>
        <v>19.385000000000002</v>
      </c>
      <c r="AE102" s="40">
        <f>LOOKUP($B102, INVCOST!$C$8:$C$193, INVCOST!K$8:K$193)</f>
        <v>19.378</v>
      </c>
    </row>
    <row r="103" spans="2:31" s="39" customFormat="1" x14ac:dyDescent="0.3">
      <c r="B103" s="209"/>
      <c r="C103" s="209"/>
      <c r="D103" s="209"/>
      <c r="E103" s="209"/>
      <c r="F103" s="209" t="s">
        <v>477</v>
      </c>
      <c r="G103" s="50"/>
      <c r="H103" s="40"/>
      <c r="I103" s="41"/>
      <c r="J103" s="41"/>
      <c r="K103" s="42"/>
      <c r="L103" s="42"/>
      <c r="M103" s="164">
        <f>LOOKUP($B102, CEFF!$C$8:$C$156, CEFF!F$8:F$156)</f>
        <v>0.51812999999999998</v>
      </c>
      <c r="N103" s="164">
        <f>LOOKUP($B102, CEFF!$C$8:$C$156, CEFF!G$8:G$156)</f>
        <v>0.55249000000000004</v>
      </c>
      <c r="O103" s="164">
        <f>LOOKUP($B102, CEFF!$C$8:$C$156, CEFF!H$8:H$156)</f>
        <v>0.58140000000000003</v>
      </c>
      <c r="P103" s="164">
        <f>LOOKUP($B102, CEFF!$C$8:$C$156, CEFF!I$8:I$156)</f>
        <v>0.61350000000000005</v>
      </c>
      <c r="Q103" s="164">
        <f>LOOKUP($B102, CEFF!$C$8:$C$156, CEFF!J$8:J$156)</f>
        <v>0.64515999999999996</v>
      </c>
      <c r="R103" s="40"/>
      <c r="S103" s="40"/>
      <c r="T103" s="40"/>
      <c r="U103" s="40"/>
      <c r="V103" s="41"/>
      <c r="W103" s="60"/>
      <c r="X103" s="40"/>
      <c r="Y103" s="40"/>
      <c r="Z103" s="40"/>
      <c r="AA103" s="40"/>
      <c r="AB103" s="40"/>
      <c r="AC103" s="40"/>
      <c r="AD103" s="40"/>
      <c r="AE103" s="40"/>
    </row>
    <row r="104" spans="2:31" s="39" customFormat="1" x14ac:dyDescent="0.3">
      <c r="B104" s="210"/>
      <c r="C104" s="210"/>
      <c r="D104" s="210"/>
      <c r="E104" s="210"/>
      <c r="F104" s="210" t="s">
        <v>476</v>
      </c>
      <c r="G104" s="51"/>
      <c r="H104" s="45"/>
      <c r="I104" s="46"/>
      <c r="J104" s="46"/>
      <c r="K104" s="44"/>
      <c r="L104" s="44"/>
      <c r="M104" s="259">
        <f>LOOKUP($B102, CEFF!$C$163:$C$330, CEFF!F$163:F$330)</f>
        <v>0.42553000000000002</v>
      </c>
      <c r="N104" s="259">
        <f>LOOKUP($B102, CEFF!$C$163:$C$330, CEFF!G$163:G$330)</f>
        <v>0.45455000000000001</v>
      </c>
      <c r="O104" s="259">
        <f>LOOKUP($B102, CEFF!$C$163:$C$330, CEFF!H$163:H$330)</f>
        <v>0.47847000000000001</v>
      </c>
      <c r="P104" s="259">
        <f>LOOKUP($B102, CEFF!$C$163:$C$330, CEFF!I$163:I$330)</f>
        <v>0.50251000000000001</v>
      </c>
      <c r="Q104" s="259">
        <f>LOOKUP($B102, CEFF!$C$163:$C$330, CEFF!J$163:J$330)</f>
        <v>0.52910000000000001</v>
      </c>
      <c r="R104" s="45"/>
      <c r="S104" s="45"/>
      <c r="T104" s="45"/>
      <c r="U104" s="45"/>
      <c r="V104" s="46"/>
      <c r="W104" s="64"/>
      <c r="X104" s="154"/>
      <c r="Y104" s="154"/>
      <c r="Z104" s="154"/>
      <c r="AA104" s="154"/>
      <c r="AB104" s="154"/>
      <c r="AC104" s="154"/>
      <c r="AD104" s="154"/>
      <c r="AE104" s="154"/>
    </row>
    <row r="105" spans="2:31" s="39" customFormat="1" x14ac:dyDescent="0.3">
      <c r="B105" s="212" t="s">
        <v>299</v>
      </c>
      <c r="C105" s="208" t="str">
        <f>LOOKUP(B105, TRA_COMM_PRO!$C$7:$C$189, TRA_COMM_PRO!$D$7:$D$189)</f>
        <v>Truck.Light.Plugin-Hybrid.DST.City.01.</v>
      </c>
      <c r="D105" s="212" t="s">
        <v>44</v>
      </c>
      <c r="E105" s="212"/>
      <c r="F105" s="212"/>
      <c r="G105" s="10">
        <f>$G$5</f>
        <v>2019</v>
      </c>
      <c r="H105" s="54">
        <v>15</v>
      </c>
      <c r="I105" s="65">
        <f>$I$6</f>
        <v>1E-3</v>
      </c>
      <c r="J105" s="41">
        <f>$J$62</f>
        <v>0.3</v>
      </c>
      <c r="K105" s="42"/>
      <c r="L105" s="42"/>
      <c r="M105" s="164"/>
      <c r="N105" s="164"/>
      <c r="O105" s="164"/>
      <c r="P105" s="164"/>
      <c r="Q105" s="164"/>
      <c r="R105" s="40">
        <v>20</v>
      </c>
      <c r="S105" s="40"/>
      <c r="T105" s="40"/>
      <c r="U105" s="40"/>
      <c r="V105" s="41"/>
      <c r="W105" s="62">
        <f>LOOKUP(B105, FIXOM_VAROM!$C$8:$C$190, FIXOM_VAROM!$D$8:$D$190)</f>
        <v>50</v>
      </c>
      <c r="X105" s="40">
        <f>LOOKUP($B105, INVCOST!$C$8:$C$193, INVCOST!D$8:D$193)</f>
        <v>32.155000000000001</v>
      </c>
      <c r="Y105" s="40">
        <f>LOOKUP($B105, INVCOST!$C$8:$C$193, INVCOST!E$8:E$193)</f>
        <v>29.478999999999999</v>
      </c>
      <c r="Z105" s="40">
        <f>LOOKUP($B105, INVCOST!$C$8:$C$193, INVCOST!F$8:F$193)</f>
        <v>27.831</v>
      </c>
      <c r="AA105" s="40">
        <f>LOOKUP($B105, INVCOST!$C$8:$C$193, INVCOST!G$8:G$193)</f>
        <v>26.962</v>
      </c>
      <c r="AB105" s="40">
        <f>LOOKUP($B105, INVCOST!$C$8:$C$193, INVCOST!H$8:H$193)</f>
        <v>26.277000000000001</v>
      </c>
      <c r="AC105" s="40">
        <f>LOOKUP($B105, INVCOST!$C$8:$C$193, INVCOST!I$8:I$193)</f>
        <v>25.709</v>
      </c>
      <c r="AD105" s="40">
        <f>LOOKUP($B105, INVCOST!$C$8:$C$193, INVCOST!J$8:J$193)</f>
        <v>25.244</v>
      </c>
      <c r="AE105" s="40">
        <f>LOOKUP($B105, INVCOST!$C$8:$C$193, INVCOST!K$8:K$193)</f>
        <v>24.864000000000001</v>
      </c>
    </row>
    <row r="106" spans="2:31" s="39" customFormat="1" x14ac:dyDescent="0.3">
      <c r="B106" s="209"/>
      <c r="C106" s="209"/>
      <c r="D106" s="209" t="s">
        <v>48</v>
      </c>
      <c r="E106" s="209"/>
      <c r="F106" s="209"/>
      <c r="G106" s="50"/>
      <c r="H106" s="40"/>
      <c r="I106" s="41"/>
      <c r="J106" s="41"/>
      <c r="K106" s="42"/>
      <c r="L106" s="42"/>
      <c r="M106" s="164"/>
      <c r="N106" s="164"/>
      <c r="O106" s="164"/>
      <c r="P106" s="164"/>
      <c r="Q106" s="164"/>
      <c r="R106" s="40"/>
      <c r="S106" s="40"/>
      <c r="T106" s="40"/>
      <c r="U106" s="40"/>
      <c r="V106" s="42"/>
      <c r="W106" s="60"/>
      <c r="X106" s="40"/>
      <c r="Y106" s="40"/>
      <c r="Z106" s="40"/>
      <c r="AA106" s="40"/>
      <c r="AB106" s="40"/>
      <c r="AC106" s="40"/>
      <c r="AD106" s="40"/>
      <c r="AE106" s="40"/>
    </row>
    <row r="107" spans="2:31" s="39" customFormat="1" x14ac:dyDescent="0.3">
      <c r="B107" s="209"/>
      <c r="C107" s="209"/>
      <c r="D107" s="209"/>
      <c r="E107" s="209"/>
      <c r="F107" s="209" t="s">
        <v>477</v>
      </c>
      <c r="G107" s="50"/>
      <c r="H107" s="40"/>
      <c r="I107" s="41"/>
      <c r="J107" s="41"/>
      <c r="K107" s="42"/>
      <c r="L107" s="42"/>
      <c r="M107" s="164">
        <f>LOOKUP($B105, CEFF!$C$8:$C$156, CEFF!F$8:F$156)</f>
        <v>0.85470000000000002</v>
      </c>
      <c r="N107" s="164">
        <f>LOOKUP($B105, CEFF!$C$8:$C$156, CEFF!G$8:G$156)</f>
        <v>0.85470000000000002</v>
      </c>
      <c r="O107" s="164">
        <f>LOOKUP($B105, CEFF!$C$8:$C$156, CEFF!H$8:H$156)</f>
        <v>0.94340000000000002</v>
      </c>
      <c r="P107" s="164">
        <f>LOOKUP($B105, CEFF!$C$8:$C$156, CEFF!I$8:I$156)</f>
        <v>1.0416700000000001</v>
      </c>
      <c r="Q107" s="164">
        <f>LOOKUP($B105, CEFF!$C$8:$C$156, CEFF!J$8:J$156)</f>
        <v>1.16279</v>
      </c>
      <c r="R107" s="40"/>
      <c r="S107" s="40"/>
      <c r="T107" s="40"/>
      <c r="U107" s="40"/>
      <c r="V107" s="42"/>
      <c r="W107" s="60"/>
      <c r="X107" s="40"/>
      <c r="Y107" s="40"/>
      <c r="Z107" s="40"/>
      <c r="AA107" s="40"/>
      <c r="AB107" s="40"/>
      <c r="AC107" s="40"/>
      <c r="AD107" s="40"/>
      <c r="AE107" s="40"/>
    </row>
    <row r="108" spans="2:31" s="39" customFormat="1" x14ac:dyDescent="0.3">
      <c r="B108" s="210"/>
      <c r="C108" s="210"/>
      <c r="D108" s="210"/>
      <c r="E108" s="210"/>
      <c r="F108" s="210" t="s">
        <v>476</v>
      </c>
      <c r="G108" s="51"/>
      <c r="H108" s="45"/>
      <c r="I108" s="46"/>
      <c r="J108" s="46"/>
      <c r="K108" s="44"/>
      <c r="L108" s="44"/>
      <c r="M108" s="259">
        <f>LOOKUP($B105, CEFF!$C$163:$C$330, CEFF!F$163:F$330)</f>
        <v>1.0869599999999999</v>
      </c>
      <c r="N108" s="259">
        <f>LOOKUP($B105, CEFF!$C$163:$C$330, CEFF!G$163:G$330)</f>
        <v>1.0638300000000001</v>
      </c>
      <c r="O108" s="259">
        <f>LOOKUP($B105, CEFF!$C$163:$C$330, CEFF!H$163:H$330)</f>
        <v>1.13636</v>
      </c>
      <c r="P108" s="259">
        <f>LOOKUP($B105, CEFF!$C$163:$C$330, CEFF!I$163:I$330)</f>
        <v>1.2195100000000001</v>
      </c>
      <c r="Q108" s="259">
        <f>LOOKUP($B105, CEFF!$C$163:$C$330, CEFF!J$163:J$330)</f>
        <v>1.31579</v>
      </c>
      <c r="R108" s="45"/>
      <c r="S108" s="45"/>
      <c r="T108" s="45"/>
      <c r="U108" s="45"/>
      <c r="V108" s="44"/>
      <c r="W108" s="64"/>
      <c r="X108" s="45"/>
      <c r="Y108" s="45"/>
      <c r="Z108" s="45"/>
      <c r="AA108" s="45"/>
      <c r="AB108" s="45"/>
      <c r="AC108" s="45"/>
      <c r="AD108" s="45"/>
      <c r="AE108" s="45"/>
    </row>
    <row r="109" spans="2:31" s="39" customFormat="1" x14ac:dyDescent="0.3">
      <c r="B109" s="209" t="s">
        <v>300</v>
      </c>
      <c r="C109" s="208" t="str">
        <f>LOOKUP(B109, TRA_COMM_PRO!$C$7:$C$189, TRA_COMM_PRO!$D$7:$D$189)</f>
        <v>Truck.Light.Plugin-Hybrid.GSL.City.01.</v>
      </c>
      <c r="D109" s="209" t="s">
        <v>40</v>
      </c>
      <c r="E109" s="209"/>
      <c r="F109" s="209"/>
      <c r="G109" s="10">
        <f>$G$5</f>
        <v>2019</v>
      </c>
      <c r="H109" s="54">
        <v>15</v>
      </c>
      <c r="I109" s="65">
        <f>$I$6</f>
        <v>1E-3</v>
      </c>
      <c r="J109" s="41">
        <f>$J$62</f>
        <v>0.3</v>
      </c>
      <c r="K109" s="42"/>
      <c r="L109" s="42">
        <v>0.05</v>
      </c>
      <c r="M109" s="164"/>
      <c r="N109" s="164"/>
      <c r="O109" s="164"/>
      <c r="P109" s="164"/>
      <c r="Q109" s="164"/>
      <c r="R109" s="40">
        <v>20</v>
      </c>
      <c r="S109" s="40"/>
      <c r="T109" s="40"/>
      <c r="U109" s="40"/>
      <c r="V109" s="41"/>
      <c r="W109" s="62">
        <f>LOOKUP(B109, FIXOM_VAROM!$C$8:$C$190, FIXOM_VAROM!$D$8:$D$190)</f>
        <v>50</v>
      </c>
      <c r="X109" s="40">
        <f>LOOKUP($B109, INVCOST!$C$8:$C$193, INVCOST!D$8:D$193)</f>
        <v>30.745000000000001</v>
      </c>
      <c r="Y109" s="40">
        <f>LOOKUP($B109, INVCOST!$C$8:$C$193, INVCOST!E$8:E$193)</f>
        <v>28.067</v>
      </c>
      <c r="Z109" s="40">
        <f>LOOKUP($B109, INVCOST!$C$8:$C$193, INVCOST!F$8:F$193)</f>
        <v>26.41</v>
      </c>
      <c r="AA109" s="40">
        <f>LOOKUP($B109, INVCOST!$C$8:$C$193, INVCOST!G$8:G$193)</f>
        <v>25.536000000000001</v>
      </c>
      <c r="AB109" s="40">
        <f>LOOKUP($B109, INVCOST!$C$8:$C$193, INVCOST!H$8:H$193)</f>
        <v>24.844999999999999</v>
      </c>
      <c r="AC109" s="40">
        <f>LOOKUP($B109, INVCOST!$C$8:$C$193, INVCOST!I$8:I$193)</f>
        <v>24.273</v>
      </c>
      <c r="AD109" s="40">
        <f>LOOKUP($B109, INVCOST!$C$8:$C$193, INVCOST!J$8:J$193)</f>
        <v>23.803000000000001</v>
      </c>
      <c r="AE109" s="40">
        <f>LOOKUP($B109, INVCOST!$C$8:$C$193, INVCOST!K$8:K$193)</f>
        <v>23.42</v>
      </c>
    </row>
    <row r="110" spans="2:31" s="39" customFormat="1" x14ac:dyDescent="0.3">
      <c r="B110" s="209"/>
      <c r="C110" s="208"/>
      <c r="D110" s="209" t="s">
        <v>39</v>
      </c>
      <c r="E110" s="209"/>
      <c r="F110" s="209"/>
      <c r="G110" s="10"/>
      <c r="H110" s="40"/>
      <c r="I110" s="65"/>
      <c r="J110" s="41"/>
      <c r="K110" s="42"/>
      <c r="L110" s="42"/>
      <c r="M110" s="164"/>
      <c r="N110" s="164"/>
      <c r="O110" s="164"/>
      <c r="P110" s="164"/>
      <c r="Q110" s="164"/>
      <c r="R110" s="40"/>
      <c r="S110" s="40"/>
      <c r="T110" s="40"/>
      <c r="U110" s="40"/>
      <c r="V110" s="41"/>
      <c r="W110" s="42"/>
      <c r="X110" s="40"/>
      <c r="Y110" s="40"/>
      <c r="Z110" s="40"/>
      <c r="AA110" s="40"/>
      <c r="AB110" s="40"/>
      <c r="AC110" s="40"/>
      <c r="AD110" s="40"/>
      <c r="AE110" s="40"/>
    </row>
    <row r="111" spans="2:31" s="39" customFormat="1" x14ac:dyDescent="0.3">
      <c r="B111" s="209"/>
      <c r="C111" s="209"/>
      <c r="D111" s="209"/>
      <c r="E111" s="209"/>
      <c r="F111" s="209" t="s">
        <v>477</v>
      </c>
      <c r="G111" s="50"/>
      <c r="H111" s="40"/>
      <c r="I111" s="41"/>
      <c r="J111" s="41"/>
      <c r="K111" s="42"/>
      <c r="L111" s="42"/>
      <c r="M111" s="164">
        <f>LOOKUP($B109, CEFF!$C$8:$C$156, CEFF!F$8:F$156)</f>
        <v>0.90908999999999995</v>
      </c>
      <c r="N111" s="164">
        <f>LOOKUP($B109, CEFF!$C$8:$C$156, CEFF!G$8:G$156)</f>
        <v>0.90908999999999995</v>
      </c>
      <c r="O111" s="164">
        <f>LOOKUP($B109, CEFF!$C$8:$C$156, CEFF!H$8:H$156)</f>
        <v>1.0101</v>
      </c>
      <c r="P111" s="164">
        <f>LOOKUP($B109, CEFF!$C$8:$C$156, CEFF!I$8:I$156)</f>
        <v>1.11111</v>
      </c>
      <c r="Q111" s="164">
        <f>LOOKUP($B109, CEFF!$C$8:$C$156, CEFF!J$8:J$156)</f>
        <v>1.2345699999999999</v>
      </c>
      <c r="R111" s="40"/>
      <c r="S111" s="40"/>
      <c r="T111" s="40"/>
      <c r="U111" s="40"/>
      <c r="V111" s="42"/>
      <c r="W111" s="41"/>
      <c r="X111" s="41"/>
      <c r="Y111" s="41"/>
      <c r="Z111" s="41"/>
      <c r="AA111" s="41"/>
      <c r="AB111" s="41"/>
      <c r="AC111" s="41"/>
      <c r="AD111" s="41"/>
      <c r="AE111" s="41"/>
    </row>
    <row r="112" spans="2:31" s="39" customFormat="1" x14ac:dyDescent="0.3">
      <c r="B112" s="213"/>
      <c r="C112" s="213"/>
      <c r="D112" s="213"/>
      <c r="E112" s="213"/>
      <c r="F112" s="213" t="s">
        <v>476</v>
      </c>
      <c r="G112" s="180"/>
      <c r="H112" s="181"/>
      <c r="I112" s="179"/>
      <c r="J112" s="179"/>
      <c r="K112" s="177"/>
      <c r="L112" s="177"/>
      <c r="M112" s="262">
        <f>LOOKUP($B109, CEFF!$C$163:$C$330, CEFF!F$163:F$330)</f>
        <v>1.0101</v>
      </c>
      <c r="N112" s="262">
        <f>LOOKUP($B109, CEFF!$C$163:$C$330, CEFF!G$163:G$330)</f>
        <v>0.99009999999999998</v>
      </c>
      <c r="O112" s="262">
        <f>LOOKUP($B109, CEFF!$C$163:$C$330, CEFF!H$163:H$330)</f>
        <v>1.05263</v>
      </c>
      <c r="P112" s="262">
        <f>LOOKUP($B109, CEFF!$C$163:$C$330, CEFF!I$163:I$330)</f>
        <v>1.1235999999999999</v>
      </c>
      <c r="Q112" s="262">
        <f>LOOKUP($B109, CEFF!$C$163:$C$330, CEFF!J$163:J$330)</f>
        <v>1.19048</v>
      </c>
      <c r="R112" s="181"/>
      <c r="S112" s="181"/>
      <c r="T112" s="181"/>
      <c r="U112" s="181"/>
      <c r="V112" s="177"/>
      <c r="W112" s="179"/>
      <c r="X112" s="179"/>
      <c r="Y112" s="179"/>
      <c r="Z112" s="179"/>
      <c r="AA112" s="179"/>
      <c r="AB112" s="179"/>
      <c r="AC112" s="179"/>
      <c r="AD112" s="179"/>
      <c r="AE112" s="179"/>
    </row>
    <row r="113" spans="2:31" s="39" customFormat="1" x14ac:dyDescent="0.3">
      <c r="H113" s="36"/>
      <c r="I113" s="37"/>
      <c r="J113" s="38"/>
      <c r="K113" s="58"/>
      <c r="L113" s="58"/>
      <c r="M113" s="58"/>
      <c r="N113" s="58"/>
      <c r="O113" s="58"/>
      <c r="P113" s="58"/>
      <c r="Q113" s="58"/>
      <c r="R113" s="36"/>
      <c r="S113" s="36"/>
      <c r="T113" s="36"/>
      <c r="U113" s="36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</row>
    <row r="114" spans="2:31" s="39" customFormat="1" x14ac:dyDescent="0.3">
      <c r="H114" s="36"/>
      <c r="I114" s="37"/>
      <c r="J114" s="38"/>
      <c r="K114" s="58"/>
      <c r="L114" s="58"/>
      <c r="M114" s="58"/>
      <c r="N114" s="58"/>
      <c r="O114" s="58"/>
      <c r="P114" s="58"/>
      <c r="Q114" s="58"/>
      <c r="R114" s="36"/>
      <c r="S114" s="36"/>
      <c r="T114" s="36"/>
      <c r="U114" s="36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</row>
    <row r="115" spans="2:31" x14ac:dyDescent="0.3">
      <c r="B115" s="6" t="s">
        <v>546</v>
      </c>
      <c r="C115" s="6"/>
      <c r="D115" s="8"/>
      <c r="E115" s="8"/>
      <c r="F115" s="9" t="s">
        <v>1</v>
      </c>
      <c r="G115" s="4"/>
    </row>
    <row r="116" spans="2:31" x14ac:dyDescent="0.3">
      <c r="B116" s="199" t="s">
        <v>2</v>
      </c>
      <c r="C116" s="199" t="s">
        <v>3</v>
      </c>
      <c r="D116" s="199" t="s">
        <v>4</v>
      </c>
      <c r="E116" s="199" t="s">
        <v>5</v>
      </c>
      <c r="F116" s="200" t="s">
        <v>6</v>
      </c>
      <c r="G116" s="200" t="s">
        <v>186</v>
      </c>
      <c r="H116" s="201" t="s">
        <v>185</v>
      </c>
      <c r="I116" s="201" t="s">
        <v>11</v>
      </c>
      <c r="J116" s="200" t="s">
        <v>12</v>
      </c>
      <c r="K116" s="200" t="s">
        <v>7</v>
      </c>
      <c r="L116" s="200" t="s">
        <v>8</v>
      </c>
      <c r="M116" s="201" t="s">
        <v>688</v>
      </c>
      <c r="N116" s="201" t="s">
        <v>321</v>
      </c>
      <c r="O116" s="201" t="s">
        <v>322</v>
      </c>
      <c r="P116" s="201" t="s">
        <v>9</v>
      </c>
      <c r="Q116" s="201" t="s">
        <v>10</v>
      </c>
      <c r="R116" s="201" t="s">
        <v>687</v>
      </c>
      <c r="S116" s="201" t="s">
        <v>448</v>
      </c>
      <c r="T116" s="201" t="s">
        <v>13</v>
      </c>
      <c r="U116" s="201" t="s">
        <v>382</v>
      </c>
      <c r="V116" s="201" t="s">
        <v>42</v>
      </c>
      <c r="W116" s="201" t="s">
        <v>14</v>
      </c>
      <c r="X116" s="201" t="s">
        <v>381</v>
      </c>
      <c r="Y116" s="201" t="s">
        <v>15</v>
      </c>
      <c r="Z116" s="201" t="s">
        <v>16</v>
      </c>
      <c r="AA116" s="201" t="s">
        <v>17</v>
      </c>
      <c r="AB116" s="201" t="s">
        <v>18</v>
      </c>
      <c r="AC116" s="201" t="s">
        <v>19</v>
      </c>
      <c r="AD116" s="201" t="s">
        <v>20</v>
      </c>
      <c r="AE116" s="201" t="s">
        <v>21</v>
      </c>
    </row>
    <row r="117" spans="2:31" ht="33.75" customHeight="1" thickBot="1" x14ac:dyDescent="0.35">
      <c r="B117" s="202" t="s">
        <v>22</v>
      </c>
      <c r="C117" s="202"/>
      <c r="D117" s="202"/>
      <c r="E117" s="202"/>
      <c r="F117" s="203" t="s">
        <v>23</v>
      </c>
      <c r="G117" s="203">
        <v>2019</v>
      </c>
      <c r="H117" s="204" t="s">
        <v>26</v>
      </c>
      <c r="I117" s="204" t="s">
        <v>639</v>
      </c>
      <c r="J117" s="204" t="s">
        <v>126</v>
      </c>
      <c r="K117" s="203"/>
      <c r="L117" s="203"/>
      <c r="M117" s="205" t="s">
        <v>653</v>
      </c>
      <c r="N117" s="205" t="s">
        <v>653</v>
      </c>
      <c r="O117" s="205" t="s">
        <v>653</v>
      </c>
      <c r="P117" s="205" t="s">
        <v>653</v>
      </c>
      <c r="Q117" s="205" t="s">
        <v>653</v>
      </c>
      <c r="R117" s="204" t="s">
        <v>658</v>
      </c>
      <c r="S117" s="204" t="s">
        <v>658</v>
      </c>
      <c r="T117" s="204" t="s">
        <v>658</v>
      </c>
      <c r="U117" s="204" t="s">
        <v>658</v>
      </c>
      <c r="V117" s="206" t="s">
        <v>662</v>
      </c>
      <c r="W117" s="206" t="s">
        <v>661</v>
      </c>
      <c r="X117" s="206" t="s">
        <v>657</v>
      </c>
      <c r="Y117" s="206" t="s">
        <v>657</v>
      </c>
      <c r="Z117" s="206" t="s">
        <v>657</v>
      </c>
      <c r="AA117" s="206" t="s">
        <v>657</v>
      </c>
      <c r="AB117" s="206" t="s">
        <v>657</v>
      </c>
      <c r="AC117" s="206" t="s">
        <v>657</v>
      </c>
      <c r="AD117" s="206" t="s">
        <v>657</v>
      </c>
      <c r="AE117" s="206" t="s">
        <v>657</v>
      </c>
    </row>
    <row r="118" spans="2:31" s="39" customFormat="1" x14ac:dyDescent="0.3">
      <c r="B118" s="207" t="s">
        <v>345</v>
      </c>
      <c r="C118" s="208" t="str">
        <f>LOOKUP(B118, TRA_COMM_PRO!$C$7:$C$189, TRA_COMM_PRO!$D$7:$D$189)</f>
        <v>Truck.Medium.BDL.01.</v>
      </c>
      <c r="D118" s="207" t="s">
        <v>44</v>
      </c>
      <c r="E118" s="207"/>
      <c r="F118" s="207"/>
      <c r="G118" s="10">
        <f>$G$117</f>
        <v>2019</v>
      </c>
      <c r="H118" s="71">
        <v>15</v>
      </c>
      <c r="I118" s="156">
        <f>10^-3</f>
        <v>1E-3</v>
      </c>
      <c r="J118" s="72">
        <v>2.7</v>
      </c>
      <c r="K118" s="73"/>
      <c r="L118" s="73"/>
      <c r="M118" s="43"/>
      <c r="N118" s="43"/>
      <c r="O118" s="43"/>
      <c r="P118" s="43"/>
      <c r="Q118" s="43"/>
      <c r="R118" s="71">
        <v>45</v>
      </c>
      <c r="S118" s="71"/>
      <c r="T118" s="71"/>
      <c r="U118" s="71"/>
      <c r="V118" s="72"/>
      <c r="W118" s="62">
        <f>LOOKUP(B118, FIXOM_VAROM!$C$8:$C$190, FIXOM_VAROM!$D$8:$D$190)</f>
        <v>100</v>
      </c>
      <c r="X118" s="40">
        <f>LOOKUP($B118, INVCOST!$C$8:$C$193, INVCOST!D$8:D$193)</f>
        <v>141</v>
      </c>
      <c r="Y118" s="40">
        <f>LOOKUP($B118, INVCOST!$C$8:$C$193, INVCOST!E$8:E$193)</f>
        <v>141</v>
      </c>
      <c r="Z118" s="40">
        <f>LOOKUP($B118, INVCOST!$C$8:$C$193, INVCOST!F$8:F$193)</f>
        <v>141</v>
      </c>
      <c r="AA118" s="40">
        <f>LOOKUP($B118, INVCOST!$C$8:$C$193, INVCOST!G$8:G$193)</f>
        <v>141</v>
      </c>
      <c r="AB118" s="40">
        <f>LOOKUP($B118, INVCOST!$C$8:$C$193, INVCOST!H$8:H$193)</f>
        <v>141</v>
      </c>
      <c r="AC118" s="40">
        <f>LOOKUP($B118, INVCOST!$C$8:$C$193, INVCOST!I$8:I$193)</f>
        <v>141</v>
      </c>
      <c r="AD118" s="40">
        <f>LOOKUP($B118, INVCOST!$C$8:$C$193, INVCOST!J$8:J$193)</f>
        <v>141</v>
      </c>
      <c r="AE118" s="40">
        <f>LOOKUP($B118, INVCOST!$C$8:$C$193, INVCOST!K$8:K$193)</f>
        <v>141</v>
      </c>
    </row>
    <row r="119" spans="2:31" s="39" customFormat="1" x14ac:dyDescent="0.3">
      <c r="B119" s="209"/>
      <c r="C119" s="209"/>
      <c r="D119" s="209"/>
      <c r="E119" s="209"/>
      <c r="F119" s="209" t="s">
        <v>364</v>
      </c>
      <c r="G119" s="50"/>
      <c r="H119" s="40"/>
      <c r="I119" s="41"/>
      <c r="J119" s="41"/>
      <c r="K119" s="42"/>
      <c r="L119" s="42"/>
      <c r="M119" s="263">
        <f>LOOKUP($B118, CEFF!$C$8:$C$156, CEFF!F$8:F$156)</f>
        <v>0.10185</v>
      </c>
      <c r="N119" s="263">
        <f>LOOKUP($B118, CEFF!$C$8:$C$156, CEFF!G$8:G$156)</f>
        <v>0.10377</v>
      </c>
      <c r="O119" s="263">
        <f>LOOKUP($B118, CEFF!$C$8:$C$156, CEFF!H$8:H$156)</f>
        <v>0.10680000000000001</v>
      </c>
      <c r="P119" s="263">
        <f>LOOKUP($B118, CEFF!$C$8:$C$156, CEFF!I$8:I$156)</f>
        <v>0.10945000000000001</v>
      </c>
      <c r="Q119" s="263">
        <f>LOOKUP($B118, CEFF!$C$8:$C$156, CEFF!J$8:J$156)</f>
        <v>0.11224000000000001</v>
      </c>
      <c r="R119" s="40"/>
      <c r="S119" s="40"/>
      <c r="T119" s="40"/>
      <c r="U119" s="40"/>
      <c r="V119" s="41"/>
      <c r="W119" s="60"/>
      <c r="X119" s="40"/>
      <c r="Y119" s="40"/>
      <c r="Z119" s="40"/>
      <c r="AA119" s="40"/>
      <c r="AB119" s="40"/>
      <c r="AC119" s="40"/>
      <c r="AD119" s="40"/>
      <c r="AE119" s="40"/>
    </row>
    <row r="120" spans="2:31" s="39" customFormat="1" x14ac:dyDescent="0.3">
      <c r="B120" s="210"/>
      <c r="C120" s="210"/>
      <c r="D120" s="210"/>
      <c r="E120" s="210"/>
      <c r="F120" s="210" t="s">
        <v>365</v>
      </c>
      <c r="G120" s="51"/>
      <c r="H120" s="45"/>
      <c r="I120" s="46"/>
      <c r="J120" s="46"/>
      <c r="K120" s="44"/>
      <c r="L120" s="44"/>
      <c r="M120" s="264">
        <f>LOOKUP($B118, CEFF!$C$163:$C$330, CEFF!F$163:F$330)</f>
        <v>7.4069999999999997E-2</v>
      </c>
      <c r="N120" s="264">
        <f>LOOKUP($B118, CEFF!$C$163:$C$330, CEFF!G$163:G$330)</f>
        <v>7.5469999999999995E-2</v>
      </c>
      <c r="O120" s="264">
        <f>LOOKUP($B118, CEFF!$C$163:$C$330, CEFF!H$163:H$330)</f>
        <v>7.7670000000000003E-2</v>
      </c>
      <c r="P120" s="264">
        <f>LOOKUP($B118, CEFF!$C$163:$C$330, CEFF!I$163:I$330)</f>
        <v>7.9600000000000004E-2</v>
      </c>
      <c r="Q120" s="264">
        <f>LOOKUP($B118, CEFF!$C$163:$C$330, CEFF!J$163:J$330)</f>
        <v>8.1629999999999994E-2</v>
      </c>
      <c r="R120" s="45"/>
      <c r="S120" s="45"/>
      <c r="T120" s="45"/>
      <c r="U120" s="45"/>
      <c r="V120" s="46"/>
      <c r="W120" s="64"/>
      <c r="X120" s="45"/>
      <c r="Y120" s="45"/>
      <c r="Z120" s="45"/>
      <c r="AA120" s="45"/>
      <c r="AB120" s="45"/>
      <c r="AC120" s="45"/>
      <c r="AD120" s="45"/>
      <c r="AE120" s="45"/>
    </row>
    <row r="121" spans="2:31" s="39" customFormat="1" x14ac:dyDescent="0.3">
      <c r="B121" s="209" t="s">
        <v>346</v>
      </c>
      <c r="C121" s="208" t="str">
        <f>LOOKUP(B121, TRA_COMM_PRO!$C$7:$C$189, TRA_COMM_PRO!$D$7:$D$189)</f>
        <v>Truck.Medium.DME.01.</v>
      </c>
      <c r="D121" s="209" t="s">
        <v>71</v>
      </c>
      <c r="E121" s="209"/>
      <c r="F121" s="209"/>
      <c r="G121" s="10">
        <f>$G$117</f>
        <v>2019</v>
      </c>
      <c r="H121" s="40">
        <v>15</v>
      </c>
      <c r="I121" s="65">
        <f>$I$118</f>
        <v>1E-3</v>
      </c>
      <c r="J121" s="41">
        <f>J118</f>
        <v>2.7</v>
      </c>
      <c r="K121" s="42"/>
      <c r="L121" s="42"/>
      <c r="M121" s="263"/>
      <c r="N121" s="263"/>
      <c r="O121" s="263"/>
      <c r="P121" s="263"/>
      <c r="Q121" s="263"/>
      <c r="R121" s="40">
        <v>45</v>
      </c>
      <c r="S121" s="40"/>
      <c r="T121" s="40"/>
      <c r="U121" s="40"/>
      <c r="V121" s="41"/>
      <c r="W121" s="62">
        <f>LOOKUP(B121, FIXOM_VAROM!$C$8:$C$190, FIXOM_VAROM!$D$8:$D$190)</f>
        <v>100</v>
      </c>
      <c r="X121" s="40">
        <f>LOOKUP($B121, INVCOST!$C$8:$C$193, INVCOST!D$8:D$193)</f>
        <v>169</v>
      </c>
      <c r="Y121" s="40">
        <f>LOOKUP($B121, INVCOST!$C$8:$C$193, INVCOST!E$8:E$193)</f>
        <v>169</v>
      </c>
      <c r="Z121" s="40">
        <f>LOOKUP($B121, INVCOST!$C$8:$C$193, INVCOST!F$8:F$193)</f>
        <v>169</v>
      </c>
      <c r="AA121" s="40">
        <f>LOOKUP($B121, INVCOST!$C$8:$C$193, INVCOST!G$8:G$193)</f>
        <v>169</v>
      </c>
      <c r="AB121" s="40">
        <f>LOOKUP($B121, INVCOST!$C$8:$C$193, INVCOST!H$8:H$193)</f>
        <v>169</v>
      </c>
      <c r="AC121" s="40">
        <f>LOOKUP($B121, INVCOST!$C$8:$C$193, INVCOST!I$8:I$193)</f>
        <v>169</v>
      </c>
      <c r="AD121" s="40">
        <f>LOOKUP($B121, INVCOST!$C$8:$C$193, INVCOST!J$8:J$193)</f>
        <v>169</v>
      </c>
      <c r="AE121" s="40">
        <f>LOOKUP($B121, INVCOST!$C$8:$C$193, INVCOST!K$8:K$193)</f>
        <v>169</v>
      </c>
    </row>
    <row r="122" spans="2:31" s="39" customFormat="1" x14ac:dyDescent="0.3">
      <c r="B122" s="209"/>
      <c r="C122" s="211"/>
      <c r="D122" s="209"/>
      <c r="E122" s="209"/>
      <c r="F122" s="209" t="s">
        <v>364</v>
      </c>
      <c r="G122" s="50"/>
      <c r="H122" s="40"/>
      <c r="I122" s="41"/>
      <c r="J122" s="41"/>
      <c r="K122" s="42"/>
      <c r="L122" s="42"/>
      <c r="M122" s="263">
        <f>LOOKUP($B121, CEFF!$C$8:$C$156, CEFF!F$8:F$156)</f>
        <v>0.10185</v>
      </c>
      <c r="N122" s="263">
        <f>LOOKUP($B121, CEFF!$C$8:$C$156, CEFF!G$8:G$156)</f>
        <v>0.10377</v>
      </c>
      <c r="O122" s="263">
        <f>LOOKUP($B121, CEFF!$C$8:$C$156, CEFF!H$8:H$156)</f>
        <v>0.10680000000000001</v>
      </c>
      <c r="P122" s="263">
        <f>LOOKUP($B121, CEFF!$C$8:$C$156, CEFF!I$8:I$156)</f>
        <v>0.10945000000000001</v>
      </c>
      <c r="Q122" s="263">
        <f>LOOKUP($B121, CEFF!$C$8:$C$156, CEFF!J$8:J$156)</f>
        <v>0.11224000000000001</v>
      </c>
      <c r="R122" s="40"/>
      <c r="S122" s="40"/>
      <c r="T122" s="40"/>
      <c r="U122" s="40"/>
      <c r="V122" s="41"/>
      <c r="W122" s="60"/>
      <c r="X122" s="40"/>
      <c r="Y122" s="40"/>
      <c r="Z122" s="40"/>
      <c r="AA122" s="40"/>
      <c r="AB122" s="40"/>
      <c r="AC122" s="40"/>
      <c r="AD122" s="40"/>
      <c r="AE122" s="40"/>
    </row>
    <row r="123" spans="2:31" s="39" customFormat="1" x14ac:dyDescent="0.3">
      <c r="B123" s="210"/>
      <c r="C123" s="210"/>
      <c r="D123" s="210"/>
      <c r="E123" s="210"/>
      <c r="F123" s="210" t="s">
        <v>365</v>
      </c>
      <c r="G123" s="51"/>
      <c r="H123" s="45"/>
      <c r="I123" s="46"/>
      <c r="J123" s="46"/>
      <c r="K123" s="44"/>
      <c r="L123" s="44"/>
      <c r="M123" s="264">
        <f>LOOKUP($B121, CEFF!$C$163:$C$330, CEFF!F$163:F$330)</f>
        <v>7.4069999999999997E-2</v>
      </c>
      <c r="N123" s="264">
        <f>LOOKUP($B121, CEFF!$C$163:$C$330, CEFF!G$163:G$330)</f>
        <v>7.5469999999999995E-2</v>
      </c>
      <c r="O123" s="264">
        <f>LOOKUP($B121, CEFF!$C$163:$C$330, CEFF!H$163:H$330)</f>
        <v>7.7670000000000003E-2</v>
      </c>
      <c r="P123" s="264">
        <f>LOOKUP($B121, CEFF!$C$163:$C$330, CEFF!I$163:I$330)</f>
        <v>7.9600000000000004E-2</v>
      </c>
      <c r="Q123" s="264">
        <f>LOOKUP($B121, CEFF!$C$163:$C$330, CEFF!J$163:J$330)</f>
        <v>8.1629999999999994E-2</v>
      </c>
      <c r="R123" s="45"/>
      <c r="S123" s="45"/>
      <c r="T123" s="45"/>
      <c r="U123" s="45"/>
      <c r="V123" s="46"/>
      <c r="W123" s="64"/>
      <c r="X123" s="45"/>
      <c r="Y123" s="45"/>
      <c r="Z123" s="45"/>
      <c r="AA123" s="45"/>
      <c r="AB123" s="45"/>
      <c r="AC123" s="45"/>
      <c r="AD123" s="45"/>
      <c r="AE123" s="45"/>
    </row>
    <row r="124" spans="2:31" s="39" customFormat="1" x14ac:dyDescent="0.3">
      <c r="B124" s="209" t="s">
        <v>347</v>
      </c>
      <c r="C124" s="208" t="str">
        <f>LOOKUP(B124, TRA_COMM_PRO!$C$7:$C$189, TRA_COMM_PRO!$D$7:$D$189)</f>
        <v>Truck.Medium.DST.01.</v>
      </c>
      <c r="D124" s="209" t="s">
        <v>44</v>
      </c>
      <c r="E124" s="209"/>
      <c r="F124" s="209"/>
      <c r="G124" s="10">
        <f>$G$117</f>
        <v>2019</v>
      </c>
      <c r="H124" s="40">
        <v>15</v>
      </c>
      <c r="I124" s="65">
        <f>$I$118</f>
        <v>1E-3</v>
      </c>
      <c r="J124" s="41">
        <f>J121</f>
        <v>2.7</v>
      </c>
      <c r="K124" s="42"/>
      <c r="L124" s="42"/>
      <c r="M124" s="263"/>
      <c r="N124" s="263"/>
      <c r="O124" s="263"/>
      <c r="P124" s="263"/>
      <c r="Q124" s="263"/>
      <c r="R124" s="40">
        <v>45</v>
      </c>
      <c r="S124" s="40"/>
      <c r="T124" s="40"/>
      <c r="U124" s="40"/>
      <c r="V124" s="41"/>
      <c r="W124" s="62">
        <f>LOOKUP(B124, FIXOM_VAROM!$C$8:$C$190, FIXOM_VAROM!$D$8:$D$190)</f>
        <v>100</v>
      </c>
      <c r="X124" s="40">
        <f>LOOKUP($B124, INVCOST!$C$8:$C$193, INVCOST!D$8:D$193)</f>
        <v>141</v>
      </c>
      <c r="Y124" s="40">
        <f>LOOKUP($B124, INVCOST!$C$8:$C$193, INVCOST!E$8:E$193)</f>
        <v>141</v>
      </c>
      <c r="Z124" s="40">
        <f>LOOKUP($B124, INVCOST!$C$8:$C$193, INVCOST!F$8:F$193)</f>
        <v>141</v>
      </c>
      <c r="AA124" s="40">
        <f>LOOKUP($B124, INVCOST!$C$8:$C$193, INVCOST!G$8:G$193)</f>
        <v>141</v>
      </c>
      <c r="AB124" s="40">
        <f>LOOKUP($B124, INVCOST!$C$8:$C$193, INVCOST!H$8:H$193)</f>
        <v>141</v>
      </c>
      <c r="AC124" s="40">
        <f>LOOKUP($B124, INVCOST!$C$8:$C$193, INVCOST!I$8:I$193)</f>
        <v>141</v>
      </c>
      <c r="AD124" s="40">
        <f>LOOKUP($B124, INVCOST!$C$8:$C$193, INVCOST!J$8:J$193)</f>
        <v>141</v>
      </c>
      <c r="AE124" s="40">
        <f>LOOKUP($B124, INVCOST!$C$8:$C$193, INVCOST!K$8:K$193)</f>
        <v>141</v>
      </c>
    </row>
    <row r="125" spans="2:31" s="39" customFormat="1" x14ac:dyDescent="0.3">
      <c r="B125" s="209"/>
      <c r="C125" s="209"/>
      <c r="D125" s="209" t="s">
        <v>48</v>
      </c>
      <c r="E125" s="209"/>
      <c r="F125" s="209"/>
      <c r="G125" s="50"/>
      <c r="H125" s="40"/>
      <c r="I125" s="41"/>
      <c r="J125" s="41"/>
      <c r="K125" s="42"/>
      <c r="L125" s="42"/>
      <c r="M125" s="266"/>
      <c r="N125" s="266"/>
      <c r="O125" s="266"/>
      <c r="P125" s="266"/>
      <c r="Q125" s="266"/>
      <c r="R125" s="40"/>
      <c r="S125" s="40"/>
      <c r="T125" s="40"/>
      <c r="U125" s="40"/>
      <c r="V125" s="41"/>
      <c r="W125" s="60"/>
      <c r="X125" s="40"/>
      <c r="Y125" s="40"/>
      <c r="Z125" s="40"/>
      <c r="AA125" s="40"/>
      <c r="AB125" s="40"/>
      <c r="AC125" s="40"/>
      <c r="AD125" s="40"/>
      <c r="AE125" s="40"/>
    </row>
    <row r="126" spans="2:31" s="39" customFormat="1" x14ac:dyDescent="0.3">
      <c r="B126" s="209"/>
      <c r="C126" s="209"/>
      <c r="D126" s="209"/>
      <c r="E126" s="209"/>
      <c r="F126" s="209" t="s">
        <v>364</v>
      </c>
      <c r="G126" s="50"/>
      <c r="H126" s="40"/>
      <c r="I126" s="41"/>
      <c r="J126" s="41"/>
      <c r="K126" s="42"/>
      <c r="L126" s="42"/>
      <c r="M126" s="263">
        <f>LOOKUP($B124, CEFF!$C$8:$C$156, CEFF!F$8:F$156)</f>
        <v>0.10185</v>
      </c>
      <c r="N126" s="263">
        <f>LOOKUP($B124, CEFF!$C$8:$C$156, CEFF!G$8:G$156)</f>
        <v>0.10377</v>
      </c>
      <c r="O126" s="263">
        <f>LOOKUP($B124, CEFF!$C$8:$C$156, CEFF!H$8:H$156)</f>
        <v>0.10680000000000001</v>
      </c>
      <c r="P126" s="263">
        <f>LOOKUP($B124, CEFF!$C$8:$C$156, CEFF!I$8:I$156)</f>
        <v>0.10945000000000001</v>
      </c>
      <c r="Q126" s="263">
        <f>LOOKUP($B124, CEFF!$C$8:$C$156, CEFF!J$8:J$156)</f>
        <v>0.11224000000000001</v>
      </c>
      <c r="R126" s="40"/>
      <c r="S126" s="40"/>
      <c r="T126" s="40"/>
      <c r="U126" s="40"/>
      <c r="V126" s="41"/>
      <c r="W126" s="60"/>
      <c r="X126" s="40"/>
      <c r="Y126" s="40"/>
      <c r="Z126" s="40"/>
      <c r="AA126" s="40"/>
      <c r="AB126" s="40"/>
      <c r="AC126" s="40"/>
      <c r="AD126" s="40"/>
      <c r="AE126" s="40"/>
    </row>
    <row r="127" spans="2:31" s="39" customFormat="1" x14ac:dyDescent="0.3">
      <c r="B127" s="209"/>
      <c r="C127" s="209"/>
      <c r="D127" s="209"/>
      <c r="E127" s="209"/>
      <c r="F127" s="210" t="s">
        <v>365</v>
      </c>
      <c r="G127" s="51"/>
      <c r="H127" s="40"/>
      <c r="I127" s="46"/>
      <c r="J127" s="46"/>
      <c r="K127" s="42"/>
      <c r="L127" s="42"/>
      <c r="M127" s="264">
        <f>LOOKUP($B124, CEFF!$C$163:$C$330, CEFF!F$163:F$330)</f>
        <v>7.4069999999999997E-2</v>
      </c>
      <c r="N127" s="264">
        <f>LOOKUP($B124, CEFF!$C$163:$C$330, CEFF!G$163:G$330)</f>
        <v>7.5469999999999995E-2</v>
      </c>
      <c r="O127" s="264">
        <f>LOOKUP($B124, CEFF!$C$163:$C$330, CEFF!H$163:H$330)</f>
        <v>7.7670000000000003E-2</v>
      </c>
      <c r="P127" s="264">
        <f>LOOKUP($B124, CEFF!$C$163:$C$330, CEFF!I$163:I$330)</f>
        <v>7.9600000000000004E-2</v>
      </c>
      <c r="Q127" s="264">
        <f>LOOKUP($B124, CEFF!$C$163:$C$330, CEFF!J$163:J$330)</f>
        <v>8.1629999999999994E-2</v>
      </c>
      <c r="R127" s="40"/>
      <c r="S127" s="40"/>
      <c r="T127" s="40"/>
      <c r="U127" s="40"/>
      <c r="V127" s="41"/>
      <c r="W127" s="60"/>
      <c r="X127" s="45"/>
      <c r="Y127" s="45"/>
      <c r="Z127" s="45"/>
      <c r="AA127" s="45"/>
      <c r="AB127" s="45"/>
      <c r="AC127" s="45"/>
      <c r="AD127" s="45"/>
      <c r="AE127" s="45"/>
    </row>
    <row r="128" spans="2:31" s="74" customFormat="1" x14ac:dyDescent="0.3">
      <c r="B128" s="212" t="s">
        <v>348</v>
      </c>
      <c r="C128" s="212" t="str">
        <f>LOOKUP(B128, TRA_COMM_PRO!$C$7:$C$189, TRA_COMM_PRO!$D$7:$D$189)</f>
        <v>Truck.Medium.ELC.01.</v>
      </c>
      <c r="D128" s="212" t="s">
        <v>27</v>
      </c>
      <c r="E128" s="212"/>
      <c r="F128" s="212"/>
      <c r="G128" s="10">
        <f>$G$117</f>
        <v>2019</v>
      </c>
      <c r="H128" s="54">
        <v>8</v>
      </c>
      <c r="I128" s="65">
        <f>$I$118</f>
        <v>1E-3</v>
      </c>
      <c r="J128" s="41">
        <f>J124</f>
        <v>2.7</v>
      </c>
      <c r="K128" s="56"/>
      <c r="L128" s="56"/>
      <c r="M128" s="263"/>
      <c r="N128" s="263"/>
      <c r="O128" s="263"/>
      <c r="P128" s="263"/>
      <c r="Q128" s="263"/>
      <c r="R128" s="54">
        <v>25</v>
      </c>
      <c r="S128" s="54"/>
      <c r="T128" s="54">
        <v>45</v>
      </c>
      <c r="U128" s="54"/>
      <c r="V128" s="55"/>
      <c r="W128" s="62">
        <f>LOOKUP(B128, FIXOM_VAROM!$C$8:$C$190, FIXOM_VAROM!$D$8:$D$190)</f>
        <v>80.000000000000014</v>
      </c>
      <c r="X128" s="40">
        <f>LOOKUP($B128, INVCOST!$C$8:$C$193, INVCOST!D$8:D$193)</f>
        <v>219</v>
      </c>
      <c r="Y128" s="40">
        <f>LOOKUP($B128, INVCOST!$C$8:$C$193, INVCOST!E$8:E$193)</f>
        <v>216</v>
      </c>
      <c r="Z128" s="40">
        <f>LOOKUP($B128, INVCOST!$C$8:$C$193, INVCOST!F$8:F$193)</f>
        <v>213</v>
      </c>
      <c r="AA128" s="40">
        <f>LOOKUP($B128, INVCOST!$C$8:$C$193, INVCOST!G$8:G$193)</f>
        <v>210</v>
      </c>
      <c r="AB128" s="40">
        <f>LOOKUP($B128, INVCOST!$C$8:$C$193, INVCOST!H$8:H$193)</f>
        <v>206</v>
      </c>
      <c r="AC128" s="40">
        <f>LOOKUP($B128, INVCOST!$C$8:$C$193, INVCOST!I$8:I$193)</f>
        <v>203</v>
      </c>
      <c r="AD128" s="40">
        <f>LOOKUP($B128, INVCOST!$C$8:$C$193, INVCOST!J$8:J$193)</f>
        <v>200</v>
      </c>
      <c r="AE128" s="40">
        <f>LOOKUP($B128, INVCOST!$C$8:$C$193, INVCOST!K$8:K$193)</f>
        <v>197</v>
      </c>
    </row>
    <row r="129" spans="2:31" s="39" customFormat="1" x14ac:dyDescent="0.3">
      <c r="B129" s="209"/>
      <c r="C129" s="209"/>
      <c r="D129" s="209"/>
      <c r="E129" s="209"/>
      <c r="F129" s="209" t="s">
        <v>364</v>
      </c>
      <c r="G129" s="10"/>
      <c r="H129" s="40"/>
      <c r="I129" s="41"/>
      <c r="J129" s="41"/>
      <c r="K129" s="42"/>
      <c r="L129" s="42"/>
      <c r="M129" s="263">
        <f>LOOKUP($B128, CEFF!$C$8:$C$156, CEFF!F$8:F$156)</f>
        <v>90.909090000000006</v>
      </c>
      <c r="N129" s="263">
        <f>LOOKUP($B128, CEFF!$C$8:$C$156, CEFF!G$8:G$156)</f>
        <v>90.909090000000006</v>
      </c>
      <c r="O129" s="263">
        <f>LOOKUP($B128, CEFF!$C$8:$C$156, CEFF!H$8:H$156)</f>
        <v>90.909090000000006</v>
      </c>
      <c r="P129" s="263">
        <f>LOOKUP($B128, CEFF!$C$8:$C$156, CEFF!I$8:I$156)</f>
        <v>90.909090000000006</v>
      </c>
      <c r="Q129" s="263">
        <f>LOOKUP($B128, CEFF!$C$8:$C$156, CEFF!J$8:J$156)</f>
        <v>90.909090000000006</v>
      </c>
      <c r="R129" s="40"/>
      <c r="S129" s="40"/>
      <c r="T129" s="40"/>
      <c r="U129" s="40"/>
      <c r="V129" s="41"/>
      <c r="W129" s="60"/>
      <c r="X129" s="40"/>
      <c r="Y129" s="40"/>
      <c r="Z129" s="40"/>
      <c r="AA129" s="40"/>
      <c r="AB129" s="40"/>
      <c r="AC129" s="40"/>
      <c r="AD129" s="40"/>
      <c r="AE129" s="40"/>
    </row>
    <row r="130" spans="2:31" s="75" customFormat="1" x14ac:dyDescent="0.3">
      <c r="B130" s="210"/>
      <c r="C130" s="210"/>
      <c r="D130" s="210"/>
      <c r="E130" s="210"/>
      <c r="F130" s="210" t="s">
        <v>365</v>
      </c>
      <c r="G130" s="51"/>
      <c r="H130" s="45"/>
      <c r="I130" s="46"/>
      <c r="J130" s="46"/>
      <c r="K130" s="44"/>
      <c r="L130" s="44"/>
      <c r="M130" s="264">
        <f>LOOKUP($B128, CEFF!$C$163:$C$330, CEFF!F$163:F$330)</f>
        <v>0.17985999999999999</v>
      </c>
      <c r="N130" s="264">
        <f>LOOKUP($B128, CEFF!$C$163:$C$330, CEFF!G$163:G$330)</f>
        <v>0.17985999999999999</v>
      </c>
      <c r="O130" s="264">
        <f>LOOKUP($B128, CEFF!$C$163:$C$330, CEFF!H$163:H$330)</f>
        <v>0.18970999999999999</v>
      </c>
      <c r="P130" s="264">
        <f>LOOKUP($B128, CEFF!$C$163:$C$330, CEFF!I$163:I$330)</f>
        <v>0.19783999999999999</v>
      </c>
      <c r="Q130" s="264">
        <f>LOOKUP($B128, CEFF!$C$163:$C$330, CEFF!J$163:J$330)</f>
        <v>0.20982999999999999</v>
      </c>
      <c r="R130" s="45"/>
      <c r="S130" s="45"/>
      <c r="T130" s="45"/>
      <c r="U130" s="45"/>
      <c r="V130" s="46"/>
      <c r="W130" s="64"/>
      <c r="X130" s="45"/>
      <c r="Y130" s="45"/>
      <c r="Z130" s="45"/>
      <c r="AA130" s="45"/>
      <c r="AB130" s="45"/>
      <c r="AC130" s="45"/>
      <c r="AD130" s="45"/>
      <c r="AE130" s="45"/>
    </row>
    <row r="131" spans="2:31" s="39" customFormat="1" x14ac:dyDescent="0.3">
      <c r="B131" s="209" t="s">
        <v>349</v>
      </c>
      <c r="C131" s="208" t="str">
        <f>LOOKUP(B131, TRA_COMM_PRO!$C$7:$C$189, TRA_COMM_PRO!$D$7:$D$189)</f>
        <v>Truck.Medium.ETH.01.</v>
      </c>
      <c r="D131" s="209" t="s">
        <v>51</v>
      </c>
      <c r="E131" s="209"/>
      <c r="F131" s="209"/>
      <c r="G131" s="10">
        <f>$G$117</f>
        <v>2019</v>
      </c>
      <c r="H131" s="40">
        <v>15</v>
      </c>
      <c r="I131" s="65">
        <f>$I$118</f>
        <v>1E-3</v>
      </c>
      <c r="J131" s="41">
        <f>J128</f>
        <v>2.7</v>
      </c>
      <c r="K131" s="42"/>
      <c r="L131" s="42"/>
      <c r="M131" s="263"/>
      <c r="N131" s="263"/>
      <c r="O131" s="263"/>
      <c r="P131" s="263"/>
      <c r="Q131" s="263"/>
      <c r="R131" s="40">
        <v>45</v>
      </c>
      <c r="S131" s="40"/>
      <c r="T131" s="40"/>
      <c r="U131" s="40"/>
      <c r="V131" s="41"/>
      <c r="W131" s="62">
        <f>LOOKUP(B131, FIXOM_VAROM!$C$8:$C$190, FIXOM_VAROM!$D$8:$D$190)</f>
        <v>100</v>
      </c>
      <c r="X131" s="40">
        <f>LOOKUP($B131, INVCOST!$C$8:$C$193, INVCOST!D$8:D$193)</f>
        <v>169</v>
      </c>
      <c r="Y131" s="40">
        <f>LOOKUP($B131, INVCOST!$C$8:$C$193, INVCOST!E$8:E$193)</f>
        <v>169</v>
      </c>
      <c r="Z131" s="40">
        <f>LOOKUP($B131, INVCOST!$C$8:$C$193, INVCOST!F$8:F$193)</f>
        <v>169</v>
      </c>
      <c r="AA131" s="40">
        <f>LOOKUP($B131, INVCOST!$C$8:$C$193, INVCOST!G$8:G$193)</f>
        <v>169</v>
      </c>
      <c r="AB131" s="40">
        <f>LOOKUP($B131, INVCOST!$C$8:$C$193, INVCOST!H$8:H$193)</f>
        <v>169</v>
      </c>
      <c r="AC131" s="40">
        <f>LOOKUP($B131, INVCOST!$C$8:$C$193, INVCOST!I$8:I$193)</f>
        <v>169</v>
      </c>
      <c r="AD131" s="40">
        <f>LOOKUP($B131, INVCOST!$C$8:$C$193, INVCOST!J$8:J$193)</f>
        <v>169</v>
      </c>
      <c r="AE131" s="40">
        <f>LOOKUP($B131, INVCOST!$C$8:$C$193, INVCOST!K$8:K$193)</f>
        <v>169</v>
      </c>
    </row>
    <row r="132" spans="2:31" s="39" customFormat="1" x14ac:dyDescent="0.3">
      <c r="B132" s="209"/>
      <c r="C132" s="209"/>
      <c r="D132" s="209"/>
      <c r="E132" s="209"/>
      <c r="F132" s="209" t="s">
        <v>364</v>
      </c>
      <c r="G132" s="50"/>
      <c r="H132" s="40"/>
      <c r="I132" s="41"/>
      <c r="J132" s="41"/>
      <c r="K132" s="42"/>
      <c r="L132" s="42"/>
      <c r="M132" s="263">
        <f>LOOKUP($B131, CEFF!$C$8:$C$156, CEFF!F$8:F$156)</f>
        <v>0.10185</v>
      </c>
      <c r="N132" s="263">
        <f>LOOKUP($B131, CEFF!$C$8:$C$156, CEFF!G$8:G$156)</f>
        <v>0.10377</v>
      </c>
      <c r="O132" s="263">
        <f>LOOKUP($B131, CEFF!$C$8:$C$156, CEFF!H$8:H$156)</f>
        <v>0.10680000000000001</v>
      </c>
      <c r="P132" s="263">
        <f>LOOKUP($B131, CEFF!$C$8:$C$156, CEFF!I$8:I$156)</f>
        <v>0.10945000000000001</v>
      </c>
      <c r="Q132" s="263">
        <f>LOOKUP($B131, CEFF!$C$8:$C$156, CEFF!J$8:J$156)</f>
        <v>0.11224000000000001</v>
      </c>
      <c r="R132" s="40"/>
      <c r="S132" s="40"/>
      <c r="T132" s="40"/>
      <c r="U132" s="40"/>
      <c r="V132" s="41"/>
      <c r="W132" s="60"/>
      <c r="X132" s="40"/>
      <c r="Y132" s="40"/>
      <c r="Z132" s="40"/>
      <c r="AA132" s="40"/>
      <c r="AB132" s="40"/>
      <c r="AC132" s="40"/>
      <c r="AD132" s="40"/>
      <c r="AE132" s="40"/>
    </row>
    <row r="133" spans="2:31" s="39" customFormat="1" x14ac:dyDescent="0.3">
      <c r="B133" s="210"/>
      <c r="C133" s="210"/>
      <c r="D133" s="210"/>
      <c r="E133" s="210"/>
      <c r="F133" s="210" t="s">
        <v>365</v>
      </c>
      <c r="G133" s="51"/>
      <c r="H133" s="45"/>
      <c r="I133" s="46"/>
      <c r="J133" s="46"/>
      <c r="K133" s="44"/>
      <c r="L133" s="44"/>
      <c r="M133" s="264">
        <f>LOOKUP($B131, CEFF!$C$163:$C$330, CEFF!F$163:F$330)</f>
        <v>7.4069999999999997E-2</v>
      </c>
      <c r="N133" s="264">
        <f>LOOKUP($B131, CEFF!$C$163:$C$330, CEFF!G$163:G$330)</f>
        <v>7.5469999999999995E-2</v>
      </c>
      <c r="O133" s="264">
        <f>LOOKUP($B131, CEFF!$C$163:$C$330, CEFF!H$163:H$330)</f>
        <v>7.7670000000000003E-2</v>
      </c>
      <c r="P133" s="264">
        <f>LOOKUP($B131, CEFF!$C$163:$C$330, CEFF!I$163:I$330)</f>
        <v>7.9600000000000004E-2</v>
      </c>
      <c r="Q133" s="264">
        <f>LOOKUP($B131, CEFF!$C$163:$C$330, CEFF!J$163:J$330)</f>
        <v>8.1629999999999994E-2</v>
      </c>
      <c r="R133" s="45"/>
      <c r="S133" s="45"/>
      <c r="T133" s="45"/>
      <c r="U133" s="45"/>
      <c r="V133" s="46"/>
      <c r="W133" s="64"/>
      <c r="X133" s="45"/>
      <c r="Y133" s="45"/>
      <c r="Z133" s="45"/>
      <c r="AA133" s="45"/>
      <c r="AB133" s="45"/>
      <c r="AC133" s="45"/>
      <c r="AD133" s="45"/>
      <c r="AE133" s="45"/>
    </row>
    <row r="134" spans="2:31" s="39" customFormat="1" x14ac:dyDescent="0.3">
      <c r="B134" s="209" t="s">
        <v>350</v>
      </c>
      <c r="C134" s="208" t="str">
        <f>LOOKUP(B134, TRA_COMM_PRO!$C$7:$C$189, TRA_COMM_PRO!$D$7:$D$189)</f>
        <v>Truck.Medium.GAS.01.</v>
      </c>
      <c r="D134" s="209" t="s">
        <v>54</v>
      </c>
      <c r="E134" s="209"/>
      <c r="F134" s="209"/>
      <c r="G134" s="10">
        <f>$G$117</f>
        <v>2019</v>
      </c>
      <c r="H134" s="40">
        <v>15</v>
      </c>
      <c r="I134" s="65">
        <f>$I$118</f>
        <v>1E-3</v>
      </c>
      <c r="J134" s="41">
        <f>J131</f>
        <v>2.7</v>
      </c>
      <c r="K134" s="42"/>
      <c r="L134" s="42"/>
      <c r="M134" s="263"/>
      <c r="N134" s="263"/>
      <c r="O134" s="263"/>
      <c r="P134" s="263"/>
      <c r="Q134" s="263"/>
      <c r="R134" s="40">
        <v>45</v>
      </c>
      <c r="S134" s="40"/>
      <c r="T134" s="40"/>
      <c r="U134" s="40"/>
      <c r="V134" s="41"/>
      <c r="W134" s="62">
        <f>LOOKUP(B134, FIXOM_VAROM!$C$8:$C$190, FIXOM_VAROM!$D$8:$D$190)</f>
        <v>100</v>
      </c>
      <c r="X134" s="40">
        <f>LOOKUP($B134, INVCOST!$C$8:$C$193, INVCOST!D$8:D$193)</f>
        <v>169</v>
      </c>
      <c r="Y134" s="40">
        <f>LOOKUP($B134, INVCOST!$C$8:$C$193, INVCOST!E$8:E$193)</f>
        <v>169</v>
      </c>
      <c r="Z134" s="40">
        <f>LOOKUP($B134, INVCOST!$C$8:$C$193, INVCOST!F$8:F$193)</f>
        <v>169</v>
      </c>
      <c r="AA134" s="40">
        <f>LOOKUP($B134, INVCOST!$C$8:$C$193, INVCOST!G$8:G$193)</f>
        <v>169</v>
      </c>
      <c r="AB134" s="40">
        <f>LOOKUP($B134, INVCOST!$C$8:$C$193, INVCOST!H$8:H$193)</f>
        <v>169</v>
      </c>
      <c r="AC134" s="40">
        <f>LOOKUP($B134, INVCOST!$C$8:$C$193, INVCOST!I$8:I$193)</f>
        <v>169</v>
      </c>
      <c r="AD134" s="40">
        <f>LOOKUP($B134, INVCOST!$C$8:$C$193, INVCOST!J$8:J$193)</f>
        <v>169</v>
      </c>
      <c r="AE134" s="40">
        <f>LOOKUP($B134, INVCOST!$C$8:$C$193, INVCOST!K$8:K$193)</f>
        <v>169</v>
      </c>
    </row>
    <row r="135" spans="2:31" s="39" customFormat="1" x14ac:dyDescent="0.3">
      <c r="B135" s="209"/>
      <c r="C135" s="209"/>
      <c r="D135" s="209" t="s">
        <v>53</v>
      </c>
      <c r="E135" s="209"/>
      <c r="F135" s="209"/>
      <c r="G135" s="50"/>
      <c r="H135" s="40"/>
      <c r="I135" s="41"/>
      <c r="J135" s="41"/>
      <c r="K135" s="42"/>
      <c r="L135" s="42"/>
      <c r="M135" s="266"/>
      <c r="N135" s="266"/>
      <c r="O135" s="266"/>
      <c r="P135" s="266"/>
      <c r="Q135" s="266"/>
      <c r="R135" s="40"/>
      <c r="S135" s="40"/>
      <c r="T135" s="40"/>
      <c r="U135" s="40"/>
      <c r="V135" s="41"/>
      <c r="W135" s="60"/>
      <c r="X135" s="40"/>
      <c r="Y135" s="40"/>
      <c r="Z135" s="40"/>
      <c r="AA135" s="40"/>
      <c r="AB135" s="40"/>
      <c r="AC135" s="40"/>
      <c r="AD135" s="40"/>
      <c r="AE135" s="40"/>
    </row>
    <row r="136" spans="2:31" s="39" customFormat="1" x14ac:dyDescent="0.3">
      <c r="B136" s="209"/>
      <c r="C136" s="209"/>
      <c r="D136" s="209"/>
      <c r="E136" s="209"/>
      <c r="F136" s="209" t="s">
        <v>364</v>
      </c>
      <c r="G136" s="50"/>
      <c r="H136" s="40"/>
      <c r="I136" s="41"/>
      <c r="J136" s="41"/>
      <c r="K136" s="42"/>
      <c r="L136" s="42"/>
      <c r="M136" s="263">
        <f>LOOKUP($B134, CEFF!$C$8:$C$156, CEFF!F$8:F$156)</f>
        <v>9.2439999999999994E-2</v>
      </c>
      <c r="N136" s="263">
        <f>LOOKUP($B134, CEFF!$C$8:$C$156, CEFF!G$8:G$156)</f>
        <v>9.3619999999999995E-2</v>
      </c>
      <c r="O136" s="263">
        <f>LOOKUP($B134, CEFF!$C$8:$C$156, CEFF!H$8:H$156)</f>
        <v>9.7350000000000006E-2</v>
      </c>
      <c r="P136" s="263">
        <f>LOOKUP($B134, CEFF!$C$8:$C$156, CEFF!I$8:I$156)</f>
        <v>0.1</v>
      </c>
      <c r="Q136" s="263">
        <f>LOOKUP($B134, CEFF!$C$8:$C$156, CEFF!J$8:J$156)</f>
        <v>0.1028</v>
      </c>
      <c r="R136" s="40"/>
      <c r="S136" s="40"/>
      <c r="T136" s="40"/>
      <c r="U136" s="40"/>
      <c r="V136" s="41"/>
      <c r="W136" s="60"/>
      <c r="X136" s="40"/>
      <c r="Y136" s="40"/>
      <c r="Z136" s="40"/>
      <c r="AA136" s="40"/>
      <c r="AB136" s="40"/>
      <c r="AC136" s="40"/>
      <c r="AD136" s="40"/>
      <c r="AE136" s="40"/>
    </row>
    <row r="137" spans="2:31" s="39" customFormat="1" x14ac:dyDescent="0.3">
      <c r="B137" s="210"/>
      <c r="C137" s="210"/>
      <c r="D137" s="210"/>
      <c r="E137" s="210"/>
      <c r="F137" s="210" t="s">
        <v>365</v>
      </c>
      <c r="G137" s="51"/>
      <c r="H137" s="45"/>
      <c r="I137" s="46"/>
      <c r="J137" s="46"/>
      <c r="K137" s="44"/>
      <c r="L137" s="44"/>
      <c r="M137" s="264">
        <f>LOOKUP($B134, CEFF!$C$163:$C$330, CEFF!F$163:F$330)</f>
        <v>6.7229999999999998E-2</v>
      </c>
      <c r="N137" s="264">
        <f>LOOKUP($B134, CEFF!$C$163:$C$330, CEFF!G$163:G$330)</f>
        <v>6.8089999999999998E-2</v>
      </c>
      <c r="O137" s="264">
        <f>LOOKUP($B134, CEFF!$C$163:$C$330, CEFF!H$163:H$330)</f>
        <v>7.0800000000000002E-2</v>
      </c>
      <c r="P137" s="264">
        <f>LOOKUP($B134, CEFF!$C$163:$C$330, CEFF!I$163:I$330)</f>
        <v>7.2730000000000003E-2</v>
      </c>
      <c r="Q137" s="264">
        <f>LOOKUP($B134, CEFF!$C$163:$C$330, CEFF!J$163:J$330)</f>
        <v>7.4770000000000003E-2</v>
      </c>
      <c r="R137" s="45"/>
      <c r="S137" s="45"/>
      <c r="T137" s="45"/>
      <c r="U137" s="45"/>
      <c r="V137" s="46"/>
      <c r="W137" s="64"/>
      <c r="X137" s="45"/>
      <c r="Y137" s="45"/>
      <c r="Z137" s="45"/>
      <c r="AA137" s="45"/>
      <c r="AB137" s="45"/>
      <c r="AC137" s="45"/>
      <c r="AD137" s="45"/>
      <c r="AE137" s="45"/>
    </row>
    <row r="138" spans="2:31" s="39" customFormat="1" x14ac:dyDescent="0.3">
      <c r="B138" s="212" t="s">
        <v>351</v>
      </c>
      <c r="C138" s="208" t="str">
        <f>LOOKUP(B138, TRA_COMM_PRO!$C$7:$C$189, TRA_COMM_PRO!$D$7:$D$189)</f>
        <v>Truck.Medium.GSL.01.</v>
      </c>
      <c r="D138" s="212" t="s">
        <v>40</v>
      </c>
      <c r="E138" s="212"/>
      <c r="F138" s="212"/>
      <c r="G138" s="10">
        <f>$G$117</f>
        <v>2019</v>
      </c>
      <c r="H138" s="40">
        <v>15</v>
      </c>
      <c r="I138" s="65">
        <f>$I$118</f>
        <v>1E-3</v>
      </c>
      <c r="J138" s="41">
        <f>J134</f>
        <v>2.7</v>
      </c>
      <c r="K138" s="77"/>
      <c r="L138" s="77">
        <v>0.05</v>
      </c>
      <c r="M138" s="263"/>
      <c r="N138" s="263"/>
      <c r="O138" s="263"/>
      <c r="P138" s="263"/>
      <c r="Q138" s="263"/>
      <c r="R138" s="40">
        <v>45</v>
      </c>
      <c r="S138" s="40"/>
      <c r="T138" s="40"/>
      <c r="U138" s="40"/>
      <c r="V138" s="41"/>
      <c r="W138" s="62">
        <f>LOOKUP(B138, FIXOM_VAROM!$C$8:$C$190, FIXOM_VAROM!$D$8:$D$190)</f>
        <v>100</v>
      </c>
      <c r="X138" s="40">
        <f>LOOKUP($B138, INVCOST!$C$8:$C$193, INVCOST!D$8:D$193)</f>
        <v>141</v>
      </c>
      <c r="Y138" s="40">
        <f>LOOKUP($B138, INVCOST!$C$8:$C$193, INVCOST!E$8:E$193)</f>
        <v>141</v>
      </c>
      <c r="Z138" s="40">
        <f>LOOKUP($B138, INVCOST!$C$8:$C$193, INVCOST!F$8:F$193)</f>
        <v>141</v>
      </c>
      <c r="AA138" s="40">
        <f>LOOKUP($B138, INVCOST!$C$8:$C$193, INVCOST!G$8:G$193)</f>
        <v>141</v>
      </c>
      <c r="AB138" s="40">
        <f>LOOKUP($B138, INVCOST!$C$8:$C$193, INVCOST!H$8:H$193)</f>
        <v>141</v>
      </c>
      <c r="AC138" s="40">
        <f>LOOKUP($B138, INVCOST!$C$8:$C$193, INVCOST!I$8:I$193)</f>
        <v>141</v>
      </c>
      <c r="AD138" s="40">
        <f>LOOKUP($B138, INVCOST!$C$8:$C$193, INVCOST!J$8:J$193)</f>
        <v>141</v>
      </c>
      <c r="AE138" s="40">
        <f>LOOKUP($B138, INVCOST!$C$8:$C$193, INVCOST!K$8:K$193)</f>
        <v>141</v>
      </c>
    </row>
    <row r="139" spans="2:31" s="39" customFormat="1" x14ac:dyDescent="0.3">
      <c r="B139" s="209"/>
      <c r="C139" s="208"/>
      <c r="D139" s="209" t="s">
        <v>39</v>
      </c>
      <c r="E139" s="209"/>
      <c r="F139" s="209"/>
      <c r="G139" s="10"/>
      <c r="H139" s="40"/>
      <c r="I139" s="65"/>
      <c r="J139" s="41"/>
      <c r="K139" s="78"/>
      <c r="L139" s="78"/>
      <c r="M139" s="263"/>
      <c r="N139" s="263"/>
      <c r="O139" s="263"/>
      <c r="P139" s="263"/>
      <c r="Q139" s="263"/>
      <c r="R139" s="40"/>
      <c r="S139" s="40"/>
      <c r="T139" s="40"/>
      <c r="U139" s="40"/>
      <c r="V139" s="41"/>
      <c r="W139" s="60"/>
      <c r="X139" s="40"/>
      <c r="Y139" s="40"/>
      <c r="Z139" s="40"/>
      <c r="AA139" s="40"/>
      <c r="AB139" s="40"/>
      <c r="AC139" s="40"/>
      <c r="AD139" s="40"/>
      <c r="AE139" s="40"/>
    </row>
    <row r="140" spans="2:31" s="39" customFormat="1" x14ac:dyDescent="0.3">
      <c r="B140" s="209"/>
      <c r="C140" s="209"/>
      <c r="D140" s="209"/>
      <c r="E140" s="209"/>
      <c r="F140" s="209" t="s">
        <v>364</v>
      </c>
      <c r="G140" s="50"/>
      <c r="H140" s="40"/>
      <c r="I140" s="41"/>
      <c r="J140" s="40"/>
      <c r="K140" s="78"/>
      <c r="L140" s="78"/>
      <c r="M140" s="263">
        <f>LOOKUP($B138, CEFF!$C$8:$C$156, CEFF!F$8:F$156)</f>
        <v>9.2439999999999994E-2</v>
      </c>
      <c r="N140" s="263">
        <f>LOOKUP($B138, CEFF!$C$8:$C$156, CEFF!G$8:G$156)</f>
        <v>9.3619999999999995E-2</v>
      </c>
      <c r="O140" s="263">
        <f>LOOKUP($B138, CEFF!$C$8:$C$156, CEFF!H$8:H$156)</f>
        <v>9.7350000000000006E-2</v>
      </c>
      <c r="P140" s="263">
        <f>LOOKUP($B138, CEFF!$C$8:$C$156, CEFF!I$8:I$156)</f>
        <v>0.1</v>
      </c>
      <c r="Q140" s="263">
        <f>LOOKUP($B138, CEFF!$C$8:$C$156, CEFF!J$8:J$156)</f>
        <v>0.1028</v>
      </c>
      <c r="R140" s="40"/>
      <c r="S140" s="40"/>
      <c r="T140" s="40"/>
      <c r="U140" s="40"/>
      <c r="V140" s="41"/>
      <c r="W140" s="60"/>
      <c r="X140" s="40"/>
      <c r="Y140" s="40"/>
      <c r="Z140" s="40"/>
      <c r="AA140" s="40"/>
      <c r="AB140" s="40"/>
      <c r="AC140" s="40"/>
      <c r="AD140" s="40"/>
      <c r="AE140" s="40"/>
    </row>
    <row r="141" spans="2:31" s="39" customFormat="1" x14ac:dyDescent="0.3">
      <c r="B141" s="210"/>
      <c r="C141" s="210"/>
      <c r="D141" s="210"/>
      <c r="E141" s="210"/>
      <c r="F141" s="210" t="s">
        <v>365</v>
      </c>
      <c r="G141" s="51"/>
      <c r="H141" s="45"/>
      <c r="I141" s="46"/>
      <c r="J141" s="45"/>
      <c r="K141" s="79"/>
      <c r="L141" s="79"/>
      <c r="M141" s="264">
        <f>LOOKUP($B138, CEFF!$C$163:$C$330, CEFF!F$163:F$330)</f>
        <v>6.7229999999999998E-2</v>
      </c>
      <c r="N141" s="264">
        <f>LOOKUP($B138, CEFF!$C$163:$C$330, CEFF!G$163:G$330)</f>
        <v>6.8089999999999998E-2</v>
      </c>
      <c r="O141" s="264">
        <f>LOOKUP($B138, CEFF!$C$163:$C$330, CEFF!H$163:H$330)</f>
        <v>7.0800000000000002E-2</v>
      </c>
      <c r="P141" s="264">
        <f>LOOKUP($B138, CEFF!$C$163:$C$330, CEFF!I$163:I$330)</f>
        <v>7.2730000000000003E-2</v>
      </c>
      <c r="Q141" s="264">
        <f>LOOKUP($B138, CEFF!$C$163:$C$330, CEFF!J$163:J$330)</f>
        <v>7.4770000000000003E-2</v>
      </c>
      <c r="R141" s="45"/>
      <c r="S141" s="45"/>
      <c r="T141" s="45"/>
      <c r="U141" s="45"/>
      <c r="V141" s="46"/>
      <c r="W141" s="64"/>
      <c r="X141" s="45"/>
      <c r="Y141" s="45"/>
      <c r="Z141" s="45"/>
      <c r="AA141" s="45"/>
      <c r="AB141" s="45"/>
      <c r="AC141" s="45"/>
      <c r="AD141" s="45"/>
      <c r="AE141" s="45"/>
    </row>
    <row r="142" spans="2:31" s="39" customFormat="1" x14ac:dyDescent="0.3">
      <c r="B142" s="209" t="s">
        <v>353</v>
      </c>
      <c r="C142" s="208" t="str">
        <f>LOOKUP(B142, TRA_COMM_PRO!$C$7:$C$189, TRA_COMM_PRO!$D$7:$D$189)</f>
        <v>Truck.Medium.H2G.01.</v>
      </c>
      <c r="D142" s="209" t="s">
        <v>57</v>
      </c>
      <c r="E142" s="209"/>
      <c r="F142" s="209"/>
      <c r="G142" s="10">
        <f>G88</f>
        <v>2019</v>
      </c>
      <c r="H142" s="40">
        <v>15</v>
      </c>
      <c r="I142" s="65">
        <f>$I$118</f>
        <v>1E-3</v>
      </c>
      <c r="J142" s="41">
        <f>J138</f>
        <v>2.7</v>
      </c>
      <c r="K142" s="42"/>
      <c r="L142" s="42"/>
      <c r="M142" s="263"/>
      <c r="N142" s="263"/>
      <c r="O142" s="263"/>
      <c r="P142" s="263"/>
      <c r="Q142" s="263"/>
      <c r="R142" s="40">
        <v>45</v>
      </c>
      <c r="S142" s="40"/>
      <c r="T142" s="40"/>
      <c r="U142" s="40"/>
      <c r="V142" s="41"/>
      <c r="W142" s="62">
        <f>LOOKUP(B142, FIXOM_VAROM!$C$8:$C$190, FIXOM_VAROM!$D$8:$D$190)</f>
        <v>80.000000000000014</v>
      </c>
      <c r="X142" s="40">
        <f>LOOKUP($B142, INVCOST!$C$8:$C$193, INVCOST!D$8:D$193)</f>
        <v>219</v>
      </c>
      <c r="Y142" s="40">
        <f>LOOKUP($B142, INVCOST!$C$8:$C$193, INVCOST!E$8:E$193)</f>
        <v>216</v>
      </c>
      <c r="Z142" s="40">
        <f>LOOKUP($B142, INVCOST!$C$8:$C$193, INVCOST!F$8:F$193)</f>
        <v>213</v>
      </c>
      <c r="AA142" s="40">
        <f>LOOKUP($B142, INVCOST!$C$8:$C$193, INVCOST!G$8:G$193)</f>
        <v>210</v>
      </c>
      <c r="AB142" s="40">
        <f>LOOKUP($B142, INVCOST!$C$8:$C$193, INVCOST!H$8:H$193)</f>
        <v>206</v>
      </c>
      <c r="AC142" s="40">
        <f>LOOKUP($B142, INVCOST!$C$8:$C$193, INVCOST!I$8:I$193)</f>
        <v>203</v>
      </c>
      <c r="AD142" s="40">
        <f>LOOKUP($B142, INVCOST!$C$8:$C$193, INVCOST!J$8:J$193)</f>
        <v>200</v>
      </c>
      <c r="AE142" s="40">
        <f>LOOKUP($B142, INVCOST!$C$8:$C$193, INVCOST!K$8:K$193)</f>
        <v>197</v>
      </c>
    </row>
    <row r="143" spans="2:31" s="39" customFormat="1" x14ac:dyDescent="0.3">
      <c r="B143" s="209"/>
      <c r="C143" s="209"/>
      <c r="D143" s="209"/>
      <c r="E143" s="209"/>
      <c r="F143" s="209" t="s">
        <v>364</v>
      </c>
      <c r="G143" s="50"/>
      <c r="H143" s="40"/>
      <c r="I143" s="41"/>
      <c r="J143" s="41"/>
      <c r="K143" s="42"/>
      <c r="L143" s="42"/>
      <c r="M143" s="263">
        <f>LOOKUP($B142, CEFF!$C$8:$C$156, CEFF!F$8:F$156)</f>
        <v>0.16922999999999999</v>
      </c>
      <c r="N143" s="263">
        <f>LOOKUP($B142, CEFF!$C$8:$C$156, CEFF!G$8:G$156)</f>
        <v>0.17188000000000001</v>
      </c>
      <c r="O143" s="263">
        <f>LOOKUP($B142, CEFF!$C$8:$C$156, CEFF!H$8:H$156)</f>
        <v>0.18032999999999999</v>
      </c>
      <c r="P143" s="263">
        <f>LOOKUP($B142, CEFF!$C$8:$C$156, CEFF!I$8:I$156)</f>
        <v>0.18487000000000001</v>
      </c>
      <c r="Q143" s="263">
        <f>LOOKUP($B142, CEFF!$C$8:$C$156, CEFF!J$8:J$156)</f>
        <v>0.18966</v>
      </c>
      <c r="R143" s="40"/>
      <c r="S143" s="40"/>
      <c r="T143" s="40"/>
      <c r="U143" s="40"/>
      <c r="V143" s="41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spans="2:31" s="39" customFormat="1" x14ac:dyDescent="0.3">
      <c r="B144" s="210"/>
      <c r="C144" s="210"/>
      <c r="D144" s="210"/>
      <c r="E144" s="210"/>
      <c r="F144" s="210" t="s">
        <v>365</v>
      </c>
      <c r="G144" s="51"/>
      <c r="H144" s="45"/>
      <c r="I144" s="46"/>
      <c r="J144" s="45"/>
      <c r="K144" s="79"/>
      <c r="L144" s="79"/>
      <c r="M144" s="264">
        <f>LOOKUP($B142, CEFF!$C$163:$C$330, CEFF!F$163:F$330)</f>
        <v>0.12307999999999999</v>
      </c>
      <c r="N144" s="264">
        <f>LOOKUP($B142, CEFF!$C$163:$C$330, CEFF!G$163:G$330)</f>
        <v>0.125</v>
      </c>
      <c r="O144" s="264">
        <f>LOOKUP($B142, CEFF!$C$163:$C$330, CEFF!H$163:H$330)</f>
        <v>0.13114999999999999</v>
      </c>
      <c r="P144" s="264">
        <f>LOOKUP($B142, CEFF!$C$163:$C$330, CEFF!I$163:I$330)</f>
        <v>0.13444999999999999</v>
      </c>
      <c r="Q144" s="264">
        <f>LOOKUP($B142, CEFF!$C$163:$C$330, CEFF!J$163:J$330)</f>
        <v>0.13793</v>
      </c>
      <c r="R144" s="45"/>
      <c r="S144" s="45"/>
      <c r="T144" s="45"/>
      <c r="U144" s="45"/>
      <c r="V144" s="46"/>
      <c r="W144" s="64"/>
      <c r="X144" s="45"/>
      <c r="Y144" s="45"/>
      <c r="Z144" s="45"/>
      <c r="AA144" s="45"/>
      <c r="AB144" s="45"/>
      <c r="AC144" s="45"/>
      <c r="AD144" s="45"/>
      <c r="AE144" s="45"/>
    </row>
    <row r="145" spans="2:31" s="39" customFormat="1" x14ac:dyDescent="0.3">
      <c r="B145" s="209" t="s">
        <v>352</v>
      </c>
      <c r="C145" s="208" t="str">
        <f>LOOKUP(B145, TRA_COMM_PRO!$C$7:$C$189, TRA_COMM_PRO!$D$7:$D$189)</f>
        <v>Truck.Medium.Hybrid.DST.01.</v>
      </c>
      <c r="D145" s="209" t="s">
        <v>44</v>
      </c>
      <c r="E145" s="209"/>
      <c r="F145" s="209"/>
      <c r="G145" s="10">
        <f>$G$117</f>
        <v>2019</v>
      </c>
      <c r="H145" s="40">
        <v>15</v>
      </c>
      <c r="I145" s="65">
        <f>$I$118</f>
        <v>1E-3</v>
      </c>
      <c r="J145" s="41">
        <f>J142</f>
        <v>2.7</v>
      </c>
      <c r="K145" s="42"/>
      <c r="L145" s="42"/>
      <c r="M145" s="263"/>
      <c r="N145" s="263"/>
      <c r="O145" s="263"/>
      <c r="P145" s="263"/>
      <c r="Q145" s="263"/>
      <c r="R145" s="40">
        <v>45</v>
      </c>
      <c r="S145" s="40"/>
      <c r="T145" s="40"/>
      <c r="U145" s="40"/>
      <c r="V145" s="41"/>
      <c r="W145" s="62">
        <f>LOOKUP(B145, FIXOM_VAROM!$C$8:$C$190, FIXOM_VAROM!$D$8:$D$190)</f>
        <v>100</v>
      </c>
      <c r="X145" s="40">
        <f>LOOKUP($B145, INVCOST!$C$8:$C$193, INVCOST!D$8:D$193)</f>
        <v>169</v>
      </c>
      <c r="Y145" s="40">
        <f>LOOKUP($B145, INVCOST!$C$8:$C$193, INVCOST!E$8:E$193)</f>
        <v>169</v>
      </c>
      <c r="Z145" s="40">
        <f>LOOKUP($B145, INVCOST!$C$8:$C$193, INVCOST!F$8:F$193)</f>
        <v>169</v>
      </c>
      <c r="AA145" s="40">
        <f>LOOKUP($B145, INVCOST!$C$8:$C$193, INVCOST!G$8:G$193)</f>
        <v>169</v>
      </c>
      <c r="AB145" s="40">
        <f>LOOKUP($B145, INVCOST!$C$8:$C$193, INVCOST!H$8:H$193)</f>
        <v>169</v>
      </c>
      <c r="AC145" s="40">
        <f>LOOKUP($B145, INVCOST!$C$8:$C$193, INVCOST!I$8:I$193)</f>
        <v>169</v>
      </c>
      <c r="AD145" s="40">
        <f>LOOKUP($B145, INVCOST!$C$8:$C$193, INVCOST!J$8:J$193)</f>
        <v>169</v>
      </c>
      <c r="AE145" s="40">
        <f>LOOKUP($B145, INVCOST!$C$8:$C$193, INVCOST!K$8:K$193)</f>
        <v>169</v>
      </c>
    </row>
    <row r="146" spans="2:31" s="39" customFormat="1" x14ac:dyDescent="0.3">
      <c r="B146" s="209"/>
      <c r="C146" s="209"/>
      <c r="D146" s="209" t="s">
        <v>48</v>
      </c>
      <c r="E146" s="209"/>
      <c r="F146" s="209"/>
      <c r="G146" s="42"/>
      <c r="H146" s="40"/>
      <c r="I146" s="41"/>
      <c r="J146" s="41"/>
      <c r="K146" s="42"/>
      <c r="L146" s="42"/>
      <c r="M146" s="266"/>
      <c r="N146" s="266"/>
      <c r="O146" s="266"/>
      <c r="P146" s="266"/>
      <c r="Q146" s="266"/>
      <c r="R146" s="40"/>
      <c r="S146" s="40"/>
      <c r="T146" s="40"/>
      <c r="U146" s="40"/>
      <c r="V146" s="41"/>
      <c r="W146" s="60"/>
      <c r="X146" s="40"/>
      <c r="Y146" s="40"/>
      <c r="Z146" s="40"/>
      <c r="AA146" s="40"/>
      <c r="AB146" s="40"/>
      <c r="AC146" s="40"/>
      <c r="AD146" s="40"/>
      <c r="AE146" s="40"/>
    </row>
    <row r="147" spans="2:31" s="39" customFormat="1" x14ac:dyDescent="0.3">
      <c r="B147" s="209"/>
      <c r="C147" s="209"/>
      <c r="D147" s="209"/>
      <c r="E147" s="209"/>
      <c r="F147" s="209" t="s">
        <v>364</v>
      </c>
      <c r="G147" s="50"/>
      <c r="H147" s="40"/>
      <c r="I147" s="41"/>
      <c r="J147" s="41"/>
      <c r="K147" s="42"/>
      <c r="L147" s="42"/>
      <c r="M147" s="263">
        <f>LOOKUP($B145, CEFF!$C$8:$C$156, CEFF!F$8:F$156)</f>
        <v>0.1134</v>
      </c>
      <c r="N147" s="263">
        <f>LOOKUP($B145, CEFF!$C$8:$C$156, CEFF!G$8:G$156)</f>
        <v>0.11579</v>
      </c>
      <c r="O147" s="263">
        <f>LOOKUP($B145, CEFF!$C$8:$C$156, CEFF!H$8:H$156)</f>
        <v>0.11957</v>
      </c>
      <c r="P147" s="263">
        <f>LOOKUP($B145, CEFF!$C$8:$C$156, CEFF!I$8:I$156)</f>
        <v>0.12222</v>
      </c>
      <c r="Q147" s="263">
        <f>LOOKUP($B145, CEFF!$C$8:$C$156, CEFF!J$8:J$156)</f>
        <v>0.125</v>
      </c>
      <c r="R147" s="40"/>
      <c r="S147" s="40"/>
      <c r="T147" s="40"/>
      <c r="U147" s="40"/>
      <c r="V147" s="41"/>
      <c r="W147" s="60"/>
      <c r="X147" s="40"/>
      <c r="Y147" s="40"/>
      <c r="Z147" s="40"/>
      <c r="AA147" s="40"/>
      <c r="AB147" s="40"/>
      <c r="AC147" s="40"/>
      <c r="AD147" s="40"/>
      <c r="AE147" s="40"/>
    </row>
    <row r="148" spans="2:31" s="39" customFormat="1" x14ac:dyDescent="0.3">
      <c r="B148" s="210"/>
      <c r="C148" s="210"/>
      <c r="D148" s="210"/>
      <c r="E148" s="210"/>
      <c r="F148" s="210" t="s">
        <v>365</v>
      </c>
      <c r="G148" s="51"/>
      <c r="H148" s="45"/>
      <c r="I148" s="46"/>
      <c r="J148" s="46"/>
      <c r="K148" s="44"/>
      <c r="L148" s="44"/>
      <c r="M148" s="264">
        <f>LOOKUP($B145, CEFF!$C$163:$C$330, CEFF!F$163:F$330)</f>
        <v>8.2470000000000002E-2</v>
      </c>
      <c r="N148" s="264">
        <f>LOOKUP($B145, CEFF!$C$163:$C$330, CEFF!G$163:G$330)</f>
        <v>8.4209999999999993E-2</v>
      </c>
      <c r="O148" s="264">
        <f>LOOKUP($B145, CEFF!$C$163:$C$330, CEFF!H$163:H$330)</f>
        <v>8.6959999999999996E-2</v>
      </c>
      <c r="P148" s="264">
        <f>LOOKUP($B145, CEFF!$C$163:$C$330, CEFF!I$163:I$330)</f>
        <v>8.8889999999999997E-2</v>
      </c>
      <c r="Q148" s="264">
        <f>LOOKUP($B145, CEFF!$C$163:$C$330, CEFF!J$163:J$330)</f>
        <v>9.0910000000000005E-2</v>
      </c>
      <c r="R148" s="45"/>
      <c r="S148" s="45"/>
      <c r="T148" s="45"/>
      <c r="U148" s="45"/>
      <c r="V148" s="46"/>
      <c r="W148" s="64"/>
      <c r="X148" s="45"/>
      <c r="Y148" s="45"/>
      <c r="Z148" s="45"/>
      <c r="AA148" s="45"/>
      <c r="AB148" s="45"/>
      <c r="AC148" s="45"/>
      <c r="AD148" s="45"/>
      <c r="AE148" s="45"/>
    </row>
    <row r="149" spans="2:31" s="39" customFormat="1" x14ac:dyDescent="0.3">
      <c r="B149" s="209" t="s">
        <v>408</v>
      </c>
      <c r="C149" s="208" t="str">
        <f>LOOKUP(B149, TRA_COMM_PRO!$C$7:$C$189, TRA_COMM_PRO!$D$7:$D$189)</f>
        <v>Truck.Medium.Hybrid.GSL.01.</v>
      </c>
      <c r="D149" s="209" t="s">
        <v>40</v>
      </c>
      <c r="E149" s="209"/>
      <c r="F149" s="209"/>
      <c r="G149" s="10">
        <f>$G$117</f>
        <v>2019</v>
      </c>
      <c r="H149" s="40">
        <v>15</v>
      </c>
      <c r="I149" s="65">
        <f>$I$118</f>
        <v>1E-3</v>
      </c>
      <c r="J149" s="41">
        <f>J145</f>
        <v>2.7</v>
      </c>
      <c r="K149" s="42"/>
      <c r="L149" s="42">
        <v>0.05</v>
      </c>
      <c r="M149" s="263"/>
      <c r="N149" s="263"/>
      <c r="O149" s="263"/>
      <c r="P149" s="263"/>
      <c r="Q149" s="263"/>
      <c r="R149" s="40">
        <v>45</v>
      </c>
      <c r="S149" s="40"/>
      <c r="T149" s="40"/>
      <c r="U149" s="40"/>
      <c r="V149" s="41"/>
      <c r="W149" s="62">
        <f>LOOKUP(B149, FIXOM_VAROM!$C$8:$C$190, FIXOM_VAROM!$D$8:$D$190)</f>
        <v>100</v>
      </c>
      <c r="X149" s="40">
        <f>LOOKUP($B149, INVCOST!$C$8:$C$193, INVCOST!D$8:D$193)</f>
        <v>169</v>
      </c>
      <c r="Y149" s="40">
        <f>LOOKUP($B149, INVCOST!$C$8:$C$193, INVCOST!E$8:E$193)</f>
        <v>169</v>
      </c>
      <c r="Z149" s="40">
        <f>LOOKUP($B149, INVCOST!$C$8:$C$193, INVCOST!F$8:F$193)</f>
        <v>169</v>
      </c>
      <c r="AA149" s="40">
        <f>LOOKUP($B149, INVCOST!$C$8:$C$193, INVCOST!G$8:G$193)</f>
        <v>169</v>
      </c>
      <c r="AB149" s="40">
        <f>LOOKUP($B149, INVCOST!$C$8:$C$193, INVCOST!H$8:H$193)</f>
        <v>169</v>
      </c>
      <c r="AC149" s="40">
        <f>LOOKUP($B149, INVCOST!$C$8:$C$193, INVCOST!I$8:I$193)</f>
        <v>169</v>
      </c>
      <c r="AD149" s="40">
        <f>LOOKUP($B149, INVCOST!$C$8:$C$193, INVCOST!J$8:J$193)</f>
        <v>169</v>
      </c>
      <c r="AE149" s="40">
        <f>LOOKUP($B149, INVCOST!$C$8:$C$193, INVCOST!K$8:K$193)</f>
        <v>169</v>
      </c>
    </row>
    <row r="150" spans="2:31" s="39" customFormat="1" x14ac:dyDescent="0.3">
      <c r="B150" s="209"/>
      <c r="C150" s="208"/>
      <c r="D150" s="209" t="s">
        <v>39</v>
      </c>
      <c r="E150" s="209"/>
      <c r="F150" s="209"/>
      <c r="G150" s="10"/>
      <c r="H150" s="40"/>
      <c r="I150" s="65"/>
      <c r="J150" s="41"/>
      <c r="K150" s="42"/>
      <c r="L150" s="42"/>
      <c r="M150" s="263"/>
      <c r="N150" s="263"/>
      <c r="O150" s="263"/>
      <c r="P150" s="263"/>
      <c r="Q150" s="263"/>
      <c r="R150" s="40"/>
      <c r="S150" s="40"/>
      <c r="T150" s="40"/>
      <c r="U150" s="40"/>
      <c r="V150" s="41"/>
      <c r="W150" s="60"/>
      <c r="X150" s="40"/>
      <c r="Y150" s="40"/>
      <c r="Z150" s="40"/>
      <c r="AA150" s="40"/>
      <c r="AB150" s="40"/>
      <c r="AC150" s="40"/>
      <c r="AD150" s="40"/>
      <c r="AE150" s="40"/>
    </row>
    <row r="151" spans="2:31" s="39" customFormat="1" x14ac:dyDescent="0.3">
      <c r="B151" s="209"/>
      <c r="C151" s="209"/>
      <c r="D151" s="209"/>
      <c r="E151" s="209"/>
      <c r="F151" s="209" t="s">
        <v>364</v>
      </c>
      <c r="G151" s="50"/>
      <c r="H151" s="40"/>
      <c r="I151" s="41"/>
      <c r="J151" s="41"/>
      <c r="K151" s="42"/>
      <c r="L151" s="42"/>
      <c r="M151" s="263">
        <f>LOOKUP($B149, CEFF!$C$8:$C$156, CEFF!F$8:F$156)</f>
        <v>0.10292</v>
      </c>
      <c r="N151" s="263">
        <f>LOOKUP($B149, CEFF!$C$8:$C$156, CEFF!G$8:G$156)</f>
        <v>0.10446</v>
      </c>
      <c r="O151" s="263">
        <f>LOOKUP($B149, CEFF!$C$8:$C$156, CEFF!H$8:H$156)</f>
        <v>0.10897999999999999</v>
      </c>
      <c r="P151" s="263">
        <f>LOOKUP($B149, CEFF!$C$8:$C$156, CEFF!I$8:I$156)</f>
        <v>0.11167000000000001</v>
      </c>
      <c r="Q151" s="263">
        <f>LOOKUP($B149, CEFF!$C$8:$C$156, CEFF!J$8:J$156)</f>
        <v>0.11448999999999999</v>
      </c>
      <c r="R151" s="40"/>
      <c r="S151" s="40"/>
      <c r="T151" s="40"/>
      <c r="U151" s="40"/>
      <c r="V151" s="41"/>
      <c r="W151" s="60"/>
      <c r="X151" s="40"/>
      <c r="Y151" s="40"/>
      <c r="Z151" s="40"/>
      <c r="AA151" s="40"/>
      <c r="AB151" s="40"/>
      <c r="AC151" s="40"/>
      <c r="AD151" s="40"/>
      <c r="AE151" s="40"/>
    </row>
    <row r="152" spans="2:31" s="39" customFormat="1" x14ac:dyDescent="0.3">
      <c r="B152" s="210"/>
      <c r="C152" s="210"/>
      <c r="D152" s="210"/>
      <c r="E152" s="210"/>
      <c r="F152" s="210" t="s">
        <v>365</v>
      </c>
      <c r="G152" s="51"/>
      <c r="H152" s="45"/>
      <c r="I152" s="46"/>
      <c r="J152" s="46"/>
      <c r="K152" s="44"/>
      <c r="L152" s="44"/>
      <c r="M152" s="264">
        <f>LOOKUP($B149, CEFF!$C$163:$C$330, CEFF!F$163:F$330)</f>
        <v>0.11169999999999999</v>
      </c>
      <c r="N152" s="264">
        <f>LOOKUP($B149, CEFF!$C$163:$C$330, CEFF!G$163:G$330)</f>
        <v>0.11277</v>
      </c>
      <c r="O152" s="264">
        <f>LOOKUP($B149, CEFF!$C$163:$C$330, CEFF!H$163:H$330)</f>
        <v>0.11953999999999999</v>
      </c>
      <c r="P152" s="264">
        <f>LOOKUP($B149, CEFF!$C$163:$C$330, CEFF!I$163:I$330)</f>
        <v>0.12284</v>
      </c>
      <c r="Q152" s="264">
        <f>LOOKUP($B149, CEFF!$C$163:$C$330, CEFF!J$163:J$330)</f>
        <v>0.12633</v>
      </c>
      <c r="R152" s="45"/>
      <c r="S152" s="45"/>
      <c r="T152" s="45"/>
      <c r="U152" s="45"/>
      <c r="V152" s="46"/>
      <c r="W152" s="64"/>
      <c r="X152" s="45"/>
      <c r="Y152" s="45"/>
      <c r="Z152" s="45"/>
      <c r="AA152" s="45"/>
      <c r="AB152" s="45"/>
      <c r="AC152" s="45"/>
      <c r="AD152" s="45"/>
      <c r="AE152" s="45"/>
    </row>
    <row r="153" spans="2:31" s="39" customFormat="1" x14ac:dyDescent="0.3">
      <c r="B153" s="209" t="s">
        <v>594</v>
      </c>
      <c r="C153" s="208" t="str">
        <f>LOOKUP(B153, TRA_COMM_PRO!$C$7:$C$189, TRA_COMM_PRO!$D$7:$D$189)</f>
        <v>Truck.Medium.MTH.01.</v>
      </c>
      <c r="D153" s="209" t="s">
        <v>582</v>
      </c>
      <c r="E153" s="209"/>
      <c r="F153" s="209"/>
      <c r="G153" s="10">
        <f>$G$117</f>
        <v>2019</v>
      </c>
      <c r="H153" s="40">
        <v>15</v>
      </c>
      <c r="I153" s="65">
        <f>$I$118</f>
        <v>1E-3</v>
      </c>
      <c r="J153" s="41">
        <f>J149</f>
        <v>2.7</v>
      </c>
      <c r="K153" s="42"/>
      <c r="L153" s="42"/>
      <c r="M153" s="263"/>
      <c r="N153" s="263"/>
      <c r="O153" s="263"/>
      <c r="P153" s="263"/>
      <c r="Q153" s="263"/>
      <c r="R153" s="40">
        <v>45</v>
      </c>
      <c r="S153" s="40"/>
      <c r="T153" s="40"/>
      <c r="U153" s="40"/>
      <c r="V153" s="41"/>
      <c r="W153" s="62">
        <f>LOOKUP(B153, FIXOM_VAROM!$C$8:$C$190, FIXOM_VAROM!$D$8:$D$190)</f>
        <v>100</v>
      </c>
      <c r="X153" s="40">
        <f>LOOKUP($B153, INVCOST!$C$8:$C$193, INVCOST!D$8:D$193)</f>
        <v>169</v>
      </c>
      <c r="Y153" s="40">
        <f>LOOKUP($B153, INVCOST!$C$8:$C$193, INVCOST!E$8:E$193)</f>
        <v>169</v>
      </c>
      <c r="Z153" s="40">
        <f>LOOKUP($B153, INVCOST!$C$8:$C$193, INVCOST!F$8:F$193)</f>
        <v>169</v>
      </c>
      <c r="AA153" s="40">
        <f>LOOKUP($B153, INVCOST!$C$8:$C$193, INVCOST!G$8:G$193)</f>
        <v>169</v>
      </c>
      <c r="AB153" s="40">
        <f>LOOKUP($B153, INVCOST!$C$8:$C$193, INVCOST!H$8:H$193)</f>
        <v>169</v>
      </c>
      <c r="AC153" s="40">
        <f>LOOKUP($B153, INVCOST!$C$8:$C$193, INVCOST!I$8:I$193)</f>
        <v>169</v>
      </c>
      <c r="AD153" s="40">
        <f>LOOKUP($B153, INVCOST!$C$8:$C$193, INVCOST!J$8:J$193)</f>
        <v>169</v>
      </c>
      <c r="AE153" s="40">
        <f>LOOKUP($B153, INVCOST!$C$8:$C$193, INVCOST!K$8:K$193)</f>
        <v>169</v>
      </c>
    </row>
    <row r="154" spans="2:31" s="39" customFormat="1" x14ac:dyDescent="0.3">
      <c r="B154" s="209"/>
      <c r="C154" s="209"/>
      <c r="D154" s="209"/>
      <c r="E154" s="209"/>
      <c r="F154" s="209" t="s">
        <v>364</v>
      </c>
      <c r="G154" s="50"/>
      <c r="H154" s="40"/>
      <c r="I154" s="41"/>
      <c r="J154" s="41"/>
      <c r="K154" s="42"/>
      <c r="L154" s="42"/>
      <c r="M154" s="263">
        <f>LOOKUP($B153, CEFF!$C$8:$C$156, CEFF!F$8:F$156)</f>
        <v>9.2439999999999994E-2</v>
      </c>
      <c r="N154" s="263">
        <f>LOOKUP($B153, CEFF!$C$8:$C$156, CEFF!G$8:G$156)</f>
        <v>9.3619999999999995E-2</v>
      </c>
      <c r="O154" s="263">
        <f>LOOKUP($B153, CEFF!$C$8:$C$156, CEFF!H$8:H$156)</f>
        <v>9.7350000000000006E-2</v>
      </c>
      <c r="P154" s="263">
        <f>LOOKUP($B153, CEFF!$C$8:$C$156, CEFF!I$8:I$156)</f>
        <v>0.1</v>
      </c>
      <c r="Q154" s="263">
        <f>LOOKUP($B153, CEFF!$C$8:$C$156, CEFF!J$8:J$156)</f>
        <v>0.1028</v>
      </c>
      <c r="R154" s="40"/>
      <c r="S154" s="40"/>
      <c r="T154" s="40"/>
      <c r="U154" s="40"/>
      <c r="V154" s="41"/>
      <c r="W154" s="60"/>
      <c r="X154" s="40"/>
      <c r="Y154" s="40"/>
      <c r="Z154" s="40"/>
      <c r="AA154" s="40"/>
      <c r="AB154" s="40"/>
      <c r="AC154" s="40"/>
      <c r="AD154" s="40"/>
      <c r="AE154" s="40"/>
    </row>
    <row r="155" spans="2:31" s="39" customFormat="1" x14ac:dyDescent="0.3">
      <c r="B155" s="210"/>
      <c r="C155" s="210"/>
      <c r="D155" s="210"/>
      <c r="E155" s="210"/>
      <c r="F155" s="210" t="s">
        <v>365</v>
      </c>
      <c r="G155" s="51"/>
      <c r="H155" s="45"/>
      <c r="I155" s="46"/>
      <c r="J155" s="46"/>
      <c r="K155" s="44"/>
      <c r="L155" s="44"/>
      <c r="M155" s="264">
        <f>LOOKUP($B153, CEFF!$C$163:$C$330, CEFF!F$163:F$330)</f>
        <v>6.7229999999999998E-2</v>
      </c>
      <c r="N155" s="264">
        <f>LOOKUP($B153, CEFF!$C$163:$C$330, CEFF!G$163:G$330)</f>
        <v>6.8089999999999998E-2</v>
      </c>
      <c r="O155" s="264">
        <f>LOOKUP($B153, CEFF!$C$163:$C$330, CEFF!H$163:H$330)</f>
        <v>7.0800000000000002E-2</v>
      </c>
      <c r="P155" s="264">
        <f>LOOKUP($B153, CEFF!$C$163:$C$330, CEFF!I$163:I$330)</f>
        <v>7.2730000000000003E-2</v>
      </c>
      <c r="Q155" s="264">
        <f>LOOKUP($B153, CEFF!$C$163:$C$330, CEFF!J$163:J$330)</f>
        <v>7.4770000000000003E-2</v>
      </c>
      <c r="R155" s="45"/>
      <c r="S155" s="45"/>
      <c r="T155" s="45"/>
      <c r="U155" s="45"/>
      <c r="V155" s="46"/>
      <c r="W155" s="64"/>
      <c r="X155" s="45"/>
      <c r="Y155" s="45"/>
      <c r="Z155" s="45"/>
      <c r="AA155" s="45"/>
      <c r="AB155" s="45"/>
      <c r="AC155" s="45"/>
      <c r="AD155" s="45"/>
      <c r="AE155" s="45"/>
    </row>
    <row r="156" spans="2:31" s="39" customFormat="1" x14ac:dyDescent="0.3">
      <c r="B156" s="209" t="s">
        <v>410</v>
      </c>
      <c r="C156" s="208" t="str">
        <f>LOOKUP(B156, TRA_COMM_PRO!$C$7:$C$189, TRA_COMM_PRO!$D$7:$D$189)</f>
        <v>Truck.Medium.LPG.01.</v>
      </c>
      <c r="D156" s="209" t="s">
        <v>62</v>
      </c>
      <c r="E156" s="209"/>
      <c r="F156" s="209"/>
      <c r="G156" s="10">
        <f>$G$117</f>
        <v>2019</v>
      </c>
      <c r="H156" s="40">
        <v>15</v>
      </c>
      <c r="I156" s="65">
        <f>$I$118</f>
        <v>1E-3</v>
      </c>
      <c r="J156" s="41">
        <f>J153</f>
        <v>2.7</v>
      </c>
      <c r="K156" s="42"/>
      <c r="L156" s="42"/>
      <c r="M156" s="263"/>
      <c r="N156" s="263"/>
      <c r="O156" s="263"/>
      <c r="P156" s="263"/>
      <c r="Q156" s="263"/>
      <c r="R156" s="40">
        <v>45</v>
      </c>
      <c r="S156" s="40"/>
      <c r="T156" s="40"/>
      <c r="U156" s="40"/>
      <c r="V156" s="41"/>
      <c r="W156" s="62">
        <f>LOOKUP(B156, FIXOM_VAROM!$C$8:$C$190, FIXOM_VAROM!$D$8:$D$190)</f>
        <v>100</v>
      </c>
      <c r="X156" s="40">
        <f>LOOKUP($B156, INVCOST!$C$8:$C$193, INVCOST!D$8:D$193)</f>
        <v>169</v>
      </c>
      <c r="Y156" s="40">
        <f>LOOKUP($B156, INVCOST!$C$8:$C$193, INVCOST!E$8:E$193)</f>
        <v>169</v>
      </c>
      <c r="Z156" s="40">
        <f>LOOKUP($B156, INVCOST!$C$8:$C$193, INVCOST!F$8:F$193)</f>
        <v>169</v>
      </c>
      <c r="AA156" s="40">
        <f>LOOKUP($B156, INVCOST!$C$8:$C$193, INVCOST!G$8:G$193)</f>
        <v>169</v>
      </c>
      <c r="AB156" s="40">
        <f>LOOKUP($B156, INVCOST!$C$8:$C$193, INVCOST!H$8:H$193)</f>
        <v>169</v>
      </c>
      <c r="AC156" s="40">
        <f>LOOKUP($B156, INVCOST!$C$8:$C$193, INVCOST!I$8:I$193)</f>
        <v>169</v>
      </c>
      <c r="AD156" s="40">
        <f>LOOKUP($B156, INVCOST!$C$8:$C$193, INVCOST!J$8:J$193)</f>
        <v>169</v>
      </c>
      <c r="AE156" s="40">
        <f>LOOKUP($B156, INVCOST!$C$8:$C$193, INVCOST!K$8:K$193)</f>
        <v>169</v>
      </c>
    </row>
    <row r="157" spans="2:31" s="39" customFormat="1" x14ac:dyDescent="0.3">
      <c r="B157" s="209"/>
      <c r="C157" s="209"/>
      <c r="D157" s="209"/>
      <c r="E157" s="209"/>
      <c r="F157" s="209" t="s">
        <v>364</v>
      </c>
      <c r="G157" s="50"/>
      <c r="H157" s="40"/>
      <c r="I157" s="41"/>
      <c r="J157" s="41"/>
      <c r="K157" s="42"/>
      <c r="L157" s="42"/>
      <c r="M157" s="263">
        <f>LOOKUP($B156, CEFF!$C$8:$C$156, CEFF!F$8:F$156)</f>
        <v>9.2439999999999994E-2</v>
      </c>
      <c r="N157" s="263">
        <f>LOOKUP($B156, CEFF!$C$8:$C$156, CEFF!G$8:G$156)</f>
        <v>9.3619999999999995E-2</v>
      </c>
      <c r="O157" s="263">
        <f>LOOKUP($B156, CEFF!$C$8:$C$156, CEFF!H$8:H$156)</f>
        <v>9.7350000000000006E-2</v>
      </c>
      <c r="P157" s="263">
        <f>LOOKUP($B156, CEFF!$C$8:$C$156, CEFF!I$8:I$156)</f>
        <v>0.1</v>
      </c>
      <c r="Q157" s="263">
        <f>LOOKUP($B156, CEFF!$C$8:$C$156, CEFF!J$8:J$156)</f>
        <v>0.1028</v>
      </c>
      <c r="R157" s="40"/>
      <c r="S157" s="40"/>
      <c r="T157" s="40"/>
      <c r="U157" s="40"/>
      <c r="V157" s="41"/>
      <c r="W157" s="60"/>
      <c r="X157" s="40"/>
      <c r="Y157" s="40"/>
      <c r="Z157" s="40"/>
      <c r="AA157" s="40"/>
      <c r="AB157" s="40"/>
      <c r="AC157" s="40"/>
      <c r="AD157" s="40"/>
      <c r="AE157" s="40"/>
    </row>
    <row r="158" spans="2:31" s="39" customFormat="1" x14ac:dyDescent="0.3">
      <c r="B158" s="210"/>
      <c r="C158" s="210"/>
      <c r="D158" s="210"/>
      <c r="E158" s="210"/>
      <c r="F158" s="210" t="s">
        <v>365</v>
      </c>
      <c r="G158" s="51"/>
      <c r="H158" s="45"/>
      <c r="I158" s="46"/>
      <c r="J158" s="46"/>
      <c r="K158" s="44"/>
      <c r="L158" s="44"/>
      <c r="M158" s="264">
        <f>LOOKUP($B156, CEFF!$C$163:$C$330, CEFF!F$163:F$330)</f>
        <v>6.7229999999999998E-2</v>
      </c>
      <c r="N158" s="264">
        <f>LOOKUP($B156, CEFF!$C$163:$C$330, CEFF!G$163:G$330)</f>
        <v>6.8089999999999998E-2</v>
      </c>
      <c r="O158" s="264">
        <f>LOOKUP($B156, CEFF!$C$163:$C$330, CEFF!H$163:H$330)</f>
        <v>7.0800000000000002E-2</v>
      </c>
      <c r="P158" s="264">
        <f>LOOKUP($B156, CEFF!$C$163:$C$330, CEFF!I$163:I$330)</f>
        <v>7.2730000000000003E-2</v>
      </c>
      <c r="Q158" s="264">
        <f>LOOKUP($B156, CEFF!$C$163:$C$330, CEFF!J$163:J$330)</f>
        <v>7.4770000000000003E-2</v>
      </c>
      <c r="R158" s="45"/>
      <c r="S158" s="45"/>
      <c r="T158" s="45"/>
      <c r="U158" s="45"/>
      <c r="V158" s="46"/>
      <c r="W158" s="64"/>
      <c r="X158" s="45"/>
      <c r="Y158" s="45"/>
      <c r="Z158" s="45"/>
      <c r="AA158" s="45"/>
      <c r="AB158" s="45"/>
      <c r="AC158" s="45"/>
      <c r="AD158" s="45"/>
      <c r="AE158" s="45"/>
    </row>
    <row r="159" spans="2:31" s="39" customFormat="1" x14ac:dyDescent="0.3">
      <c r="B159" s="209" t="s">
        <v>407</v>
      </c>
      <c r="C159" s="208" t="str">
        <f>LOOKUP(B159, TRA_COMM_PRO!$C$7:$C$189, TRA_COMM_PRO!$D$7:$D$189)</f>
        <v>Truck.Medium.Plugin-Hybrid.DST.01.</v>
      </c>
      <c r="D159" s="209" t="s">
        <v>44</v>
      </c>
      <c r="E159" s="209"/>
      <c r="F159" s="209"/>
      <c r="G159" s="10">
        <f>$G$117</f>
        <v>2019</v>
      </c>
      <c r="H159" s="40">
        <v>15</v>
      </c>
      <c r="I159" s="65">
        <f>$I$118</f>
        <v>1E-3</v>
      </c>
      <c r="J159" s="41">
        <f>J156</f>
        <v>2.7</v>
      </c>
      <c r="K159" s="42"/>
      <c r="L159" s="42"/>
      <c r="M159" s="263"/>
      <c r="N159" s="263"/>
      <c r="O159" s="263"/>
      <c r="P159" s="263"/>
      <c r="Q159" s="263"/>
      <c r="R159" s="40">
        <v>45</v>
      </c>
      <c r="S159" s="40"/>
      <c r="T159" s="40"/>
      <c r="U159" s="40"/>
      <c r="V159" s="41"/>
      <c r="W159" s="62">
        <f>LOOKUP(B159, FIXOM_VAROM!$C$8:$C$190, FIXOM_VAROM!$D$8:$D$190)</f>
        <v>100</v>
      </c>
      <c r="X159" s="40">
        <f>LOOKUP($B159, INVCOST!$C$8:$C$193, INVCOST!D$8:D$193)</f>
        <v>202.79999999999998</v>
      </c>
      <c r="Y159" s="40">
        <f>LOOKUP($B159, INVCOST!$C$8:$C$193, INVCOST!E$8:E$193)</f>
        <v>202.79999999999998</v>
      </c>
      <c r="Z159" s="40">
        <f>LOOKUP($B159, INVCOST!$C$8:$C$193, INVCOST!F$8:F$193)</f>
        <v>202.79999999999998</v>
      </c>
      <c r="AA159" s="40">
        <f>LOOKUP($B159, INVCOST!$C$8:$C$193, INVCOST!G$8:G$193)</f>
        <v>202.79999999999998</v>
      </c>
      <c r="AB159" s="40">
        <f>LOOKUP($B159, INVCOST!$C$8:$C$193, INVCOST!H$8:H$193)</f>
        <v>202.79999999999998</v>
      </c>
      <c r="AC159" s="40">
        <f>LOOKUP($B159, INVCOST!$C$8:$C$193, INVCOST!I$8:I$193)</f>
        <v>202.79999999999998</v>
      </c>
      <c r="AD159" s="40">
        <f>LOOKUP($B159, INVCOST!$C$8:$C$193, INVCOST!J$8:J$193)</f>
        <v>202.79999999999998</v>
      </c>
      <c r="AE159" s="40">
        <f>LOOKUP($B159, INVCOST!$C$8:$C$193, INVCOST!K$8:K$193)</f>
        <v>202.79999999999998</v>
      </c>
    </row>
    <row r="160" spans="2:31" s="39" customFormat="1" x14ac:dyDescent="0.3">
      <c r="B160" s="209"/>
      <c r="C160" s="209"/>
      <c r="D160" s="209" t="s">
        <v>48</v>
      </c>
      <c r="E160" s="209"/>
      <c r="F160" s="209"/>
      <c r="G160" s="42"/>
      <c r="H160" s="40"/>
      <c r="I160" s="41"/>
      <c r="J160" s="41"/>
      <c r="K160" s="42"/>
      <c r="L160" s="42"/>
      <c r="M160" s="266"/>
      <c r="N160" s="266"/>
      <c r="O160" s="266"/>
      <c r="P160" s="266"/>
      <c r="Q160" s="266"/>
      <c r="R160" s="40"/>
      <c r="S160" s="40"/>
      <c r="T160" s="40"/>
      <c r="U160" s="40"/>
      <c r="V160" s="41"/>
      <c r="W160" s="60"/>
      <c r="X160" s="40"/>
      <c r="Y160" s="40"/>
      <c r="Z160" s="40"/>
      <c r="AA160" s="40"/>
      <c r="AB160" s="40"/>
      <c r="AC160" s="40"/>
      <c r="AD160" s="40"/>
      <c r="AE160" s="40"/>
    </row>
    <row r="161" spans="2:31" s="39" customFormat="1" x14ac:dyDescent="0.3">
      <c r="B161" s="209"/>
      <c r="C161" s="209"/>
      <c r="D161" s="209"/>
      <c r="E161" s="209"/>
      <c r="F161" s="209" t="s">
        <v>364</v>
      </c>
      <c r="G161" s="50"/>
      <c r="H161" s="40"/>
      <c r="I161" s="41"/>
      <c r="J161" s="41"/>
      <c r="K161" s="42"/>
      <c r="L161" s="42"/>
      <c r="M161" s="263">
        <f>LOOKUP($B159, CEFF!$C$8:$C$156, CEFF!F$8:F$156)</f>
        <v>0.10185</v>
      </c>
      <c r="N161" s="263">
        <f>LOOKUP($B159, CEFF!$C$8:$C$156, CEFF!G$8:G$156)</f>
        <v>0.10377</v>
      </c>
      <c r="O161" s="263">
        <f>LOOKUP($B159, CEFF!$C$8:$C$156, CEFF!H$8:H$156)</f>
        <v>0.10680000000000001</v>
      </c>
      <c r="P161" s="263">
        <f>LOOKUP($B159, CEFF!$C$8:$C$156, CEFF!I$8:I$156)</f>
        <v>0.10945000000000001</v>
      </c>
      <c r="Q161" s="263">
        <f>LOOKUP($B159, CEFF!$C$8:$C$156, CEFF!J$8:J$156)</f>
        <v>0.11224000000000001</v>
      </c>
      <c r="R161" s="40"/>
      <c r="S161" s="40"/>
      <c r="T161" s="40"/>
      <c r="U161" s="40"/>
      <c r="V161" s="41"/>
      <c r="W161" s="60"/>
      <c r="X161" s="40"/>
      <c r="Y161" s="40"/>
      <c r="Z161" s="40"/>
      <c r="AA161" s="40"/>
      <c r="AB161" s="40"/>
      <c r="AC161" s="40"/>
      <c r="AD161" s="40"/>
      <c r="AE161" s="40"/>
    </row>
    <row r="162" spans="2:31" s="39" customFormat="1" x14ac:dyDescent="0.3">
      <c r="B162" s="210"/>
      <c r="C162" s="210"/>
      <c r="D162" s="210"/>
      <c r="E162" s="210"/>
      <c r="F162" s="210" t="s">
        <v>365</v>
      </c>
      <c r="G162" s="51"/>
      <c r="H162" s="45"/>
      <c r="I162" s="46"/>
      <c r="J162" s="46"/>
      <c r="K162" s="44"/>
      <c r="L162" s="44"/>
      <c r="M162" s="264">
        <f>LOOKUP($B159, CEFF!$C$163:$C$330, CEFF!F$163:F$330)</f>
        <v>7.4069999999999997E-2</v>
      </c>
      <c r="N162" s="264">
        <f>LOOKUP($B159, CEFF!$C$163:$C$330, CEFF!G$163:G$330)</f>
        <v>7.5469999999999995E-2</v>
      </c>
      <c r="O162" s="264">
        <f>LOOKUP($B159, CEFF!$C$163:$C$330, CEFF!H$163:H$330)</f>
        <v>7.7670000000000003E-2</v>
      </c>
      <c r="P162" s="264">
        <f>LOOKUP($B159, CEFF!$C$163:$C$330, CEFF!I$163:I$330)</f>
        <v>7.9600000000000004E-2</v>
      </c>
      <c r="Q162" s="264">
        <f>LOOKUP($B159, CEFF!$C$163:$C$330, CEFF!J$163:J$330)</f>
        <v>8.1629999999999994E-2</v>
      </c>
      <c r="R162" s="45"/>
      <c r="S162" s="45"/>
      <c r="T162" s="45"/>
      <c r="U162" s="45"/>
      <c r="V162" s="46"/>
      <c r="W162" s="64"/>
      <c r="X162" s="45"/>
      <c r="Y162" s="45"/>
      <c r="Z162" s="45"/>
      <c r="AA162" s="45"/>
      <c r="AB162" s="45"/>
      <c r="AC162" s="45"/>
      <c r="AD162" s="45"/>
      <c r="AE162" s="45"/>
    </row>
    <row r="163" spans="2:31" s="39" customFormat="1" x14ac:dyDescent="0.3">
      <c r="B163" s="209" t="s">
        <v>409</v>
      </c>
      <c r="C163" s="208" t="str">
        <f>LOOKUP(B163, TRA_COMM_PRO!$C$7:$C$189, TRA_COMM_PRO!$D$7:$D$189)</f>
        <v>Truck.Medium.Plugin-Hybrid.GSL.01.</v>
      </c>
      <c r="D163" s="209" t="s">
        <v>40</v>
      </c>
      <c r="E163" s="209"/>
      <c r="F163" s="209"/>
      <c r="G163" s="10">
        <f>$G$117</f>
        <v>2019</v>
      </c>
      <c r="H163" s="40">
        <v>15</v>
      </c>
      <c r="I163" s="65">
        <f>$I$118</f>
        <v>1E-3</v>
      </c>
      <c r="J163" s="41">
        <f>J159</f>
        <v>2.7</v>
      </c>
      <c r="K163" s="42"/>
      <c r="L163" s="42">
        <v>0.05</v>
      </c>
      <c r="M163" s="263"/>
      <c r="N163" s="263"/>
      <c r="O163" s="263"/>
      <c r="P163" s="263"/>
      <c r="Q163" s="263"/>
      <c r="R163" s="40">
        <v>45</v>
      </c>
      <c r="S163" s="40"/>
      <c r="T163" s="40"/>
      <c r="U163" s="40"/>
      <c r="V163" s="41"/>
      <c r="W163" s="62">
        <f>LOOKUP(B163, FIXOM_VAROM!$C$8:$C$190, FIXOM_VAROM!$D$8:$D$190)</f>
        <v>100</v>
      </c>
      <c r="X163" s="40">
        <f>LOOKUP($B163, INVCOST!$C$8:$C$193, INVCOST!D$8:D$193)</f>
        <v>202.79999999999998</v>
      </c>
      <c r="Y163" s="40">
        <f>LOOKUP($B163, INVCOST!$C$8:$C$193, INVCOST!E$8:E$193)</f>
        <v>202.79999999999998</v>
      </c>
      <c r="Z163" s="40">
        <f>LOOKUP($B163, INVCOST!$C$8:$C$193, INVCOST!F$8:F$193)</f>
        <v>202.79999999999998</v>
      </c>
      <c r="AA163" s="40">
        <f>LOOKUP($B163, INVCOST!$C$8:$C$193, INVCOST!G$8:G$193)</f>
        <v>202.79999999999998</v>
      </c>
      <c r="AB163" s="40">
        <f>LOOKUP($B163, INVCOST!$C$8:$C$193, INVCOST!H$8:H$193)</f>
        <v>202.79999999999998</v>
      </c>
      <c r="AC163" s="40">
        <f>LOOKUP($B163, INVCOST!$C$8:$C$193, INVCOST!I$8:I$193)</f>
        <v>202.79999999999998</v>
      </c>
      <c r="AD163" s="40">
        <f>LOOKUP($B163, INVCOST!$C$8:$C$193, INVCOST!J$8:J$193)</f>
        <v>202.79999999999998</v>
      </c>
      <c r="AE163" s="40">
        <f>LOOKUP($B163, INVCOST!$C$8:$C$193, INVCOST!K$8:K$193)</f>
        <v>202.79999999999998</v>
      </c>
    </row>
    <row r="164" spans="2:31" s="39" customFormat="1" x14ac:dyDescent="0.3">
      <c r="B164" s="209"/>
      <c r="C164" s="208"/>
      <c r="D164" s="209" t="s">
        <v>39</v>
      </c>
      <c r="E164" s="209"/>
      <c r="F164" s="209"/>
      <c r="G164" s="10"/>
      <c r="H164" s="40"/>
      <c r="I164" s="65"/>
      <c r="J164" s="41"/>
      <c r="K164" s="42"/>
      <c r="L164" s="42"/>
      <c r="M164" s="263"/>
      <c r="N164" s="263"/>
      <c r="O164" s="263"/>
      <c r="P164" s="263"/>
      <c r="Q164" s="263"/>
      <c r="R164" s="40"/>
      <c r="S164" s="40"/>
      <c r="T164" s="40"/>
      <c r="U164" s="40"/>
      <c r="V164" s="41"/>
      <c r="W164" s="42"/>
      <c r="X164" s="40"/>
      <c r="Y164" s="40"/>
      <c r="Z164" s="40"/>
      <c r="AA164" s="40"/>
      <c r="AB164" s="40"/>
      <c r="AC164" s="40"/>
      <c r="AD164" s="40"/>
      <c r="AE164" s="40"/>
    </row>
    <row r="165" spans="2:31" s="39" customFormat="1" x14ac:dyDescent="0.3">
      <c r="B165" s="209"/>
      <c r="C165" s="209"/>
      <c r="D165" s="209"/>
      <c r="E165" s="209"/>
      <c r="F165" s="209" t="s">
        <v>364</v>
      </c>
      <c r="G165" s="50"/>
      <c r="H165" s="40"/>
      <c r="I165" s="41"/>
      <c r="J165" s="41"/>
      <c r="K165" s="42"/>
      <c r="L165" s="42"/>
      <c r="M165" s="263">
        <f>LOOKUP($B163, CEFF!$C$8:$C$156, CEFF!F$8:F$156)</f>
        <v>9.2439999999999994E-2</v>
      </c>
      <c r="N165" s="263">
        <f>LOOKUP($B163, CEFF!$C$8:$C$156, CEFF!G$8:G$156)</f>
        <v>9.3619999999999995E-2</v>
      </c>
      <c r="O165" s="263">
        <f>LOOKUP($B163, CEFF!$C$8:$C$156, CEFF!H$8:H$156)</f>
        <v>9.7350000000000006E-2</v>
      </c>
      <c r="P165" s="263">
        <f>LOOKUP($B163, CEFF!$C$8:$C$156, CEFF!I$8:I$156)</f>
        <v>0.1</v>
      </c>
      <c r="Q165" s="263">
        <f>LOOKUP($B163, CEFF!$C$8:$C$156, CEFF!J$8:J$156)</f>
        <v>0.1028</v>
      </c>
      <c r="R165" s="40"/>
      <c r="S165" s="40"/>
      <c r="T165" s="40"/>
      <c r="U165" s="40"/>
      <c r="V165" s="41"/>
      <c r="W165" s="41"/>
      <c r="X165" s="40"/>
      <c r="Y165" s="40"/>
      <c r="Z165" s="40"/>
      <c r="AA165" s="40"/>
      <c r="AB165" s="40"/>
      <c r="AC165" s="40"/>
      <c r="AD165" s="40"/>
      <c r="AE165" s="40"/>
    </row>
    <row r="166" spans="2:31" s="39" customFormat="1" x14ac:dyDescent="0.3">
      <c r="B166" s="213"/>
      <c r="C166" s="213"/>
      <c r="D166" s="213"/>
      <c r="E166" s="213"/>
      <c r="F166" s="213" t="s">
        <v>365</v>
      </c>
      <c r="G166" s="180"/>
      <c r="H166" s="181"/>
      <c r="I166" s="179"/>
      <c r="J166" s="179"/>
      <c r="K166" s="177"/>
      <c r="L166" s="177"/>
      <c r="M166" s="265">
        <f>LOOKUP($B163, CEFF!$C$163:$C$330, CEFF!F$163:F$330)</f>
        <v>6.7229999999999998E-2</v>
      </c>
      <c r="N166" s="265">
        <f>LOOKUP($B163, CEFF!$C$163:$C$330, CEFF!G$163:G$330)</f>
        <v>6.8089999999999998E-2</v>
      </c>
      <c r="O166" s="265">
        <f>LOOKUP($B163, CEFF!$C$163:$C$330, CEFF!H$163:H$330)</f>
        <v>7.0800000000000002E-2</v>
      </c>
      <c r="P166" s="265">
        <f>LOOKUP($B163, CEFF!$C$163:$C$330, CEFF!I$163:I$330)</f>
        <v>7.2730000000000003E-2</v>
      </c>
      <c r="Q166" s="265">
        <f>LOOKUP($B163, CEFF!$C$163:$C$330, CEFF!J$163:J$330)</f>
        <v>7.4770000000000003E-2</v>
      </c>
      <c r="R166" s="181"/>
      <c r="S166" s="181"/>
      <c r="T166" s="181"/>
      <c r="U166" s="181"/>
      <c r="V166" s="179"/>
      <c r="W166" s="179"/>
      <c r="X166" s="181"/>
      <c r="Y166" s="181"/>
      <c r="Z166" s="181"/>
      <c r="AA166" s="181"/>
      <c r="AB166" s="181"/>
      <c r="AC166" s="181"/>
      <c r="AD166" s="181"/>
      <c r="AE166" s="181"/>
    </row>
    <row r="167" spans="2:31" s="39" customFormat="1" x14ac:dyDescent="0.3">
      <c r="H167" s="36"/>
      <c r="I167" s="37"/>
      <c r="J167" s="38"/>
      <c r="K167" s="47"/>
      <c r="L167" s="47"/>
      <c r="M167" s="38"/>
      <c r="N167" s="38"/>
      <c r="O167" s="38"/>
      <c r="P167" s="38"/>
      <c r="Q167" s="38"/>
      <c r="R167" s="36"/>
      <c r="S167" s="36"/>
      <c r="T167" s="36"/>
      <c r="U167" s="36"/>
      <c r="V167" s="38"/>
      <c r="W167" s="38"/>
      <c r="X167" s="58"/>
      <c r="Y167" s="58"/>
      <c r="Z167" s="58"/>
      <c r="AA167" s="58"/>
      <c r="AB167" s="58"/>
      <c r="AC167" s="58"/>
      <c r="AD167" s="58"/>
      <c r="AE167" s="58"/>
    </row>
    <row r="168" spans="2:31" s="39" customFormat="1" x14ac:dyDescent="0.3">
      <c r="H168" s="36"/>
      <c r="I168" s="37"/>
      <c r="J168" s="38"/>
      <c r="K168" s="58"/>
      <c r="L168" s="58"/>
      <c r="M168" s="58"/>
      <c r="N168" s="58"/>
      <c r="O168" s="58"/>
      <c r="P168" s="58"/>
      <c r="Q168" s="58"/>
      <c r="R168" s="36"/>
      <c r="S168" s="36"/>
      <c r="T168" s="36"/>
      <c r="U168" s="36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</row>
    <row r="169" spans="2:31" x14ac:dyDescent="0.3">
      <c r="B169" s="6" t="s">
        <v>547</v>
      </c>
      <c r="C169" s="6"/>
      <c r="D169" s="8"/>
      <c r="E169" s="8"/>
      <c r="F169" s="9" t="s">
        <v>1</v>
      </c>
      <c r="G169" s="4"/>
    </row>
    <row r="170" spans="2:31" x14ac:dyDescent="0.3">
      <c r="B170" s="199" t="s">
        <v>2</v>
      </c>
      <c r="C170" s="199" t="s">
        <v>3</v>
      </c>
      <c r="D170" s="199" t="s">
        <v>4</v>
      </c>
      <c r="E170" s="199" t="s">
        <v>5</v>
      </c>
      <c r="F170" s="200" t="s">
        <v>6</v>
      </c>
      <c r="G170" s="200" t="s">
        <v>186</v>
      </c>
      <c r="H170" s="201" t="s">
        <v>185</v>
      </c>
      <c r="I170" s="201" t="s">
        <v>11</v>
      </c>
      <c r="J170" s="200" t="s">
        <v>12</v>
      </c>
      <c r="K170" s="200" t="s">
        <v>7</v>
      </c>
      <c r="L170" s="200" t="s">
        <v>8</v>
      </c>
      <c r="M170" s="201" t="s">
        <v>688</v>
      </c>
      <c r="N170" s="201" t="s">
        <v>321</v>
      </c>
      <c r="O170" s="201" t="s">
        <v>322</v>
      </c>
      <c r="P170" s="201" t="s">
        <v>9</v>
      </c>
      <c r="Q170" s="201" t="s">
        <v>10</v>
      </c>
      <c r="R170" s="201" t="s">
        <v>687</v>
      </c>
      <c r="S170" s="201" t="s">
        <v>448</v>
      </c>
      <c r="T170" s="201" t="s">
        <v>13</v>
      </c>
      <c r="U170" s="201" t="s">
        <v>382</v>
      </c>
      <c r="V170" s="201" t="s">
        <v>42</v>
      </c>
      <c r="W170" s="201" t="s">
        <v>14</v>
      </c>
      <c r="X170" s="201" t="s">
        <v>381</v>
      </c>
      <c r="Y170" s="201" t="s">
        <v>15</v>
      </c>
      <c r="Z170" s="201" t="s">
        <v>16</v>
      </c>
      <c r="AA170" s="201" t="s">
        <v>17</v>
      </c>
      <c r="AB170" s="201" t="s">
        <v>18</v>
      </c>
      <c r="AC170" s="201" t="s">
        <v>19</v>
      </c>
      <c r="AD170" s="201" t="s">
        <v>20</v>
      </c>
      <c r="AE170" s="201" t="s">
        <v>21</v>
      </c>
    </row>
    <row r="171" spans="2:31" ht="33.75" customHeight="1" thickBot="1" x14ac:dyDescent="0.35">
      <c r="B171" s="202" t="s">
        <v>22</v>
      </c>
      <c r="C171" s="202"/>
      <c r="D171" s="202"/>
      <c r="E171" s="202"/>
      <c r="F171" s="203" t="s">
        <v>23</v>
      </c>
      <c r="G171" s="203">
        <v>2019</v>
      </c>
      <c r="H171" s="204" t="s">
        <v>26</v>
      </c>
      <c r="I171" s="204" t="s">
        <v>639</v>
      </c>
      <c r="J171" s="204" t="s">
        <v>126</v>
      </c>
      <c r="K171" s="203"/>
      <c r="L171" s="203"/>
      <c r="M171" s="205" t="s">
        <v>653</v>
      </c>
      <c r="N171" s="205" t="s">
        <v>653</v>
      </c>
      <c r="O171" s="205" t="s">
        <v>653</v>
      </c>
      <c r="P171" s="205" t="s">
        <v>653</v>
      </c>
      <c r="Q171" s="205" t="s">
        <v>653</v>
      </c>
      <c r="R171" s="204" t="s">
        <v>658</v>
      </c>
      <c r="S171" s="204" t="s">
        <v>658</v>
      </c>
      <c r="T171" s="204" t="s">
        <v>658</v>
      </c>
      <c r="U171" s="204" t="s">
        <v>658</v>
      </c>
      <c r="V171" s="206" t="s">
        <v>662</v>
      </c>
      <c r="W171" s="206" t="s">
        <v>661</v>
      </c>
      <c r="X171" s="206" t="s">
        <v>657</v>
      </c>
      <c r="Y171" s="206" t="s">
        <v>657</v>
      </c>
      <c r="Z171" s="206" t="s">
        <v>657</v>
      </c>
      <c r="AA171" s="206" t="s">
        <v>657</v>
      </c>
      <c r="AB171" s="206" t="s">
        <v>657</v>
      </c>
      <c r="AC171" s="206" t="s">
        <v>657</v>
      </c>
      <c r="AD171" s="206" t="s">
        <v>657</v>
      </c>
      <c r="AE171" s="206" t="s">
        <v>657</v>
      </c>
    </row>
    <row r="172" spans="2:31" s="39" customFormat="1" x14ac:dyDescent="0.3">
      <c r="B172" s="207" t="s">
        <v>427</v>
      </c>
      <c r="C172" s="208" t="str">
        <f>LOOKUP(B172, TRA_COMM_PRO!$C$7:$C$189, TRA_COMM_PRO!$D$7:$D$189)</f>
        <v>Truck.Medium.BDL.City.01.</v>
      </c>
      <c r="D172" s="207" t="s">
        <v>44</v>
      </c>
      <c r="E172" s="207"/>
      <c r="F172" s="207"/>
      <c r="G172" s="10">
        <f>$G$117</f>
        <v>2019</v>
      </c>
      <c r="H172" s="71">
        <v>15</v>
      </c>
      <c r="I172" s="156">
        <f>10^-3</f>
        <v>1E-3</v>
      </c>
      <c r="J172" s="72">
        <v>2.7</v>
      </c>
      <c r="K172" s="73"/>
      <c r="L172" s="73"/>
      <c r="M172" s="43"/>
      <c r="N172" s="43"/>
      <c r="O172" s="43"/>
      <c r="P172" s="43"/>
      <c r="Q172" s="43"/>
      <c r="R172" s="71">
        <v>45</v>
      </c>
      <c r="S172" s="71"/>
      <c r="T172" s="71"/>
      <c r="U172" s="71"/>
      <c r="V172" s="72"/>
      <c r="W172" s="62">
        <f>LOOKUP(B172, FIXOM_VAROM!$C$8:$C$190, FIXOM_VAROM!$D$8:$D$190)</f>
        <v>100</v>
      </c>
      <c r="X172" s="40">
        <f>LOOKUP($B172, INVCOST!$C$8:$C$193, INVCOST!D$8:D$193)</f>
        <v>141</v>
      </c>
      <c r="Y172" s="40">
        <f>LOOKUP($B172, INVCOST!$C$8:$C$193, INVCOST!E$8:E$193)</f>
        <v>141</v>
      </c>
      <c r="Z172" s="40">
        <f>LOOKUP($B172, INVCOST!$C$8:$C$193, INVCOST!F$8:F$193)</f>
        <v>141</v>
      </c>
      <c r="AA172" s="40">
        <f>LOOKUP($B172, INVCOST!$C$8:$C$193, INVCOST!G$8:G$193)</f>
        <v>141</v>
      </c>
      <c r="AB172" s="40">
        <f>LOOKUP($B172, INVCOST!$C$8:$C$193, INVCOST!H$8:H$193)</f>
        <v>141</v>
      </c>
      <c r="AC172" s="40">
        <f>LOOKUP($B172, INVCOST!$C$8:$C$193, INVCOST!I$8:I$193)</f>
        <v>141</v>
      </c>
      <c r="AD172" s="40">
        <f>LOOKUP($B172, INVCOST!$C$8:$C$193, INVCOST!J$8:J$193)</f>
        <v>141</v>
      </c>
      <c r="AE172" s="40">
        <f>LOOKUP($B172, INVCOST!$C$8:$C$193, INVCOST!K$8:K$193)</f>
        <v>141</v>
      </c>
    </row>
    <row r="173" spans="2:31" s="39" customFormat="1" x14ac:dyDescent="0.3">
      <c r="B173" s="209"/>
      <c r="C173" s="209"/>
      <c r="D173" s="209"/>
      <c r="E173" s="209"/>
      <c r="F173" s="209" t="s">
        <v>478</v>
      </c>
      <c r="G173" s="50"/>
      <c r="H173" s="40"/>
      <c r="I173" s="41"/>
      <c r="J173" s="41"/>
      <c r="K173" s="42"/>
      <c r="L173" s="42"/>
      <c r="M173" s="263">
        <f>LOOKUP($B172, CEFF!$C$8:$C$156, CEFF!F$8:F$156)</f>
        <v>0.10185</v>
      </c>
      <c r="N173" s="263">
        <f>LOOKUP($B172, CEFF!$C$8:$C$156, CEFF!G$8:G$156)</f>
        <v>0.10377</v>
      </c>
      <c r="O173" s="263">
        <f>LOOKUP($B172, CEFF!$C$8:$C$156, CEFF!H$8:H$156)</f>
        <v>0.10680000000000001</v>
      </c>
      <c r="P173" s="263">
        <f>LOOKUP($B172, CEFF!$C$8:$C$156, CEFF!I$8:I$156)</f>
        <v>0.10945000000000001</v>
      </c>
      <c r="Q173" s="263">
        <f>LOOKUP($B172, CEFF!$C$8:$C$156, CEFF!J$8:J$156)</f>
        <v>0.11224000000000001</v>
      </c>
      <c r="R173" s="40"/>
      <c r="S173" s="40"/>
      <c r="T173" s="40"/>
      <c r="U173" s="40"/>
      <c r="V173" s="41"/>
      <c r="W173" s="60"/>
      <c r="X173" s="40"/>
      <c r="Y173" s="40"/>
      <c r="Z173" s="40"/>
      <c r="AA173" s="40"/>
      <c r="AB173" s="40"/>
      <c r="AC173" s="40"/>
      <c r="AD173" s="40"/>
      <c r="AE173" s="40"/>
    </row>
    <row r="174" spans="2:31" s="39" customFormat="1" x14ac:dyDescent="0.3">
      <c r="B174" s="210"/>
      <c r="C174" s="210"/>
      <c r="D174" s="210"/>
      <c r="E174" s="210"/>
      <c r="F174" s="210" t="s">
        <v>486</v>
      </c>
      <c r="G174" s="51"/>
      <c r="H174" s="45"/>
      <c r="I174" s="46"/>
      <c r="J174" s="46"/>
      <c r="K174" s="44"/>
      <c r="L174" s="44"/>
      <c r="M174" s="264">
        <f>LOOKUP($B172, CEFF!$C$163:$C$330, CEFF!F$163:F$330)</f>
        <v>7.4069999999999997E-2</v>
      </c>
      <c r="N174" s="264">
        <f>LOOKUP($B172, CEFF!$C$163:$C$330, CEFF!G$163:G$330)</f>
        <v>7.5469999999999995E-2</v>
      </c>
      <c r="O174" s="264">
        <f>LOOKUP($B172, CEFF!$C$163:$C$330, CEFF!H$163:H$330)</f>
        <v>7.7670000000000003E-2</v>
      </c>
      <c r="P174" s="264">
        <f>LOOKUP($B172, CEFF!$C$163:$C$330, CEFF!I$163:I$330)</f>
        <v>7.9600000000000004E-2</v>
      </c>
      <c r="Q174" s="264">
        <f>LOOKUP($B172, CEFF!$C$163:$C$330, CEFF!J$163:J$330)</f>
        <v>8.1629999999999994E-2</v>
      </c>
      <c r="R174" s="45"/>
      <c r="S174" s="45"/>
      <c r="T174" s="45"/>
      <c r="U174" s="45"/>
      <c r="V174" s="46"/>
      <c r="W174" s="64"/>
      <c r="X174" s="45"/>
      <c r="Y174" s="45"/>
      <c r="Z174" s="45"/>
      <c r="AA174" s="45"/>
      <c r="AB174" s="45"/>
      <c r="AC174" s="45"/>
      <c r="AD174" s="45"/>
      <c r="AE174" s="45"/>
    </row>
    <row r="175" spans="2:31" s="39" customFormat="1" x14ac:dyDescent="0.3">
      <c r="B175" s="209" t="s">
        <v>428</v>
      </c>
      <c r="C175" s="208" t="str">
        <f>LOOKUP(B175, TRA_COMM_PRO!$C$7:$C$189, TRA_COMM_PRO!$D$7:$D$189)</f>
        <v>Truck.Medium.DME.City.01.</v>
      </c>
      <c r="D175" s="209" t="s">
        <v>71</v>
      </c>
      <c r="E175" s="209"/>
      <c r="F175" s="209"/>
      <c r="G175" s="10">
        <f>$G$117</f>
        <v>2019</v>
      </c>
      <c r="H175" s="40">
        <v>15</v>
      </c>
      <c r="I175" s="65">
        <f>$I$118</f>
        <v>1E-3</v>
      </c>
      <c r="J175" s="41">
        <f>J172</f>
        <v>2.7</v>
      </c>
      <c r="K175" s="42"/>
      <c r="L175" s="42"/>
      <c r="M175" s="263"/>
      <c r="N175" s="263"/>
      <c r="O175" s="263"/>
      <c r="P175" s="263"/>
      <c r="Q175" s="263"/>
      <c r="R175" s="40">
        <v>45</v>
      </c>
      <c r="S175" s="40"/>
      <c r="T175" s="40"/>
      <c r="U175" s="40"/>
      <c r="V175" s="41"/>
      <c r="W175" s="62">
        <f>LOOKUP(B175, FIXOM_VAROM!$C$8:$C$190, FIXOM_VAROM!$D$8:$D$190)</f>
        <v>100</v>
      </c>
      <c r="X175" s="40">
        <f>LOOKUP($B175, INVCOST!$C$8:$C$193, INVCOST!D$8:D$193)</f>
        <v>169</v>
      </c>
      <c r="Y175" s="40">
        <f>LOOKUP($B175, INVCOST!$C$8:$C$193, INVCOST!E$8:E$193)</f>
        <v>169</v>
      </c>
      <c r="Z175" s="40">
        <f>LOOKUP($B175, INVCOST!$C$8:$C$193, INVCOST!F$8:F$193)</f>
        <v>169</v>
      </c>
      <c r="AA175" s="40">
        <f>LOOKUP($B175, INVCOST!$C$8:$C$193, INVCOST!G$8:G$193)</f>
        <v>169</v>
      </c>
      <c r="AB175" s="40">
        <f>LOOKUP($B175, INVCOST!$C$8:$C$193, INVCOST!H$8:H$193)</f>
        <v>169</v>
      </c>
      <c r="AC175" s="40">
        <f>LOOKUP($B175, INVCOST!$C$8:$C$193, INVCOST!I$8:I$193)</f>
        <v>169</v>
      </c>
      <c r="AD175" s="40">
        <f>LOOKUP($B175, INVCOST!$C$8:$C$193, INVCOST!J$8:J$193)</f>
        <v>169</v>
      </c>
      <c r="AE175" s="40">
        <f>LOOKUP($B175, INVCOST!$C$8:$C$193, INVCOST!K$8:K$193)</f>
        <v>169</v>
      </c>
    </row>
    <row r="176" spans="2:31" s="39" customFormat="1" x14ac:dyDescent="0.3">
      <c r="B176" s="209"/>
      <c r="C176" s="211"/>
      <c r="D176" s="209"/>
      <c r="E176" s="209"/>
      <c r="F176" s="209" t="s">
        <v>478</v>
      </c>
      <c r="G176" s="50"/>
      <c r="H176" s="40"/>
      <c r="I176" s="41"/>
      <c r="J176" s="41"/>
      <c r="K176" s="42"/>
      <c r="L176" s="42"/>
      <c r="M176" s="263">
        <f>LOOKUP($B175, CEFF!$C$8:$C$156, CEFF!F$8:F$156)</f>
        <v>0.10185</v>
      </c>
      <c r="N176" s="263">
        <f>LOOKUP($B175, CEFF!$C$8:$C$156, CEFF!G$8:G$156)</f>
        <v>0.10377</v>
      </c>
      <c r="O176" s="263">
        <f>LOOKUP($B175, CEFF!$C$8:$C$156, CEFF!H$8:H$156)</f>
        <v>0.10680000000000001</v>
      </c>
      <c r="P176" s="263">
        <f>LOOKUP($B175, CEFF!$C$8:$C$156, CEFF!I$8:I$156)</f>
        <v>0.10945000000000001</v>
      </c>
      <c r="Q176" s="263">
        <f>LOOKUP($B175, CEFF!$C$8:$C$156, CEFF!J$8:J$156)</f>
        <v>0.11224000000000001</v>
      </c>
      <c r="R176" s="40"/>
      <c r="S176" s="40"/>
      <c r="T176" s="40"/>
      <c r="U176" s="40"/>
      <c r="V176" s="41"/>
      <c r="W176" s="60"/>
      <c r="X176" s="40"/>
      <c r="Y176" s="40"/>
      <c r="Z176" s="40"/>
      <c r="AA176" s="40"/>
      <c r="AB176" s="40"/>
      <c r="AC176" s="40"/>
      <c r="AD176" s="40"/>
      <c r="AE176" s="40"/>
    </row>
    <row r="177" spans="2:31" s="39" customFormat="1" x14ac:dyDescent="0.3">
      <c r="B177" s="210"/>
      <c r="C177" s="210"/>
      <c r="D177" s="210"/>
      <c r="E177" s="210"/>
      <c r="F177" s="210" t="s">
        <v>486</v>
      </c>
      <c r="G177" s="51"/>
      <c r="H177" s="45"/>
      <c r="I177" s="46"/>
      <c r="J177" s="46"/>
      <c r="K177" s="44"/>
      <c r="L177" s="44"/>
      <c r="M177" s="264">
        <f>LOOKUP($B175, CEFF!$C$163:$C$330, CEFF!F$163:F$330)</f>
        <v>7.4069999999999997E-2</v>
      </c>
      <c r="N177" s="264">
        <f>LOOKUP($B175, CEFF!$C$163:$C$330, CEFF!G$163:G$330)</f>
        <v>7.5469999999999995E-2</v>
      </c>
      <c r="O177" s="264">
        <f>LOOKUP($B175, CEFF!$C$163:$C$330, CEFF!H$163:H$330)</f>
        <v>7.7670000000000003E-2</v>
      </c>
      <c r="P177" s="264">
        <f>LOOKUP($B175, CEFF!$C$163:$C$330, CEFF!I$163:I$330)</f>
        <v>7.9600000000000004E-2</v>
      </c>
      <c r="Q177" s="264">
        <f>LOOKUP($B175, CEFF!$C$163:$C$330, CEFF!J$163:J$330)</f>
        <v>8.1629999999999994E-2</v>
      </c>
      <c r="R177" s="45"/>
      <c r="S177" s="45"/>
      <c r="T177" s="45"/>
      <c r="U177" s="45"/>
      <c r="V177" s="46"/>
      <c r="W177" s="64"/>
      <c r="X177" s="45"/>
      <c r="Y177" s="45"/>
      <c r="Z177" s="45"/>
      <c r="AA177" s="45"/>
      <c r="AB177" s="45"/>
      <c r="AC177" s="45"/>
      <c r="AD177" s="45"/>
      <c r="AE177" s="45"/>
    </row>
    <row r="178" spans="2:31" s="39" customFormat="1" x14ac:dyDescent="0.3">
      <c r="B178" s="209" t="s">
        <v>429</v>
      </c>
      <c r="C178" s="208" t="str">
        <f>LOOKUP(B178, TRA_COMM_PRO!$C$7:$C$189, TRA_COMM_PRO!$D$7:$D$189)</f>
        <v>Truck.Medium.DST.City.01.</v>
      </c>
      <c r="D178" s="209" t="s">
        <v>44</v>
      </c>
      <c r="E178" s="209"/>
      <c r="F178" s="209"/>
      <c r="G178" s="10">
        <f>$G$117</f>
        <v>2019</v>
      </c>
      <c r="H178" s="40">
        <v>15</v>
      </c>
      <c r="I178" s="65">
        <f>$I$118</f>
        <v>1E-3</v>
      </c>
      <c r="J178" s="41">
        <f>J175</f>
        <v>2.7</v>
      </c>
      <c r="K178" s="42"/>
      <c r="L178" s="42"/>
      <c r="M178" s="263"/>
      <c r="N178" s="263"/>
      <c r="O178" s="263"/>
      <c r="P178" s="263"/>
      <c r="Q178" s="263"/>
      <c r="R178" s="40">
        <v>45</v>
      </c>
      <c r="S178" s="40"/>
      <c r="T178" s="40"/>
      <c r="U178" s="40"/>
      <c r="V178" s="41"/>
      <c r="W178" s="62">
        <f>LOOKUP(B178, FIXOM_VAROM!$C$8:$C$190, FIXOM_VAROM!$D$8:$D$190)</f>
        <v>100</v>
      </c>
      <c r="X178" s="40">
        <f>LOOKUP($B178, INVCOST!$C$8:$C$193, INVCOST!D$8:D$193)</f>
        <v>141</v>
      </c>
      <c r="Y178" s="40">
        <f>LOOKUP($B178, INVCOST!$C$8:$C$193, INVCOST!E$8:E$193)</f>
        <v>141</v>
      </c>
      <c r="Z178" s="40">
        <f>LOOKUP($B178, INVCOST!$C$8:$C$193, INVCOST!F$8:F$193)</f>
        <v>141</v>
      </c>
      <c r="AA178" s="40">
        <f>LOOKUP($B178, INVCOST!$C$8:$C$193, INVCOST!G$8:G$193)</f>
        <v>141</v>
      </c>
      <c r="AB178" s="40">
        <f>LOOKUP($B178, INVCOST!$C$8:$C$193, INVCOST!H$8:H$193)</f>
        <v>141</v>
      </c>
      <c r="AC178" s="40">
        <f>LOOKUP($B178, INVCOST!$C$8:$C$193, INVCOST!I$8:I$193)</f>
        <v>141</v>
      </c>
      <c r="AD178" s="40">
        <f>LOOKUP($B178, INVCOST!$C$8:$C$193, INVCOST!J$8:J$193)</f>
        <v>141</v>
      </c>
      <c r="AE178" s="40">
        <f>LOOKUP($B178, INVCOST!$C$8:$C$193, INVCOST!K$8:K$193)</f>
        <v>141</v>
      </c>
    </row>
    <row r="179" spans="2:31" s="39" customFormat="1" x14ac:dyDescent="0.3">
      <c r="B179" s="209"/>
      <c r="C179" s="209"/>
      <c r="D179" s="209" t="s">
        <v>48</v>
      </c>
      <c r="E179" s="209"/>
      <c r="F179" s="209"/>
      <c r="G179" s="50"/>
      <c r="H179" s="40"/>
      <c r="I179" s="41"/>
      <c r="J179" s="41"/>
      <c r="K179" s="42"/>
      <c r="L179" s="42"/>
      <c r="M179" s="266"/>
      <c r="N179" s="266"/>
      <c r="O179" s="266"/>
      <c r="P179" s="266"/>
      <c r="Q179" s="266"/>
      <c r="R179" s="40"/>
      <c r="S179" s="40"/>
      <c r="T179" s="40"/>
      <c r="U179" s="40"/>
      <c r="V179" s="41"/>
      <c r="W179" s="60"/>
      <c r="X179" s="40"/>
      <c r="Y179" s="40"/>
      <c r="Z179" s="40"/>
      <c r="AA179" s="40"/>
      <c r="AB179" s="40"/>
      <c r="AC179" s="40"/>
      <c r="AD179" s="40"/>
      <c r="AE179" s="40"/>
    </row>
    <row r="180" spans="2:31" s="39" customFormat="1" x14ac:dyDescent="0.3">
      <c r="B180" s="209"/>
      <c r="C180" s="209"/>
      <c r="D180" s="209"/>
      <c r="E180" s="209"/>
      <c r="F180" s="209" t="s">
        <v>478</v>
      </c>
      <c r="G180" s="50"/>
      <c r="H180" s="40"/>
      <c r="I180" s="41"/>
      <c r="J180" s="41"/>
      <c r="K180" s="42"/>
      <c r="L180" s="42"/>
      <c r="M180" s="263">
        <f>LOOKUP($B178, CEFF!$C$8:$C$156, CEFF!F$8:F$156)</f>
        <v>0.10185</v>
      </c>
      <c r="N180" s="263">
        <f>LOOKUP($B178, CEFF!$C$8:$C$156, CEFF!G$8:G$156)</f>
        <v>0.10377</v>
      </c>
      <c r="O180" s="263">
        <f>LOOKUP($B178, CEFF!$C$8:$C$156, CEFF!H$8:H$156)</f>
        <v>0.10680000000000001</v>
      </c>
      <c r="P180" s="263">
        <f>LOOKUP($B178, CEFF!$C$8:$C$156, CEFF!I$8:I$156)</f>
        <v>0.10945000000000001</v>
      </c>
      <c r="Q180" s="263">
        <f>LOOKUP($B178, CEFF!$C$8:$C$156, CEFF!J$8:J$156)</f>
        <v>0.11224000000000001</v>
      </c>
      <c r="R180" s="40"/>
      <c r="S180" s="40"/>
      <c r="T180" s="40"/>
      <c r="U180" s="40"/>
      <c r="V180" s="41"/>
      <c r="W180" s="60"/>
      <c r="X180" s="40"/>
      <c r="Y180" s="40"/>
      <c r="Z180" s="40"/>
      <c r="AA180" s="40"/>
      <c r="AB180" s="40"/>
      <c r="AC180" s="40"/>
      <c r="AD180" s="40"/>
      <c r="AE180" s="40"/>
    </row>
    <row r="181" spans="2:31" s="39" customFormat="1" x14ac:dyDescent="0.3">
      <c r="B181" s="209"/>
      <c r="C181" s="209"/>
      <c r="D181" s="209"/>
      <c r="E181" s="209"/>
      <c r="F181" s="210" t="s">
        <v>486</v>
      </c>
      <c r="G181" s="51"/>
      <c r="H181" s="40"/>
      <c r="I181" s="46"/>
      <c r="J181" s="46"/>
      <c r="K181" s="42"/>
      <c r="L181" s="42"/>
      <c r="M181" s="264">
        <f>LOOKUP($B178, CEFF!$C$163:$C$330, CEFF!F$163:F$330)</f>
        <v>7.4069999999999997E-2</v>
      </c>
      <c r="N181" s="264">
        <f>LOOKUP($B178, CEFF!$C$163:$C$330, CEFF!G$163:G$330)</f>
        <v>7.5469999999999995E-2</v>
      </c>
      <c r="O181" s="264">
        <f>LOOKUP($B178, CEFF!$C$163:$C$330, CEFF!H$163:H$330)</f>
        <v>7.7670000000000003E-2</v>
      </c>
      <c r="P181" s="264">
        <f>LOOKUP($B178, CEFF!$C$163:$C$330, CEFF!I$163:I$330)</f>
        <v>7.9600000000000004E-2</v>
      </c>
      <c r="Q181" s="264">
        <f>LOOKUP($B178, CEFF!$C$163:$C$330, CEFF!J$163:J$330)</f>
        <v>8.1629999999999994E-2</v>
      </c>
      <c r="R181" s="40"/>
      <c r="S181" s="40"/>
      <c r="T181" s="40"/>
      <c r="U181" s="40"/>
      <c r="V181" s="41"/>
      <c r="W181" s="60"/>
      <c r="X181" s="45"/>
      <c r="Y181" s="45"/>
      <c r="Z181" s="45"/>
      <c r="AA181" s="45"/>
      <c r="AB181" s="45"/>
      <c r="AC181" s="45"/>
      <c r="AD181" s="45"/>
      <c r="AE181" s="45"/>
    </row>
    <row r="182" spans="2:31" s="74" customFormat="1" x14ac:dyDescent="0.3">
      <c r="B182" s="212" t="s">
        <v>430</v>
      </c>
      <c r="C182" s="212" t="str">
        <f>LOOKUP(B182, TRA_COMM_PRO!$C$7:$C$189, TRA_COMM_PRO!$D$7:$D$189)</f>
        <v>Truck.Medium.ELC.City.01.</v>
      </c>
      <c r="D182" s="212" t="s">
        <v>27</v>
      </c>
      <c r="E182" s="212"/>
      <c r="F182" s="212"/>
      <c r="G182" s="10">
        <f>$G$117</f>
        <v>2019</v>
      </c>
      <c r="H182" s="54">
        <v>8</v>
      </c>
      <c r="I182" s="65">
        <f>$I$118</f>
        <v>1E-3</v>
      </c>
      <c r="J182" s="41">
        <f>J178</f>
        <v>2.7</v>
      </c>
      <c r="K182" s="56"/>
      <c r="L182" s="56"/>
      <c r="M182" s="263"/>
      <c r="N182" s="263"/>
      <c r="O182" s="263"/>
      <c r="P182" s="263"/>
      <c r="Q182" s="263"/>
      <c r="R182" s="54">
        <v>45</v>
      </c>
      <c r="S182" s="54"/>
      <c r="T182" s="54"/>
      <c r="U182" s="54"/>
      <c r="V182" s="55"/>
      <c r="W182" s="62">
        <f>LOOKUP(B182, FIXOM_VAROM!$C$8:$C$190, FIXOM_VAROM!$D$8:$D$190)</f>
        <v>80.000000000000014</v>
      </c>
      <c r="X182" s="40">
        <f>LOOKUP($B182, INVCOST!$C$8:$C$193, INVCOST!D$8:D$193)</f>
        <v>219</v>
      </c>
      <c r="Y182" s="40">
        <f>LOOKUP($B182, INVCOST!$C$8:$C$193, INVCOST!E$8:E$193)</f>
        <v>216</v>
      </c>
      <c r="Z182" s="40">
        <f>LOOKUP($B182, INVCOST!$C$8:$C$193, INVCOST!F$8:F$193)</f>
        <v>213</v>
      </c>
      <c r="AA182" s="40">
        <f>LOOKUP($B182, INVCOST!$C$8:$C$193, INVCOST!G$8:G$193)</f>
        <v>210</v>
      </c>
      <c r="AB182" s="40">
        <f>LOOKUP($B182, INVCOST!$C$8:$C$193, INVCOST!H$8:H$193)</f>
        <v>206</v>
      </c>
      <c r="AC182" s="40">
        <f>LOOKUP($B182, INVCOST!$C$8:$C$193, INVCOST!I$8:I$193)</f>
        <v>203</v>
      </c>
      <c r="AD182" s="40">
        <f>LOOKUP($B182, INVCOST!$C$8:$C$193, INVCOST!J$8:J$193)</f>
        <v>200</v>
      </c>
      <c r="AE182" s="40">
        <f>LOOKUP($B182, INVCOST!$C$8:$C$193, INVCOST!K$8:K$193)</f>
        <v>197</v>
      </c>
    </row>
    <row r="183" spans="2:31" s="39" customFormat="1" x14ac:dyDescent="0.3">
      <c r="B183" s="209"/>
      <c r="C183" s="209"/>
      <c r="D183" s="209"/>
      <c r="E183" s="209"/>
      <c r="F183" s="209" t="s">
        <v>478</v>
      </c>
      <c r="G183" s="10"/>
      <c r="H183" s="40"/>
      <c r="I183" s="41"/>
      <c r="J183" s="41"/>
      <c r="K183" s="42"/>
      <c r="L183" s="42"/>
      <c r="M183" s="263">
        <f>LOOKUP($B182, CEFF!$C$8:$C$156, CEFF!F$8:F$156)</f>
        <v>90.909090000000006</v>
      </c>
      <c r="N183" s="263">
        <f>LOOKUP($B182, CEFF!$C$8:$C$156, CEFF!G$8:G$156)</f>
        <v>90.909090000000006</v>
      </c>
      <c r="O183" s="263">
        <f>LOOKUP($B182, CEFF!$C$8:$C$156, CEFF!H$8:H$156)</f>
        <v>90.909090000000006</v>
      </c>
      <c r="P183" s="263">
        <f>LOOKUP($B182, CEFF!$C$8:$C$156, CEFF!I$8:I$156)</f>
        <v>90.909090000000006</v>
      </c>
      <c r="Q183" s="263">
        <f>LOOKUP($B182, CEFF!$C$8:$C$156, CEFF!J$8:J$156)</f>
        <v>90.909090000000006</v>
      </c>
      <c r="R183" s="40"/>
      <c r="S183" s="40"/>
      <c r="T183" s="40"/>
      <c r="U183" s="40"/>
      <c r="V183" s="41"/>
      <c r="W183" s="60"/>
      <c r="X183" s="40"/>
      <c r="Y183" s="40"/>
      <c r="Z183" s="40"/>
      <c r="AA183" s="40"/>
      <c r="AB183" s="40"/>
      <c r="AC183" s="40"/>
      <c r="AD183" s="40"/>
      <c r="AE183" s="40"/>
    </row>
    <row r="184" spans="2:31" s="75" customFormat="1" x14ac:dyDescent="0.3">
      <c r="B184" s="210"/>
      <c r="C184" s="210"/>
      <c r="D184" s="210"/>
      <c r="E184" s="210"/>
      <c r="F184" s="210" t="s">
        <v>486</v>
      </c>
      <c r="G184" s="51"/>
      <c r="H184" s="45"/>
      <c r="I184" s="46"/>
      <c r="J184" s="46"/>
      <c r="K184" s="44"/>
      <c r="L184" s="44"/>
      <c r="M184" s="264">
        <f>LOOKUP($B182, CEFF!$C$163:$C$330, CEFF!F$163:F$330)</f>
        <v>0.17985999999999999</v>
      </c>
      <c r="N184" s="264">
        <f>LOOKUP($B182, CEFF!$C$163:$C$330, CEFF!G$163:G$330)</f>
        <v>0.17985999999999999</v>
      </c>
      <c r="O184" s="264">
        <f>LOOKUP($B182, CEFF!$C$163:$C$330, CEFF!H$163:H$330)</f>
        <v>0.18970999999999999</v>
      </c>
      <c r="P184" s="264">
        <f>LOOKUP($B182, CEFF!$C$163:$C$330, CEFF!I$163:I$330)</f>
        <v>0.19783999999999999</v>
      </c>
      <c r="Q184" s="264">
        <f>LOOKUP($B182, CEFF!$C$163:$C$330, CEFF!J$163:J$330)</f>
        <v>0.20982999999999999</v>
      </c>
      <c r="R184" s="45"/>
      <c r="S184" s="45"/>
      <c r="T184" s="45"/>
      <c r="U184" s="45"/>
      <c r="V184" s="46"/>
      <c r="W184" s="64"/>
      <c r="X184" s="45"/>
      <c r="Y184" s="45"/>
      <c r="Z184" s="45"/>
      <c r="AA184" s="45"/>
      <c r="AB184" s="45"/>
      <c r="AC184" s="45"/>
      <c r="AD184" s="45"/>
      <c r="AE184" s="45"/>
    </row>
    <row r="185" spans="2:31" s="39" customFormat="1" x14ac:dyDescent="0.3">
      <c r="B185" s="209" t="s">
        <v>431</v>
      </c>
      <c r="C185" s="208" t="str">
        <f>LOOKUP(B185, TRA_COMM_PRO!$C$7:$C$189, TRA_COMM_PRO!$D$7:$D$189)</f>
        <v>Truck.Medium.ETH.City.01.</v>
      </c>
      <c r="D185" s="209" t="s">
        <v>51</v>
      </c>
      <c r="E185" s="209"/>
      <c r="F185" s="209"/>
      <c r="G185" s="10">
        <f>$G$117</f>
        <v>2019</v>
      </c>
      <c r="H185" s="40">
        <v>15</v>
      </c>
      <c r="I185" s="65">
        <f>$I$118</f>
        <v>1E-3</v>
      </c>
      <c r="J185" s="41">
        <f>J182</f>
        <v>2.7</v>
      </c>
      <c r="K185" s="42"/>
      <c r="L185" s="42"/>
      <c r="M185" s="263"/>
      <c r="N185" s="263"/>
      <c r="O185" s="263"/>
      <c r="P185" s="263"/>
      <c r="Q185" s="263"/>
      <c r="R185" s="40">
        <v>45</v>
      </c>
      <c r="S185" s="40"/>
      <c r="T185" s="40"/>
      <c r="U185" s="40"/>
      <c r="V185" s="41"/>
      <c r="W185" s="62">
        <f>LOOKUP(B185, FIXOM_VAROM!$C$8:$C$190, FIXOM_VAROM!$D$8:$D$190)</f>
        <v>100</v>
      </c>
      <c r="X185" s="40">
        <f>LOOKUP($B185, INVCOST!$C$8:$C$193, INVCOST!D$8:D$193)</f>
        <v>169</v>
      </c>
      <c r="Y185" s="40">
        <f>LOOKUP($B185, INVCOST!$C$8:$C$193, INVCOST!E$8:E$193)</f>
        <v>169</v>
      </c>
      <c r="Z185" s="40">
        <f>LOOKUP($B185, INVCOST!$C$8:$C$193, INVCOST!F$8:F$193)</f>
        <v>169</v>
      </c>
      <c r="AA185" s="40">
        <f>LOOKUP($B185, INVCOST!$C$8:$C$193, INVCOST!G$8:G$193)</f>
        <v>169</v>
      </c>
      <c r="AB185" s="40">
        <f>LOOKUP($B185, INVCOST!$C$8:$C$193, INVCOST!H$8:H$193)</f>
        <v>169</v>
      </c>
      <c r="AC185" s="40">
        <f>LOOKUP($B185, INVCOST!$C$8:$C$193, INVCOST!I$8:I$193)</f>
        <v>169</v>
      </c>
      <c r="AD185" s="40">
        <f>LOOKUP($B185, INVCOST!$C$8:$C$193, INVCOST!J$8:J$193)</f>
        <v>169</v>
      </c>
      <c r="AE185" s="40">
        <f>LOOKUP($B185, INVCOST!$C$8:$C$193, INVCOST!K$8:K$193)</f>
        <v>169</v>
      </c>
    </row>
    <row r="186" spans="2:31" s="39" customFormat="1" x14ac:dyDescent="0.3">
      <c r="B186" s="209"/>
      <c r="C186" s="209"/>
      <c r="D186" s="209"/>
      <c r="E186" s="209"/>
      <c r="F186" s="209" t="s">
        <v>478</v>
      </c>
      <c r="G186" s="50"/>
      <c r="H186" s="40"/>
      <c r="I186" s="41"/>
      <c r="J186" s="41"/>
      <c r="K186" s="42"/>
      <c r="L186" s="42"/>
      <c r="M186" s="263">
        <f>LOOKUP($B185, CEFF!$C$8:$C$156, CEFF!F$8:F$156)</f>
        <v>0.10185</v>
      </c>
      <c r="N186" s="263">
        <f>LOOKUP($B185, CEFF!$C$8:$C$156, CEFF!G$8:G$156)</f>
        <v>0.10377</v>
      </c>
      <c r="O186" s="263">
        <f>LOOKUP($B185, CEFF!$C$8:$C$156, CEFF!H$8:H$156)</f>
        <v>0.10680000000000001</v>
      </c>
      <c r="P186" s="263">
        <f>LOOKUP($B185, CEFF!$C$8:$C$156, CEFF!I$8:I$156)</f>
        <v>0.10945000000000001</v>
      </c>
      <c r="Q186" s="263">
        <f>LOOKUP($B185, CEFF!$C$8:$C$156, CEFF!J$8:J$156)</f>
        <v>0.11224000000000001</v>
      </c>
      <c r="R186" s="40"/>
      <c r="S186" s="40"/>
      <c r="T186" s="40"/>
      <c r="U186" s="40"/>
      <c r="V186" s="41"/>
      <c r="W186" s="60"/>
      <c r="X186" s="40"/>
      <c r="Y186" s="40"/>
      <c r="Z186" s="40"/>
      <c r="AA186" s="40"/>
      <c r="AB186" s="40"/>
      <c r="AC186" s="40"/>
      <c r="AD186" s="40"/>
      <c r="AE186" s="40"/>
    </row>
    <row r="187" spans="2:31" s="39" customFormat="1" x14ac:dyDescent="0.3">
      <c r="B187" s="210"/>
      <c r="C187" s="210"/>
      <c r="D187" s="210"/>
      <c r="E187" s="210"/>
      <c r="F187" s="210" t="s">
        <v>486</v>
      </c>
      <c r="G187" s="51"/>
      <c r="H187" s="45"/>
      <c r="I187" s="46"/>
      <c r="J187" s="46"/>
      <c r="K187" s="44"/>
      <c r="L187" s="44"/>
      <c r="M187" s="264">
        <f>LOOKUP($B185, CEFF!$C$163:$C$330, CEFF!F$163:F$330)</f>
        <v>7.4069999999999997E-2</v>
      </c>
      <c r="N187" s="264">
        <f>LOOKUP($B185, CEFF!$C$163:$C$330, CEFF!G$163:G$330)</f>
        <v>7.5469999999999995E-2</v>
      </c>
      <c r="O187" s="264">
        <f>LOOKUP($B185, CEFF!$C$163:$C$330, CEFF!H$163:H$330)</f>
        <v>7.7670000000000003E-2</v>
      </c>
      <c r="P187" s="264">
        <f>LOOKUP($B185, CEFF!$C$163:$C$330, CEFF!I$163:I$330)</f>
        <v>7.9600000000000004E-2</v>
      </c>
      <c r="Q187" s="264">
        <f>LOOKUP($B185, CEFF!$C$163:$C$330, CEFF!J$163:J$330)</f>
        <v>8.1629999999999994E-2</v>
      </c>
      <c r="R187" s="45"/>
      <c r="S187" s="45"/>
      <c r="T187" s="45"/>
      <c r="U187" s="45"/>
      <c r="V187" s="46"/>
      <c r="W187" s="64"/>
      <c r="X187" s="45"/>
      <c r="Y187" s="45"/>
      <c r="Z187" s="45"/>
      <c r="AA187" s="45"/>
      <c r="AB187" s="45"/>
      <c r="AC187" s="45"/>
      <c r="AD187" s="45"/>
      <c r="AE187" s="45"/>
    </row>
    <row r="188" spans="2:31" s="39" customFormat="1" x14ac:dyDescent="0.3">
      <c r="B188" s="209" t="s">
        <v>432</v>
      </c>
      <c r="C188" s="208" t="str">
        <f>LOOKUP(B188, TRA_COMM_PRO!$C$7:$C$189, TRA_COMM_PRO!$D$7:$D$189)</f>
        <v>Truck.Medium.GAS.City.01.</v>
      </c>
      <c r="D188" s="209" t="s">
        <v>54</v>
      </c>
      <c r="E188" s="209"/>
      <c r="F188" s="209"/>
      <c r="G188" s="10">
        <f>$G$117</f>
        <v>2019</v>
      </c>
      <c r="H188" s="40">
        <v>15</v>
      </c>
      <c r="I188" s="65">
        <f>$I$118</f>
        <v>1E-3</v>
      </c>
      <c r="J188" s="41">
        <f>J185</f>
        <v>2.7</v>
      </c>
      <c r="K188" s="42"/>
      <c r="L188" s="42"/>
      <c r="M188" s="263"/>
      <c r="N188" s="263"/>
      <c r="O188" s="263"/>
      <c r="P188" s="263"/>
      <c r="Q188" s="263"/>
      <c r="R188" s="40">
        <v>45</v>
      </c>
      <c r="S188" s="40"/>
      <c r="T188" s="40"/>
      <c r="U188" s="40"/>
      <c r="V188" s="41"/>
      <c r="W188" s="62">
        <f>LOOKUP(B188, FIXOM_VAROM!$C$8:$C$190, FIXOM_VAROM!$D$8:$D$190)</f>
        <v>100</v>
      </c>
      <c r="X188" s="40">
        <f>LOOKUP($B188, INVCOST!$C$8:$C$193, INVCOST!D$8:D$193)</f>
        <v>169</v>
      </c>
      <c r="Y188" s="40">
        <f>LOOKUP($B188, INVCOST!$C$8:$C$193, INVCOST!E$8:E$193)</f>
        <v>169</v>
      </c>
      <c r="Z188" s="40">
        <f>LOOKUP($B188, INVCOST!$C$8:$C$193, INVCOST!F$8:F$193)</f>
        <v>169</v>
      </c>
      <c r="AA188" s="40">
        <f>LOOKUP($B188, INVCOST!$C$8:$C$193, INVCOST!G$8:G$193)</f>
        <v>169</v>
      </c>
      <c r="AB188" s="40">
        <f>LOOKUP($B188, INVCOST!$C$8:$C$193, INVCOST!H$8:H$193)</f>
        <v>169</v>
      </c>
      <c r="AC188" s="40">
        <f>LOOKUP($B188, INVCOST!$C$8:$C$193, INVCOST!I$8:I$193)</f>
        <v>169</v>
      </c>
      <c r="AD188" s="40">
        <f>LOOKUP($B188, INVCOST!$C$8:$C$193, INVCOST!J$8:J$193)</f>
        <v>169</v>
      </c>
      <c r="AE188" s="40">
        <f>LOOKUP($B188, INVCOST!$C$8:$C$193, INVCOST!K$8:K$193)</f>
        <v>169</v>
      </c>
    </row>
    <row r="189" spans="2:31" s="39" customFormat="1" x14ac:dyDescent="0.3">
      <c r="B189" s="209"/>
      <c r="C189" s="209"/>
      <c r="D189" s="209" t="s">
        <v>53</v>
      </c>
      <c r="E189" s="209"/>
      <c r="F189" s="209"/>
      <c r="G189" s="50"/>
      <c r="H189" s="40"/>
      <c r="I189" s="41"/>
      <c r="J189" s="41"/>
      <c r="K189" s="42"/>
      <c r="L189" s="42"/>
      <c r="M189" s="266"/>
      <c r="N189" s="266"/>
      <c r="O189" s="266"/>
      <c r="P189" s="266"/>
      <c r="Q189" s="266"/>
      <c r="R189" s="40"/>
      <c r="S189" s="40"/>
      <c r="T189" s="40"/>
      <c r="U189" s="40"/>
      <c r="V189" s="41"/>
      <c r="W189" s="60"/>
      <c r="X189" s="40"/>
      <c r="Y189" s="40"/>
      <c r="Z189" s="40"/>
      <c r="AA189" s="40"/>
      <c r="AB189" s="40"/>
      <c r="AC189" s="40"/>
      <c r="AD189" s="40"/>
      <c r="AE189" s="40"/>
    </row>
    <row r="190" spans="2:31" s="39" customFormat="1" x14ac:dyDescent="0.3">
      <c r="B190" s="209"/>
      <c r="C190" s="209"/>
      <c r="D190" s="209"/>
      <c r="E190" s="209"/>
      <c r="F190" s="209" t="s">
        <v>478</v>
      </c>
      <c r="G190" s="50"/>
      <c r="H190" s="40"/>
      <c r="I190" s="41"/>
      <c r="J190" s="41"/>
      <c r="K190" s="42"/>
      <c r="L190" s="42"/>
      <c r="M190" s="263">
        <f>LOOKUP($B188, CEFF!$C$8:$C$156, CEFF!F$8:F$156)</f>
        <v>9.2439999999999994E-2</v>
      </c>
      <c r="N190" s="263">
        <f>LOOKUP($B188, CEFF!$C$8:$C$156, CEFF!G$8:G$156)</f>
        <v>9.3619999999999995E-2</v>
      </c>
      <c r="O190" s="263">
        <f>LOOKUP($B188, CEFF!$C$8:$C$156, CEFF!H$8:H$156)</f>
        <v>9.7350000000000006E-2</v>
      </c>
      <c r="P190" s="263">
        <f>LOOKUP($B188, CEFF!$C$8:$C$156, CEFF!I$8:I$156)</f>
        <v>0.1</v>
      </c>
      <c r="Q190" s="263">
        <f>LOOKUP($B188, CEFF!$C$8:$C$156, CEFF!J$8:J$156)</f>
        <v>0.1028</v>
      </c>
      <c r="R190" s="40"/>
      <c r="S190" s="40"/>
      <c r="T190" s="40"/>
      <c r="U190" s="40"/>
      <c r="V190" s="41"/>
      <c r="W190" s="60"/>
      <c r="X190" s="40"/>
      <c r="Y190" s="40"/>
      <c r="Z190" s="40"/>
      <c r="AA190" s="40"/>
      <c r="AB190" s="40"/>
      <c r="AC190" s="40"/>
      <c r="AD190" s="40"/>
      <c r="AE190" s="40"/>
    </row>
    <row r="191" spans="2:31" s="39" customFormat="1" x14ac:dyDescent="0.3">
      <c r="B191" s="210"/>
      <c r="C191" s="210"/>
      <c r="D191" s="210"/>
      <c r="E191" s="210"/>
      <c r="F191" s="210" t="s">
        <v>486</v>
      </c>
      <c r="G191" s="51"/>
      <c r="H191" s="45"/>
      <c r="I191" s="46"/>
      <c r="J191" s="46"/>
      <c r="K191" s="44"/>
      <c r="L191" s="44"/>
      <c r="M191" s="264">
        <f>LOOKUP($B188, CEFF!$C$163:$C$330, CEFF!F$163:F$330)</f>
        <v>6.7229999999999998E-2</v>
      </c>
      <c r="N191" s="264">
        <f>LOOKUP($B188, CEFF!$C$163:$C$330, CEFF!G$163:G$330)</f>
        <v>6.8089999999999998E-2</v>
      </c>
      <c r="O191" s="264">
        <f>LOOKUP($B188, CEFF!$C$163:$C$330, CEFF!H$163:H$330)</f>
        <v>7.0800000000000002E-2</v>
      </c>
      <c r="P191" s="264">
        <f>LOOKUP($B188, CEFF!$C$163:$C$330, CEFF!I$163:I$330)</f>
        <v>7.2730000000000003E-2</v>
      </c>
      <c r="Q191" s="264">
        <f>LOOKUP($B188, CEFF!$C$163:$C$330, CEFF!J$163:J$330)</f>
        <v>7.4770000000000003E-2</v>
      </c>
      <c r="R191" s="45"/>
      <c r="S191" s="45"/>
      <c r="T191" s="45"/>
      <c r="U191" s="45"/>
      <c r="V191" s="46"/>
      <c r="W191" s="64"/>
      <c r="X191" s="45"/>
      <c r="Y191" s="45"/>
      <c r="Z191" s="45"/>
      <c r="AA191" s="45"/>
      <c r="AB191" s="45"/>
      <c r="AC191" s="45"/>
      <c r="AD191" s="45"/>
      <c r="AE191" s="45"/>
    </row>
    <row r="192" spans="2:31" s="39" customFormat="1" x14ac:dyDescent="0.3">
      <c r="B192" s="212" t="s">
        <v>433</v>
      </c>
      <c r="C192" s="208" t="str">
        <f>LOOKUP(B192, TRA_COMM_PRO!$C$7:$C$189, TRA_COMM_PRO!$D$7:$D$189)</f>
        <v>Truck.Medium.GSL.City.01.</v>
      </c>
      <c r="D192" s="212" t="s">
        <v>40</v>
      </c>
      <c r="E192" s="212"/>
      <c r="F192" s="212"/>
      <c r="G192" s="10">
        <f>$G$117</f>
        <v>2019</v>
      </c>
      <c r="H192" s="40">
        <v>15</v>
      </c>
      <c r="I192" s="65">
        <f>$I$118</f>
        <v>1E-3</v>
      </c>
      <c r="J192" s="41">
        <f>J188</f>
        <v>2.7</v>
      </c>
      <c r="K192" s="77"/>
      <c r="L192" s="77">
        <v>0.05</v>
      </c>
      <c r="M192" s="263"/>
      <c r="N192" s="263"/>
      <c r="O192" s="263"/>
      <c r="P192" s="263"/>
      <c r="Q192" s="263"/>
      <c r="R192" s="40">
        <v>45</v>
      </c>
      <c r="S192" s="40"/>
      <c r="T192" s="40"/>
      <c r="U192" s="40"/>
      <c r="V192" s="41"/>
      <c r="W192" s="62">
        <f>LOOKUP(B192, FIXOM_VAROM!$C$8:$C$190, FIXOM_VAROM!$D$8:$D$190)</f>
        <v>100</v>
      </c>
      <c r="X192" s="40">
        <f>LOOKUP($B192, INVCOST!$C$8:$C$193, INVCOST!D$8:D$193)</f>
        <v>141</v>
      </c>
      <c r="Y192" s="40">
        <f>LOOKUP($B192, INVCOST!$C$8:$C$193, INVCOST!E$8:E$193)</f>
        <v>141</v>
      </c>
      <c r="Z192" s="40">
        <f>LOOKUP($B192, INVCOST!$C$8:$C$193, INVCOST!F$8:F$193)</f>
        <v>141</v>
      </c>
      <c r="AA192" s="40">
        <f>LOOKUP($B192, INVCOST!$C$8:$C$193, INVCOST!G$8:G$193)</f>
        <v>141</v>
      </c>
      <c r="AB192" s="40">
        <f>LOOKUP($B192, INVCOST!$C$8:$C$193, INVCOST!H$8:H$193)</f>
        <v>141</v>
      </c>
      <c r="AC192" s="40">
        <f>LOOKUP($B192, INVCOST!$C$8:$C$193, INVCOST!I$8:I$193)</f>
        <v>141</v>
      </c>
      <c r="AD192" s="40">
        <f>LOOKUP($B192, INVCOST!$C$8:$C$193, INVCOST!J$8:J$193)</f>
        <v>141</v>
      </c>
      <c r="AE192" s="40">
        <f>LOOKUP($B192, INVCOST!$C$8:$C$193, INVCOST!K$8:K$193)</f>
        <v>141</v>
      </c>
    </row>
    <row r="193" spans="2:31" s="39" customFormat="1" x14ac:dyDescent="0.3">
      <c r="B193" s="209"/>
      <c r="C193" s="208"/>
      <c r="D193" s="209" t="s">
        <v>39</v>
      </c>
      <c r="E193" s="209"/>
      <c r="F193" s="209"/>
      <c r="G193" s="10"/>
      <c r="H193" s="40"/>
      <c r="I193" s="65"/>
      <c r="J193" s="41"/>
      <c r="K193" s="78"/>
      <c r="L193" s="78"/>
      <c r="M193" s="263"/>
      <c r="N193" s="263"/>
      <c r="O193" s="263"/>
      <c r="P193" s="263"/>
      <c r="Q193" s="263"/>
      <c r="R193" s="40"/>
      <c r="S193" s="40"/>
      <c r="T193" s="40"/>
      <c r="U193" s="40"/>
      <c r="V193" s="41"/>
      <c r="W193" s="60"/>
      <c r="X193" s="40"/>
      <c r="Y193" s="40"/>
      <c r="Z193" s="40"/>
      <c r="AA193" s="40"/>
      <c r="AB193" s="40"/>
      <c r="AC193" s="40"/>
      <c r="AD193" s="40"/>
      <c r="AE193" s="40"/>
    </row>
    <row r="194" spans="2:31" s="39" customFormat="1" x14ac:dyDescent="0.3">
      <c r="B194" s="209"/>
      <c r="C194" s="209"/>
      <c r="D194" s="209"/>
      <c r="E194" s="209"/>
      <c r="F194" s="209" t="s">
        <v>478</v>
      </c>
      <c r="G194" s="50"/>
      <c r="H194" s="40"/>
      <c r="I194" s="41"/>
      <c r="J194" s="40"/>
      <c r="K194" s="78"/>
      <c r="L194" s="78"/>
      <c r="M194" s="263">
        <f>LOOKUP($B192, CEFF!$C$8:$C$156, CEFF!F$8:F$156)</f>
        <v>9.2439999999999994E-2</v>
      </c>
      <c r="N194" s="263">
        <f>LOOKUP($B192, CEFF!$C$8:$C$156, CEFF!G$8:G$156)</f>
        <v>9.3619999999999995E-2</v>
      </c>
      <c r="O194" s="263">
        <f>LOOKUP($B192, CEFF!$C$8:$C$156, CEFF!H$8:H$156)</f>
        <v>9.7350000000000006E-2</v>
      </c>
      <c r="P194" s="263">
        <f>LOOKUP($B192, CEFF!$C$8:$C$156, CEFF!I$8:I$156)</f>
        <v>0.1</v>
      </c>
      <c r="Q194" s="263">
        <f>LOOKUP($B192, CEFF!$C$8:$C$156, CEFF!J$8:J$156)</f>
        <v>0.1028</v>
      </c>
      <c r="R194" s="40"/>
      <c r="S194" s="40"/>
      <c r="T194" s="40"/>
      <c r="U194" s="40"/>
      <c r="V194" s="41"/>
      <c r="W194" s="60"/>
      <c r="X194" s="40"/>
      <c r="Y194" s="40"/>
      <c r="Z194" s="40"/>
      <c r="AA194" s="40"/>
      <c r="AB194" s="40"/>
      <c r="AC194" s="40"/>
      <c r="AD194" s="40"/>
      <c r="AE194" s="40"/>
    </row>
    <row r="195" spans="2:31" s="39" customFormat="1" x14ac:dyDescent="0.3">
      <c r="B195" s="210"/>
      <c r="C195" s="210"/>
      <c r="D195" s="210"/>
      <c r="E195" s="210"/>
      <c r="F195" s="210" t="s">
        <v>486</v>
      </c>
      <c r="G195" s="51"/>
      <c r="H195" s="45"/>
      <c r="I195" s="46"/>
      <c r="J195" s="45"/>
      <c r="K195" s="79"/>
      <c r="L195" s="79"/>
      <c r="M195" s="264">
        <f>LOOKUP($B192, CEFF!$C$163:$C$330, CEFF!F$163:F$330)</f>
        <v>6.7229999999999998E-2</v>
      </c>
      <c r="N195" s="264">
        <f>LOOKUP($B192, CEFF!$C$163:$C$330, CEFF!G$163:G$330)</f>
        <v>6.8089999999999998E-2</v>
      </c>
      <c r="O195" s="264">
        <f>LOOKUP($B192, CEFF!$C$163:$C$330, CEFF!H$163:H$330)</f>
        <v>7.0800000000000002E-2</v>
      </c>
      <c r="P195" s="264">
        <f>LOOKUP($B192, CEFF!$C$163:$C$330, CEFF!I$163:I$330)</f>
        <v>7.2730000000000003E-2</v>
      </c>
      <c r="Q195" s="264">
        <f>LOOKUP($B192, CEFF!$C$163:$C$330, CEFF!J$163:J$330)</f>
        <v>7.4770000000000003E-2</v>
      </c>
      <c r="R195" s="45"/>
      <c r="S195" s="45"/>
      <c r="T195" s="45"/>
      <c r="U195" s="45"/>
      <c r="V195" s="46"/>
      <c r="W195" s="64"/>
      <c r="X195" s="45"/>
      <c r="Y195" s="45"/>
      <c r="Z195" s="45"/>
      <c r="AA195" s="45"/>
      <c r="AB195" s="45"/>
      <c r="AC195" s="45"/>
      <c r="AD195" s="45"/>
      <c r="AE195" s="45"/>
    </row>
    <row r="196" spans="2:31" s="39" customFormat="1" x14ac:dyDescent="0.3">
      <c r="B196" s="209" t="s">
        <v>436</v>
      </c>
      <c r="C196" s="208" t="str">
        <f>LOOKUP(B196, TRA_COMM_PRO!$C$7:$C$189, TRA_COMM_PRO!$D$7:$D$189)</f>
        <v>Truck.Medium.H2G.City.01.</v>
      </c>
      <c r="D196" s="209" t="s">
        <v>57</v>
      </c>
      <c r="E196" s="209"/>
      <c r="F196" s="209"/>
      <c r="G196" s="10">
        <f>G142</f>
        <v>2019</v>
      </c>
      <c r="H196" s="40">
        <v>15</v>
      </c>
      <c r="I196" s="65">
        <f>$I$118</f>
        <v>1E-3</v>
      </c>
      <c r="J196" s="41">
        <f>J192</f>
        <v>2.7</v>
      </c>
      <c r="K196" s="42"/>
      <c r="L196" s="42"/>
      <c r="M196" s="263"/>
      <c r="N196" s="263"/>
      <c r="O196" s="263"/>
      <c r="P196" s="263"/>
      <c r="Q196" s="263"/>
      <c r="R196" s="40">
        <v>45</v>
      </c>
      <c r="S196" s="40"/>
      <c r="T196" s="40"/>
      <c r="U196" s="40"/>
      <c r="V196" s="41"/>
      <c r="W196" s="62">
        <f>LOOKUP(B196, FIXOM_VAROM!$C$8:$C$190, FIXOM_VAROM!$D$8:$D$190)</f>
        <v>80.000000000000014</v>
      </c>
      <c r="X196" s="40">
        <f>LOOKUP($B196, INVCOST!$C$8:$C$193, INVCOST!D$8:D$193)</f>
        <v>219</v>
      </c>
      <c r="Y196" s="40">
        <f>LOOKUP($B196, INVCOST!$C$8:$C$193, INVCOST!E$8:E$193)</f>
        <v>216</v>
      </c>
      <c r="Z196" s="40">
        <f>LOOKUP($B196, INVCOST!$C$8:$C$193, INVCOST!F$8:F$193)</f>
        <v>213</v>
      </c>
      <c r="AA196" s="40">
        <f>LOOKUP($B196, INVCOST!$C$8:$C$193, INVCOST!G$8:G$193)</f>
        <v>210</v>
      </c>
      <c r="AB196" s="40">
        <f>LOOKUP($B196, INVCOST!$C$8:$C$193, INVCOST!H$8:H$193)</f>
        <v>206</v>
      </c>
      <c r="AC196" s="40">
        <f>LOOKUP($B196, INVCOST!$C$8:$C$193, INVCOST!I$8:I$193)</f>
        <v>203</v>
      </c>
      <c r="AD196" s="40">
        <f>LOOKUP($B196, INVCOST!$C$8:$C$193, INVCOST!J$8:J$193)</f>
        <v>200</v>
      </c>
      <c r="AE196" s="40">
        <f>LOOKUP($B196, INVCOST!$C$8:$C$193, INVCOST!K$8:K$193)</f>
        <v>197</v>
      </c>
    </row>
    <row r="197" spans="2:31" s="39" customFormat="1" x14ac:dyDescent="0.3">
      <c r="B197" s="209"/>
      <c r="C197" s="209"/>
      <c r="D197" s="209"/>
      <c r="E197" s="209"/>
      <c r="F197" s="209" t="s">
        <v>478</v>
      </c>
      <c r="G197" s="50"/>
      <c r="H197" s="40"/>
      <c r="I197" s="41"/>
      <c r="J197" s="41"/>
      <c r="K197" s="42"/>
      <c r="L197" s="42"/>
      <c r="M197" s="263">
        <f>LOOKUP($B196, CEFF!$C$8:$C$156, CEFF!F$8:F$156)</f>
        <v>0.16922999999999999</v>
      </c>
      <c r="N197" s="263">
        <f>LOOKUP($B196, CEFF!$C$8:$C$156, CEFF!G$8:G$156)</f>
        <v>0.17188000000000001</v>
      </c>
      <c r="O197" s="263">
        <f>LOOKUP($B196, CEFF!$C$8:$C$156, CEFF!H$8:H$156)</f>
        <v>0.18032999999999999</v>
      </c>
      <c r="P197" s="263">
        <f>LOOKUP($B196, CEFF!$C$8:$C$156, CEFF!I$8:I$156)</f>
        <v>0.18487000000000001</v>
      </c>
      <c r="Q197" s="263">
        <f>LOOKUP($B196, CEFF!$C$8:$C$156, CEFF!J$8:J$156)</f>
        <v>0.18966</v>
      </c>
      <c r="R197" s="40"/>
      <c r="S197" s="40"/>
      <c r="T197" s="40"/>
      <c r="U197" s="40"/>
      <c r="V197" s="41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spans="2:31" s="39" customFormat="1" x14ac:dyDescent="0.3">
      <c r="B198" s="210"/>
      <c r="C198" s="210"/>
      <c r="D198" s="210"/>
      <c r="E198" s="210"/>
      <c r="F198" s="210" t="s">
        <v>486</v>
      </c>
      <c r="G198" s="51"/>
      <c r="H198" s="45"/>
      <c r="I198" s="46"/>
      <c r="J198" s="45"/>
      <c r="K198" s="79"/>
      <c r="L198" s="79"/>
      <c r="M198" s="264">
        <f>LOOKUP($B196, CEFF!$C$163:$C$330, CEFF!F$163:F$330)</f>
        <v>0.12307999999999999</v>
      </c>
      <c r="N198" s="264">
        <f>LOOKUP($B196, CEFF!$C$163:$C$330, CEFF!G$163:G$330)</f>
        <v>0.125</v>
      </c>
      <c r="O198" s="264">
        <f>LOOKUP($B196, CEFF!$C$163:$C$330, CEFF!H$163:H$330)</f>
        <v>0.13114999999999999</v>
      </c>
      <c r="P198" s="264">
        <f>LOOKUP($B196, CEFF!$C$163:$C$330, CEFF!I$163:I$330)</f>
        <v>0.13444999999999999</v>
      </c>
      <c r="Q198" s="264">
        <f>LOOKUP($B196, CEFF!$C$163:$C$330, CEFF!J$163:J$330)</f>
        <v>0.13793</v>
      </c>
      <c r="R198" s="45"/>
      <c r="S198" s="45"/>
      <c r="T198" s="45"/>
      <c r="U198" s="45"/>
      <c r="V198" s="46"/>
      <c r="W198" s="64"/>
      <c r="X198" s="45"/>
      <c r="Y198" s="45"/>
      <c r="Z198" s="45"/>
      <c r="AA198" s="45"/>
      <c r="AB198" s="45"/>
      <c r="AC198" s="45"/>
      <c r="AD198" s="45"/>
      <c r="AE198" s="45"/>
    </row>
    <row r="199" spans="2:31" s="39" customFormat="1" x14ac:dyDescent="0.3">
      <c r="B199" s="209" t="s">
        <v>434</v>
      </c>
      <c r="C199" s="208" t="str">
        <f>LOOKUP(B199, TRA_COMM_PRO!$C$7:$C$189, TRA_COMM_PRO!$D$7:$D$189)</f>
        <v>Truck.Medium.Hybrid.DST.City.01.</v>
      </c>
      <c r="D199" s="209" t="s">
        <v>44</v>
      </c>
      <c r="E199" s="209"/>
      <c r="F199" s="209"/>
      <c r="G199" s="10">
        <f>$G$117</f>
        <v>2019</v>
      </c>
      <c r="H199" s="40">
        <v>15</v>
      </c>
      <c r="I199" s="65">
        <f>$I$118</f>
        <v>1E-3</v>
      </c>
      <c r="J199" s="41">
        <f>J196</f>
        <v>2.7</v>
      </c>
      <c r="K199" s="42"/>
      <c r="L199" s="42"/>
      <c r="M199" s="263"/>
      <c r="N199" s="263"/>
      <c r="O199" s="263"/>
      <c r="P199" s="263"/>
      <c r="Q199" s="263"/>
      <c r="R199" s="40">
        <v>45</v>
      </c>
      <c r="S199" s="40"/>
      <c r="T199" s="40"/>
      <c r="U199" s="40"/>
      <c r="V199" s="41"/>
      <c r="W199" s="62">
        <f>LOOKUP(B199, FIXOM_VAROM!$C$8:$C$190, FIXOM_VAROM!$D$8:$D$190)</f>
        <v>100</v>
      </c>
      <c r="X199" s="40">
        <f>LOOKUP($B199, INVCOST!$C$8:$C$193, INVCOST!D$8:D$193)</f>
        <v>169</v>
      </c>
      <c r="Y199" s="40">
        <f>LOOKUP($B199, INVCOST!$C$8:$C$193, INVCOST!E$8:E$193)</f>
        <v>169</v>
      </c>
      <c r="Z199" s="40">
        <f>LOOKUP($B199, INVCOST!$C$8:$C$193, INVCOST!F$8:F$193)</f>
        <v>169</v>
      </c>
      <c r="AA199" s="40">
        <f>LOOKUP($B199, INVCOST!$C$8:$C$193, INVCOST!G$8:G$193)</f>
        <v>169</v>
      </c>
      <c r="AB199" s="40">
        <f>LOOKUP($B199, INVCOST!$C$8:$C$193, INVCOST!H$8:H$193)</f>
        <v>169</v>
      </c>
      <c r="AC199" s="40">
        <f>LOOKUP($B199, INVCOST!$C$8:$C$193, INVCOST!I$8:I$193)</f>
        <v>169</v>
      </c>
      <c r="AD199" s="40">
        <f>LOOKUP($B199, INVCOST!$C$8:$C$193, INVCOST!J$8:J$193)</f>
        <v>169</v>
      </c>
      <c r="AE199" s="40">
        <f>LOOKUP($B199, INVCOST!$C$8:$C$193, INVCOST!K$8:K$193)</f>
        <v>169</v>
      </c>
    </row>
    <row r="200" spans="2:31" s="39" customFormat="1" x14ac:dyDescent="0.3">
      <c r="B200" s="209"/>
      <c r="C200" s="209"/>
      <c r="D200" s="209" t="s">
        <v>48</v>
      </c>
      <c r="E200" s="209"/>
      <c r="F200" s="209"/>
      <c r="G200" s="42"/>
      <c r="H200" s="40"/>
      <c r="I200" s="41"/>
      <c r="J200" s="41"/>
      <c r="K200" s="42"/>
      <c r="L200" s="42"/>
      <c r="M200" s="266"/>
      <c r="N200" s="266"/>
      <c r="O200" s="266"/>
      <c r="P200" s="266"/>
      <c r="Q200" s="266"/>
      <c r="R200" s="40"/>
      <c r="S200" s="40"/>
      <c r="T200" s="40"/>
      <c r="U200" s="40"/>
      <c r="V200" s="41"/>
      <c r="W200" s="60"/>
      <c r="X200" s="40"/>
      <c r="Y200" s="40"/>
      <c r="Z200" s="40"/>
      <c r="AA200" s="40"/>
      <c r="AB200" s="40"/>
      <c r="AC200" s="40"/>
      <c r="AD200" s="40"/>
      <c r="AE200" s="40"/>
    </row>
    <row r="201" spans="2:31" s="39" customFormat="1" x14ac:dyDescent="0.3">
      <c r="B201" s="209"/>
      <c r="C201" s="209"/>
      <c r="D201" s="209"/>
      <c r="E201" s="209"/>
      <c r="F201" s="209" t="s">
        <v>478</v>
      </c>
      <c r="G201" s="50"/>
      <c r="H201" s="40"/>
      <c r="I201" s="41"/>
      <c r="J201" s="41"/>
      <c r="K201" s="42"/>
      <c r="L201" s="42"/>
      <c r="M201" s="263">
        <f>LOOKUP($B199, CEFF!$C$8:$C$156, CEFF!F$8:F$156)</f>
        <v>0.1134</v>
      </c>
      <c r="N201" s="263">
        <f>LOOKUP($B199, CEFF!$C$8:$C$156, CEFF!G$8:G$156)</f>
        <v>0.11579</v>
      </c>
      <c r="O201" s="263">
        <f>LOOKUP($B199, CEFF!$C$8:$C$156, CEFF!H$8:H$156)</f>
        <v>0.11957</v>
      </c>
      <c r="P201" s="263">
        <f>LOOKUP($B199, CEFF!$C$8:$C$156, CEFF!I$8:I$156)</f>
        <v>0.12222</v>
      </c>
      <c r="Q201" s="263">
        <f>LOOKUP($B199, CEFF!$C$8:$C$156, CEFF!J$8:J$156)</f>
        <v>0.125</v>
      </c>
      <c r="R201" s="40"/>
      <c r="S201" s="40"/>
      <c r="T201" s="40"/>
      <c r="U201" s="40"/>
      <c r="V201" s="41"/>
      <c r="W201" s="60"/>
      <c r="X201" s="40"/>
      <c r="Y201" s="40"/>
      <c r="Z201" s="40"/>
      <c r="AA201" s="40"/>
      <c r="AB201" s="40"/>
      <c r="AC201" s="40"/>
      <c r="AD201" s="40"/>
      <c r="AE201" s="40"/>
    </row>
    <row r="202" spans="2:31" s="39" customFormat="1" x14ac:dyDescent="0.3">
      <c r="B202" s="210"/>
      <c r="C202" s="210"/>
      <c r="D202" s="210"/>
      <c r="E202" s="210"/>
      <c r="F202" s="210" t="s">
        <v>486</v>
      </c>
      <c r="G202" s="51"/>
      <c r="H202" s="45"/>
      <c r="I202" s="46"/>
      <c r="J202" s="46"/>
      <c r="K202" s="44"/>
      <c r="L202" s="44"/>
      <c r="M202" s="264">
        <f>LOOKUP($B199, CEFF!$C$163:$C$330, CEFF!F$163:F$330)</f>
        <v>8.2470000000000002E-2</v>
      </c>
      <c r="N202" s="264">
        <f>LOOKUP($B199, CEFF!$C$163:$C$330, CEFF!G$163:G$330)</f>
        <v>8.4209999999999993E-2</v>
      </c>
      <c r="O202" s="264">
        <f>LOOKUP($B199, CEFF!$C$163:$C$330, CEFF!H$163:H$330)</f>
        <v>8.6959999999999996E-2</v>
      </c>
      <c r="P202" s="264">
        <f>LOOKUP($B199, CEFF!$C$163:$C$330, CEFF!I$163:I$330)</f>
        <v>8.8889999999999997E-2</v>
      </c>
      <c r="Q202" s="264">
        <f>LOOKUP($B199, CEFF!$C$163:$C$330, CEFF!J$163:J$330)</f>
        <v>9.0910000000000005E-2</v>
      </c>
      <c r="R202" s="45"/>
      <c r="S202" s="45"/>
      <c r="T202" s="45"/>
      <c r="U202" s="45"/>
      <c r="V202" s="46"/>
      <c r="W202" s="64"/>
      <c r="X202" s="45"/>
      <c r="Y202" s="45"/>
      <c r="Z202" s="45"/>
      <c r="AA202" s="45"/>
      <c r="AB202" s="45"/>
      <c r="AC202" s="45"/>
      <c r="AD202" s="45"/>
      <c r="AE202" s="45"/>
    </row>
    <row r="203" spans="2:31" s="39" customFormat="1" x14ac:dyDescent="0.3">
      <c r="B203" s="209" t="s">
        <v>435</v>
      </c>
      <c r="C203" s="208" t="str">
        <f>LOOKUP(B203, TRA_COMM_PRO!$C$7:$C$189, TRA_COMM_PRO!$D$7:$D$189)</f>
        <v>Truck.Medium.Hybrid.GSL.City.01.</v>
      </c>
      <c r="D203" s="209" t="s">
        <v>40</v>
      </c>
      <c r="E203" s="209"/>
      <c r="F203" s="209"/>
      <c r="G203" s="10">
        <f>$G$117</f>
        <v>2019</v>
      </c>
      <c r="H203" s="40">
        <v>15</v>
      </c>
      <c r="I203" s="65">
        <f>$I$118</f>
        <v>1E-3</v>
      </c>
      <c r="J203" s="41">
        <f>J199</f>
        <v>2.7</v>
      </c>
      <c r="K203" s="42"/>
      <c r="L203" s="42">
        <v>0.05</v>
      </c>
      <c r="M203" s="263"/>
      <c r="N203" s="263"/>
      <c r="O203" s="263"/>
      <c r="P203" s="263"/>
      <c r="Q203" s="263"/>
      <c r="R203" s="40">
        <v>45</v>
      </c>
      <c r="S203" s="40"/>
      <c r="T203" s="40"/>
      <c r="U203" s="40"/>
      <c r="V203" s="41"/>
      <c r="W203" s="62">
        <f>LOOKUP(B203, FIXOM_VAROM!$C$8:$C$190, FIXOM_VAROM!$D$8:$D$190)</f>
        <v>100</v>
      </c>
      <c r="X203" s="40">
        <f>LOOKUP($B203, INVCOST!$C$8:$C$193, INVCOST!D$8:D$193)</f>
        <v>169</v>
      </c>
      <c r="Y203" s="40">
        <f>LOOKUP($B203, INVCOST!$C$8:$C$193, INVCOST!E$8:E$193)</f>
        <v>169</v>
      </c>
      <c r="Z203" s="40">
        <f>LOOKUP($B203, INVCOST!$C$8:$C$193, INVCOST!F$8:F$193)</f>
        <v>169</v>
      </c>
      <c r="AA203" s="40">
        <f>LOOKUP($B203, INVCOST!$C$8:$C$193, INVCOST!G$8:G$193)</f>
        <v>169</v>
      </c>
      <c r="AB203" s="40">
        <f>LOOKUP($B203, INVCOST!$C$8:$C$193, INVCOST!H$8:H$193)</f>
        <v>169</v>
      </c>
      <c r="AC203" s="40">
        <f>LOOKUP($B203, INVCOST!$C$8:$C$193, INVCOST!I$8:I$193)</f>
        <v>169</v>
      </c>
      <c r="AD203" s="40">
        <f>LOOKUP($B203, INVCOST!$C$8:$C$193, INVCOST!J$8:J$193)</f>
        <v>169</v>
      </c>
      <c r="AE203" s="40">
        <f>LOOKUP($B203, INVCOST!$C$8:$C$193, INVCOST!K$8:K$193)</f>
        <v>169</v>
      </c>
    </row>
    <row r="204" spans="2:31" s="39" customFormat="1" x14ac:dyDescent="0.3">
      <c r="B204" s="209"/>
      <c r="C204" s="208"/>
      <c r="D204" s="209" t="s">
        <v>39</v>
      </c>
      <c r="E204" s="209"/>
      <c r="F204" s="209"/>
      <c r="G204" s="10"/>
      <c r="H204" s="40"/>
      <c r="I204" s="65"/>
      <c r="J204" s="41"/>
      <c r="K204" s="42"/>
      <c r="L204" s="42"/>
      <c r="M204" s="263"/>
      <c r="N204" s="263"/>
      <c r="O204" s="263"/>
      <c r="P204" s="263"/>
      <c r="Q204" s="263"/>
      <c r="R204" s="40"/>
      <c r="S204" s="40"/>
      <c r="T204" s="40"/>
      <c r="U204" s="40"/>
      <c r="V204" s="41"/>
      <c r="W204" s="60"/>
      <c r="X204" s="40"/>
      <c r="Y204" s="40"/>
      <c r="Z204" s="40"/>
      <c r="AA204" s="40"/>
      <c r="AB204" s="40"/>
      <c r="AC204" s="40"/>
      <c r="AD204" s="40"/>
      <c r="AE204" s="40"/>
    </row>
    <row r="205" spans="2:31" s="39" customFormat="1" x14ac:dyDescent="0.3">
      <c r="B205" s="209"/>
      <c r="C205" s="209"/>
      <c r="D205" s="209"/>
      <c r="E205" s="209"/>
      <c r="F205" s="209" t="s">
        <v>478</v>
      </c>
      <c r="G205" s="50"/>
      <c r="H205" s="40"/>
      <c r="I205" s="41"/>
      <c r="J205" s="41"/>
      <c r="K205" s="42"/>
      <c r="L205" s="42"/>
      <c r="M205" s="263">
        <f>LOOKUP($B203, CEFF!$C$8:$C$156, CEFF!F$8:F$156)</f>
        <v>0.10292</v>
      </c>
      <c r="N205" s="263">
        <f>LOOKUP($B203, CEFF!$C$8:$C$156, CEFF!G$8:G$156)</f>
        <v>0.10446</v>
      </c>
      <c r="O205" s="263">
        <f>LOOKUP($B203, CEFF!$C$8:$C$156, CEFF!H$8:H$156)</f>
        <v>0.10897999999999999</v>
      </c>
      <c r="P205" s="263">
        <f>LOOKUP($B203, CEFF!$C$8:$C$156, CEFF!I$8:I$156)</f>
        <v>0.11167000000000001</v>
      </c>
      <c r="Q205" s="263">
        <f>LOOKUP($B203, CEFF!$C$8:$C$156, CEFF!J$8:J$156)</f>
        <v>0.11448999999999999</v>
      </c>
      <c r="R205" s="40"/>
      <c r="S205" s="40"/>
      <c r="T205" s="40"/>
      <c r="U205" s="40"/>
      <c r="V205" s="41"/>
      <c r="W205" s="60"/>
      <c r="X205" s="40"/>
      <c r="Y205" s="40"/>
      <c r="Z205" s="40"/>
      <c r="AA205" s="40"/>
      <c r="AB205" s="40"/>
      <c r="AC205" s="40"/>
      <c r="AD205" s="40"/>
      <c r="AE205" s="40"/>
    </row>
    <row r="206" spans="2:31" s="39" customFormat="1" x14ac:dyDescent="0.3">
      <c r="B206" s="210"/>
      <c r="C206" s="210"/>
      <c r="D206" s="210"/>
      <c r="E206" s="210"/>
      <c r="F206" s="210" t="s">
        <v>486</v>
      </c>
      <c r="G206" s="51"/>
      <c r="H206" s="45"/>
      <c r="I206" s="46"/>
      <c r="J206" s="46"/>
      <c r="K206" s="44"/>
      <c r="L206" s="44"/>
      <c r="M206" s="264">
        <f>LOOKUP($B203, CEFF!$C$163:$C$330, CEFF!F$163:F$330)</f>
        <v>0.11169999999999999</v>
      </c>
      <c r="N206" s="264">
        <f>LOOKUP($B203, CEFF!$C$163:$C$330, CEFF!G$163:G$330)</f>
        <v>0.11277</v>
      </c>
      <c r="O206" s="264">
        <f>LOOKUP($B203, CEFF!$C$163:$C$330, CEFF!H$163:H$330)</f>
        <v>0.11953999999999999</v>
      </c>
      <c r="P206" s="264">
        <f>LOOKUP($B203, CEFF!$C$163:$C$330, CEFF!I$163:I$330)</f>
        <v>0.12284</v>
      </c>
      <c r="Q206" s="264">
        <f>LOOKUP($B203, CEFF!$C$163:$C$330, CEFF!J$163:J$330)</f>
        <v>0.12633</v>
      </c>
      <c r="R206" s="45"/>
      <c r="S206" s="45"/>
      <c r="T206" s="45"/>
      <c r="U206" s="45"/>
      <c r="V206" s="46"/>
      <c r="W206" s="64"/>
      <c r="X206" s="45"/>
      <c r="Y206" s="45"/>
      <c r="Z206" s="45"/>
      <c r="AA206" s="45"/>
      <c r="AB206" s="45"/>
      <c r="AC206" s="45"/>
      <c r="AD206" s="45"/>
      <c r="AE206" s="45"/>
    </row>
    <row r="207" spans="2:31" s="39" customFormat="1" x14ac:dyDescent="0.3">
      <c r="B207" s="209" t="s">
        <v>589</v>
      </c>
      <c r="C207" s="208" t="str">
        <f>LOOKUP(B207, TRA_COMM_PRO!$C$7:$C$189, TRA_COMM_PRO!$D$7:$D$189)</f>
        <v>Truck.Medium.MTH.City.01.</v>
      </c>
      <c r="D207" s="209" t="s">
        <v>582</v>
      </c>
      <c r="E207" s="209"/>
      <c r="F207" s="209"/>
      <c r="G207" s="10">
        <f>$G$117</f>
        <v>2019</v>
      </c>
      <c r="H207" s="40">
        <v>15</v>
      </c>
      <c r="I207" s="65">
        <f>$I$118</f>
        <v>1E-3</v>
      </c>
      <c r="J207" s="41">
        <f>J203</f>
        <v>2.7</v>
      </c>
      <c r="K207" s="42"/>
      <c r="L207" s="42"/>
      <c r="M207" s="263"/>
      <c r="N207" s="263"/>
      <c r="O207" s="263"/>
      <c r="P207" s="263"/>
      <c r="Q207" s="263"/>
      <c r="R207" s="40">
        <v>45</v>
      </c>
      <c r="S207" s="40"/>
      <c r="T207" s="40"/>
      <c r="U207" s="40"/>
      <c r="V207" s="41"/>
      <c r="W207" s="62">
        <f>LOOKUP(B207, FIXOM_VAROM!$C$8:$C$190, FIXOM_VAROM!$D$8:$D$190)</f>
        <v>100</v>
      </c>
      <c r="X207" s="40">
        <f>LOOKUP($B207, INVCOST!$C$8:$C$193, INVCOST!D$8:D$193)</f>
        <v>169</v>
      </c>
      <c r="Y207" s="40">
        <f>LOOKUP($B207, INVCOST!$C$8:$C$193, INVCOST!E$8:E$193)</f>
        <v>169</v>
      </c>
      <c r="Z207" s="40">
        <f>LOOKUP($B207, INVCOST!$C$8:$C$193, INVCOST!F$8:F$193)</f>
        <v>169</v>
      </c>
      <c r="AA207" s="40">
        <f>LOOKUP($B207, INVCOST!$C$8:$C$193, INVCOST!G$8:G$193)</f>
        <v>169</v>
      </c>
      <c r="AB207" s="40">
        <f>LOOKUP($B207, INVCOST!$C$8:$C$193, INVCOST!H$8:H$193)</f>
        <v>169</v>
      </c>
      <c r="AC207" s="40">
        <f>LOOKUP($B207, INVCOST!$C$8:$C$193, INVCOST!I$8:I$193)</f>
        <v>169</v>
      </c>
      <c r="AD207" s="40">
        <f>LOOKUP($B207, INVCOST!$C$8:$C$193, INVCOST!J$8:J$193)</f>
        <v>169</v>
      </c>
      <c r="AE207" s="40">
        <f>LOOKUP($B207, INVCOST!$C$8:$C$193, INVCOST!K$8:K$193)</f>
        <v>169</v>
      </c>
    </row>
    <row r="208" spans="2:31" s="39" customFormat="1" x14ac:dyDescent="0.3">
      <c r="B208" s="209"/>
      <c r="C208" s="209"/>
      <c r="D208" s="209"/>
      <c r="E208" s="209"/>
      <c r="F208" s="209" t="s">
        <v>478</v>
      </c>
      <c r="G208" s="50"/>
      <c r="H208" s="40"/>
      <c r="I208" s="41"/>
      <c r="J208" s="41"/>
      <c r="K208" s="42"/>
      <c r="L208" s="42"/>
      <c r="M208" s="263">
        <f>LOOKUP($B207, CEFF!$C$8:$C$156, CEFF!F$8:F$156)</f>
        <v>9.2439999999999994E-2</v>
      </c>
      <c r="N208" s="263">
        <f>LOOKUP($B207, CEFF!$C$8:$C$156, CEFF!G$8:G$156)</f>
        <v>9.3619999999999995E-2</v>
      </c>
      <c r="O208" s="263">
        <f>LOOKUP($B207, CEFF!$C$8:$C$156, CEFF!H$8:H$156)</f>
        <v>9.7350000000000006E-2</v>
      </c>
      <c r="P208" s="263">
        <f>LOOKUP($B207, CEFF!$C$8:$C$156, CEFF!I$8:I$156)</f>
        <v>0.1</v>
      </c>
      <c r="Q208" s="263">
        <f>LOOKUP($B207, CEFF!$C$8:$C$156, CEFF!J$8:J$156)</f>
        <v>0.1028</v>
      </c>
      <c r="R208" s="40"/>
      <c r="S208" s="40"/>
      <c r="T208" s="40"/>
      <c r="U208" s="40"/>
      <c r="V208" s="41"/>
      <c r="W208" s="60"/>
      <c r="X208" s="40"/>
      <c r="Y208" s="40"/>
      <c r="Z208" s="40"/>
      <c r="AA208" s="40"/>
      <c r="AB208" s="40"/>
      <c r="AC208" s="40"/>
      <c r="AD208" s="40"/>
      <c r="AE208" s="40"/>
    </row>
    <row r="209" spans="2:31" s="39" customFormat="1" x14ac:dyDescent="0.3">
      <c r="B209" s="210"/>
      <c r="C209" s="210"/>
      <c r="D209" s="210"/>
      <c r="E209" s="210"/>
      <c r="F209" s="210" t="s">
        <v>486</v>
      </c>
      <c r="G209" s="51"/>
      <c r="H209" s="45"/>
      <c r="I209" s="46"/>
      <c r="J209" s="46"/>
      <c r="K209" s="44"/>
      <c r="L209" s="44"/>
      <c r="M209" s="264">
        <f>LOOKUP($B207, CEFF!$C$163:$C$330, CEFF!F$163:F$330)</f>
        <v>6.7229999999999998E-2</v>
      </c>
      <c r="N209" s="264">
        <f>LOOKUP($B207, CEFF!$C$163:$C$330, CEFF!G$163:G$330)</f>
        <v>6.8089999999999998E-2</v>
      </c>
      <c r="O209" s="264">
        <f>LOOKUP($B207, CEFF!$C$163:$C$330, CEFF!H$163:H$330)</f>
        <v>7.0800000000000002E-2</v>
      </c>
      <c r="P209" s="264">
        <f>LOOKUP($B207, CEFF!$C$163:$C$330, CEFF!I$163:I$330)</f>
        <v>7.2730000000000003E-2</v>
      </c>
      <c r="Q209" s="264">
        <f>LOOKUP($B207, CEFF!$C$163:$C$330, CEFF!J$163:J$330)</f>
        <v>7.4770000000000003E-2</v>
      </c>
      <c r="R209" s="45"/>
      <c r="S209" s="45"/>
      <c r="T209" s="45"/>
      <c r="U209" s="45"/>
      <c r="V209" s="46"/>
      <c r="W209" s="64"/>
      <c r="X209" s="45"/>
      <c r="Y209" s="45"/>
      <c r="Z209" s="45"/>
      <c r="AA209" s="45"/>
      <c r="AB209" s="45"/>
      <c r="AC209" s="45"/>
      <c r="AD209" s="45"/>
      <c r="AE209" s="45"/>
    </row>
    <row r="210" spans="2:31" s="39" customFormat="1" x14ac:dyDescent="0.3">
      <c r="B210" s="209" t="s">
        <v>437</v>
      </c>
      <c r="C210" s="208" t="str">
        <f>LOOKUP(B210, TRA_COMM_PRO!$C$7:$C$189, TRA_COMM_PRO!$D$7:$D$189)</f>
        <v>Truck.Medium.LPG.City.01.</v>
      </c>
      <c r="D210" s="209" t="s">
        <v>62</v>
      </c>
      <c r="E210" s="209"/>
      <c r="F210" s="209"/>
      <c r="G210" s="10">
        <f>$G$117</f>
        <v>2019</v>
      </c>
      <c r="H210" s="40">
        <v>15</v>
      </c>
      <c r="I210" s="65">
        <f>$I$118</f>
        <v>1E-3</v>
      </c>
      <c r="J210" s="41">
        <f>J207</f>
        <v>2.7</v>
      </c>
      <c r="K210" s="42"/>
      <c r="L210" s="42"/>
      <c r="M210" s="263"/>
      <c r="N210" s="263"/>
      <c r="O210" s="263"/>
      <c r="P210" s="263"/>
      <c r="Q210" s="263"/>
      <c r="R210" s="40">
        <v>45</v>
      </c>
      <c r="S210" s="40"/>
      <c r="T210" s="40"/>
      <c r="U210" s="40"/>
      <c r="V210" s="41"/>
      <c r="W210" s="62">
        <f>LOOKUP(B210, FIXOM_VAROM!$C$8:$C$190, FIXOM_VAROM!$D$8:$D$190)</f>
        <v>100</v>
      </c>
      <c r="X210" s="40">
        <f>LOOKUP($B210, INVCOST!$C$8:$C$193, INVCOST!D$8:D$193)</f>
        <v>169</v>
      </c>
      <c r="Y210" s="40">
        <f>LOOKUP($B210, INVCOST!$C$8:$C$193, INVCOST!E$8:E$193)</f>
        <v>169</v>
      </c>
      <c r="Z210" s="40">
        <f>LOOKUP($B210, INVCOST!$C$8:$C$193, INVCOST!F$8:F$193)</f>
        <v>169</v>
      </c>
      <c r="AA210" s="40">
        <f>LOOKUP($B210, INVCOST!$C$8:$C$193, INVCOST!G$8:G$193)</f>
        <v>169</v>
      </c>
      <c r="AB210" s="40">
        <f>LOOKUP($B210, INVCOST!$C$8:$C$193, INVCOST!H$8:H$193)</f>
        <v>169</v>
      </c>
      <c r="AC210" s="40">
        <f>LOOKUP($B210, INVCOST!$C$8:$C$193, INVCOST!I$8:I$193)</f>
        <v>169</v>
      </c>
      <c r="AD210" s="40">
        <f>LOOKUP($B210, INVCOST!$C$8:$C$193, INVCOST!J$8:J$193)</f>
        <v>169</v>
      </c>
      <c r="AE210" s="40">
        <f>LOOKUP($B210, INVCOST!$C$8:$C$193, INVCOST!K$8:K$193)</f>
        <v>169</v>
      </c>
    </row>
    <row r="211" spans="2:31" s="39" customFormat="1" x14ac:dyDescent="0.3">
      <c r="B211" s="209"/>
      <c r="C211" s="209"/>
      <c r="D211" s="209"/>
      <c r="E211" s="209"/>
      <c r="F211" s="209" t="s">
        <v>478</v>
      </c>
      <c r="G211" s="50"/>
      <c r="H211" s="40"/>
      <c r="I211" s="41"/>
      <c r="J211" s="41"/>
      <c r="K211" s="42"/>
      <c r="L211" s="42"/>
      <c r="M211" s="263">
        <f>LOOKUP($B210, CEFF!$C$8:$C$156, CEFF!F$8:F$156)</f>
        <v>9.2439999999999994E-2</v>
      </c>
      <c r="N211" s="263">
        <f>LOOKUP($B210, CEFF!$C$8:$C$156, CEFF!G$8:G$156)</f>
        <v>9.3619999999999995E-2</v>
      </c>
      <c r="O211" s="263">
        <f>LOOKUP($B210, CEFF!$C$8:$C$156, CEFF!H$8:H$156)</f>
        <v>9.7350000000000006E-2</v>
      </c>
      <c r="P211" s="263">
        <f>LOOKUP($B210, CEFF!$C$8:$C$156, CEFF!I$8:I$156)</f>
        <v>0.1</v>
      </c>
      <c r="Q211" s="263">
        <f>LOOKUP($B210, CEFF!$C$8:$C$156, CEFF!J$8:J$156)</f>
        <v>0.1028</v>
      </c>
      <c r="R211" s="40"/>
      <c r="S211" s="40"/>
      <c r="T211" s="40"/>
      <c r="U211" s="40"/>
      <c r="V211" s="41"/>
      <c r="W211" s="60"/>
      <c r="X211" s="40"/>
      <c r="Y211" s="40"/>
      <c r="Z211" s="40"/>
      <c r="AA211" s="40"/>
      <c r="AB211" s="40"/>
      <c r="AC211" s="40"/>
      <c r="AD211" s="40"/>
      <c r="AE211" s="40"/>
    </row>
    <row r="212" spans="2:31" s="39" customFormat="1" x14ac:dyDescent="0.3">
      <c r="B212" s="210"/>
      <c r="C212" s="210"/>
      <c r="D212" s="210"/>
      <c r="E212" s="210"/>
      <c r="F212" s="210" t="s">
        <v>486</v>
      </c>
      <c r="G212" s="51"/>
      <c r="H212" s="45"/>
      <c r="I212" s="46"/>
      <c r="J212" s="46"/>
      <c r="K212" s="44"/>
      <c r="L212" s="44"/>
      <c r="M212" s="264">
        <f>LOOKUP($B210, CEFF!$C$163:$C$330, CEFF!F$163:F$330)</f>
        <v>6.7229999999999998E-2</v>
      </c>
      <c r="N212" s="264">
        <f>LOOKUP($B210, CEFF!$C$163:$C$330, CEFF!G$163:G$330)</f>
        <v>6.8089999999999998E-2</v>
      </c>
      <c r="O212" s="264">
        <f>LOOKUP($B210, CEFF!$C$163:$C$330, CEFF!H$163:H$330)</f>
        <v>7.0800000000000002E-2</v>
      </c>
      <c r="P212" s="264">
        <f>LOOKUP($B210, CEFF!$C$163:$C$330, CEFF!I$163:I$330)</f>
        <v>7.2730000000000003E-2</v>
      </c>
      <c r="Q212" s="264">
        <f>LOOKUP($B210, CEFF!$C$163:$C$330, CEFF!J$163:J$330)</f>
        <v>7.4770000000000003E-2</v>
      </c>
      <c r="R212" s="45"/>
      <c r="S212" s="45"/>
      <c r="T212" s="45"/>
      <c r="U212" s="45"/>
      <c r="V212" s="46"/>
      <c r="W212" s="64"/>
      <c r="X212" s="45"/>
      <c r="Y212" s="45"/>
      <c r="Z212" s="45"/>
      <c r="AA212" s="45"/>
      <c r="AB212" s="45"/>
      <c r="AC212" s="45"/>
      <c r="AD212" s="45"/>
      <c r="AE212" s="45"/>
    </row>
    <row r="213" spans="2:31" s="39" customFormat="1" x14ac:dyDescent="0.3">
      <c r="B213" s="209" t="s">
        <v>439</v>
      </c>
      <c r="C213" s="208" t="str">
        <f>LOOKUP(B213, TRA_COMM_PRO!$C$7:$C$189, TRA_COMM_PRO!$D$7:$D$189)</f>
        <v>Truck.Medium.Plugin-Hybrid.DST.City.01.</v>
      </c>
      <c r="D213" s="209" t="s">
        <v>44</v>
      </c>
      <c r="E213" s="209"/>
      <c r="F213" s="209"/>
      <c r="G213" s="10">
        <f>$G$117</f>
        <v>2019</v>
      </c>
      <c r="H213" s="40">
        <v>15</v>
      </c>
      <c r="I213" s="65">
        <f>$I$118</f>
        <v>1E-3</v>
      </c>
      <c r="J213" s="41">
        <f>J210</f>
        <v>2.7</v>
      </c>
      <c r="K213" s="42"/>
      <c r="L213" s="42"/>
      <c r="M213" s="263"/>
      <c r="N213" s="263"/>
      <c r="O213" s="263"/>
      <c r="P213" s="263"/>
      <c r="Q213" s="263"/>
      <c r="R213" s="40">
        <v>45</v>
      </c>
      <c r="S213" s="40"/>
      <c r="T213" s="40"/>
      <c r="U213" s="40"/>
      <c r="V213" s="41"/>
      <c r="W213" s="62">
        <f>LOOKUP(B213, FIXOM_VAROM!$C$8:$C$190, FIXOM_VAROM!$D$8:$D$190)</f>
        <v>100</v>
      </c>
      <c r="X213" s="40">
        <f>LOOKUP($B213, INVCOST!$C$8:$C$193, INVCOST!D$8:D$193)</f>
        <v>202.79999999999998</v>
      </c>
      <c r="Y213" s="40">
        <f>LOOKUP($B213, INVCOST!$C$8:$C$193, INVCOST!E$8:E$193)</f>
        <v>202.79999999999998</v>
      </c>
      <c r="Z213" s="40">
        <f>LOOKUP($B213, INVCOST!$C$8:$C$193, INVCOST!F$8:F$193)</f>
        <v>202.79999999999998</v>
      </c>
      <c r="AA213" s="40">
        <f>LOOKUP($B213, INVCOST!$C$8:$C$193, INVCOST!G$8:G$193)</f>
        <v>202.79999999999998</v>
      </c>
      <c r="AB213" s="40">
        <f>LOOKUP($B213, INVCOST!$C$8:$C$193, INVCOST!H$8:H$193)</f>
        <v>202.79999999999998</v>
      </c>
      <c r="AC213" s="40">
        <f>LOOKUP($B213, INVCOST!$C$8:$C$193, INVCOST!I$8:I$193)</f>
        <v>202.79999999999998</v>
      </c>
      <c r="AD213" s="40">
        <f>LOOKUP($B213, INVCOST!$C$8:$C$193, INVCOST!J$8:J$193)</f>
        <v>202.79999999999998</v>
      </c>
      <c r="AE213" s="40">
        <f>LOOKUP($B213, INVCOST!$C$8:$C$193, INVCOST!K$8:K$193)</f>
        <v>202.79999999999998</v>
      </c>
    </row>
    <row r="214" spans="2:31" s="39" customFormat="1" x14ac:dyDescent="0.3">
      <c r="B214" s="209"/>
      <c r="C214" s="209"/>
      <c r="D214" s="209" t="s">
        <v>48</v>
      </c>
      <c r="E214" s="209"/>
      <c r="F214" s="209"/>
      <c r="G214" s="42"/>
      <c r="H214" s="40"/>
      <c r="I214" s="41"/>
      <c r="J214" s="41"/>
      <c r="K214" s="42"/>
      <c r="L214" s="42"/>
      <c r="M214" s="266"/>
      <c r="N214" s="266"/>
      <c r="O214" s="266"/>
      <c r="P214" s="266"/>
      <c r="Q214" s="266"/>
      <c r="R214" s="40"/>
      <c r="S214" s="40"/>
      <c r="T214" s="40"/>
      <c r="U214" s="40"/>
      <c r="V214" s="41"/>
      <c r="W214" s="60"/>
      <c r="X214" s="40"/>
      <c r="Y214" s="40"/>
      <c r="Z214" s="40"/>
      <c r="AA214" s="40"/>
      <c r="AB214" s="40"/>
      <c r="AC214" s="40"/>
      <c r="AD214" s="40"/>
      <c r="AE214" s="40"/>
    </row>
    <row r="215" spans="2:31" s="39" customFormat="1" x14ac:dyDescent="0.3">
      <c r="B215" s="209"/>
      <c r="C215" s="209"/>
      <c r="D215" s="209"/>
      <c r="E215" s="209"/>
      <c r="F215" s="209" t="s">
        <v>478</v>
      </c>
      <c r="G215" s="50"/>
      <c r="H215" s="40"/>
      <c r="I215" s="41"/>
      <c r="J215" s="41"/>
      <c r="K215" s="42"/>
      <c r="L215" s="42"/>
      <c r="M215" s="263">
        <f>LOOKUP($B213, CEFF!$C$8:$C$156, CEFF!F$8:F$156)</f>
        <v>0.10185</v>
      </c>
      <c r="N215" s="263">
        <f>LOOKUP($B213, CEFF!$C$8:$C$156, CEFF!G$8:G$156)</f>
        <v>0.10377</v>
      </c>
      <c r="O215" s="263">
        <f>LOOKUP($B213, CEFF!$C$8:$C$156, CEFF!H$8:H$156)</f>
        <v>0.10680000000000001</v>
      </c>
      <c r="P215" s="263">
        <f>LOOKUP($B213, CEFF!$C$8:$C$156, CEFF!I$8:I$156)</f>
        <v>0.10945000000000001</v>
      </c>
      <c r="Q215" s="263">
        <f>LOOKUP($B213, CEFF!$C$8:$C$156, CEFF!J$8:J$156)</f>
        <v>0.11224000000000001</v>
      </c>
      <c r="R215" s="40"/>
      <c r="S215" s="40"/>
      <c r="T215" s="40"/>
      <c r="U215" s="40"/>
      <c r="V215" s="41"/>
      <c r="W215" s="60"/>
      <c r="X215" s="40"/>
      <c r="Y215" s="40"/>
      <c r="Z215" s="40"/>
      <c r="AA215" s="40"/>
      <c r="AB215" s="40"/>
      <c r="AC215" s="40"/>
      <c r="AD215" s="40"/>
      <c r="AE215" s="40"/>
    </row>
    <row r="216" spans="2:31" s="39" customFormat="1" x14ac:dyDescent="0.3">
      <c r="B216" s="210"/>
      <c r="C216" s="210"/>
      <c r="D216" s="210"/>
      <c r="E216" s="210"/>
      <c r="F216" s="210" t="s">
        <v>486</v>
      </c>
      <c r="G216" s="51"/>
      <c r="H216" s="45"/>
      <c r="I216" s="46"/>
      <c r="J216" s="46"/>
      <c r="K216" s="44"/>
      <c r="L216" s="44"/>
      <c r="M216" s="264">
        <f>LOOKUP($B213, CEFF!$C$163:$C$330, CEFF!F$163:F$330)</f>
        <v>7.4069999999999997E-2</v>
      </c>
      <c r="N216" s="264">
        <f>LOOKUP($B213, CEFF!$C$163:$C$330, CEFF!G$163:G$330)</f>
        <v>7.5469999999999995E-2</v>
      </c>
      <c r="O216" s="264">
        <f>LOOKUP($B213, CEFF!$C$163:$C$330, CEFF!H$163:H$330)</f>
        <v>7.7670000000000003E-2</v>
      </c>
      <c r="P216" s="264">
        <f>LOOKUP($B213, CEFF!$C$163:$C$330, CEFF!I$163:I$330)</f>
        <v>7.9600000000000004E-2</v>
      </c>
      <c r="Q216" s="264">
        <f>LOOKUP($B213, CEFF!$C$163:$C$330, CEFF!J$163:J$330)</f>
        <v>8.1629999999999994E-2</v>
      </c>
      <c r="R216" s="45"/>
      <c r="S216" s="45"/>
      <c r="T216" s="45"/>
      <c r="U216" s="45"/>
      <c r="V216" s="46"/>
      <c r="W216" s="64"/>
      <c r="X216" s="45"/>
      <c r="Y216" s="45"/>
      <c r="Z216" s="45"/>
      <c r="AA216" s="45"/>
      <c r="AB216" s="45"/>
      <c r="AC216" s="45"/>
      <c r="AD216" s="45"/>
      <c r="AE216" s="45"/>
    </row>
    <row r="217" spans="2:31" s="39" customFormat="1" x14ac:dyDescent="0.3">
      <c r="B217" s="209" t="s">
        <v>440</v>
      </c>
      <c r="C217" s="208" t="str">
        <f>LOOKUP(B217, TRA_COMM_PRO!$C$7:$C$189, TRA_COMM_PRO!$D$7:$D$189)</f>
        <v>Truck.Medium.Plugin-Hybrid.GSL.City.01.</v>
      </c>
      <c r="D217" s="209" t="s">
        <v>40</v>
      </c>
      <c r="E217" s="209"/>
      <c r="F217" s="209"/>
      <c r="G217" s="10">
        <f>$G$117</f>
        <v>2019</v>
      </c>
      <c r="H217" s="40">
        <v>15</v>
      </c>
      <c r="I217" s="65">
        <f>$I$118</f>
        <v>1E-3</v>
      </c>
      <c r="J217" s="41">
        <f>J213</f>
        <v>2.7</v>
      </c>
      <c r="K217" s="42"/>
      <c r="L217" s="42">
        <v>0.05</v>
      </c>
      <c r="M217" s="263"/>
      <c r="N217" s="263"/>
      <c r="O217" s="263"/>
      <c r="P217" s="263"/>
      <c r="Q217" s="263"/>
      <c r="R217" s="40">
        <v>45</v>
      </c>
      <c r="S217" s="40"/>
      <c r="T217" s="40"/>
      <c r="U217" s="40"/>
      <c r="V217" s="41"/>
      <c r="W217" s="62">
        <f>LOOKUP(B217, FIXOM_VAROM!$C$8:$C$190, FIXOM_VAROM!$D$8:$D$190)</f>
        <v>100</v>
      </c>
      <c r="X217" s="40">
        <f>LOOKUP($B217, INVCOST!$C$8:$C$193, INVCOST!D$8:D$193)</f>
        <v>202.79999999999998</v>
      </c>
      <c r="Y217" s="40">
        <f>LOOKUP($B217, INVCOST!$C$8:$C$193, INVCOST!E$8:E$193)</f>
        <v>202.79999999999998</v>
      </c>
      <c r="Z217" s="40">
        <f>LOOKUP($B217, INVCOST!$C$8:$C$193, INVCOST!F$8:F$193)</f>
        <v>202.79999999999998</v>
      </c>
      <c r="AA217" s="40">
        <f>LOOKUP($B217, INVCOST!$C$8:$C$193, INVCOST!G$8:G$193)</f>
        <v>202.79999999999998</v>
      </c>
      <c r="AB217" s="40">
        <f>LOOKUP($B217, INVCOST!$C$8:$C$193, INVCOST!H$8:H$193)</f>
        <v>202.79999999999998</v>
      </c>
      <c r="AC217" s="40">
        <f>LOOKUP($B217, INVCOST!$C$8:$C$193, INVCOST!I$8:I$193)</f>
        <v>202.79999999999998</v>
      </c>
      <c r="AD217" s="40">
        <f>LOOKUP($B217, INVCOST!$C$8:$C$193, INVCOST!J$8:J$193)</f>
        <v>202.79999999999998</v>
      </c>
      <c r="AE217" s="40">
        <f>LOOKUP($B217, INVCOST!$C$8:$C$193, INVCOST!K$8:K$193)</f>
        <v>202.79999999999998</v>
      </c>
    </row>
    <row r="218" spans="2:31" s="39" customFormat="1" x14ac:dyDescent="0.3">
      <c r="B218" s="209"/>
      <c r="C218" s="208"/>
      <c r="D218" s="209" t="s">
        <v>39</v>
      </c>
      <c r="E218" s="209"/>
      <c r="F218" s="209"/>
      <c r="G218" s="10"/>
      <c r="H218" s="40"/>
      <c r="I218" s="65"/>
      <c r="J218" s="41"/>
      <c r="K218" s="42"/>
      <c r="L218" s="42"/>
      <c r="M218" s="263"/>
      <c r="N218" s="263"/>
      <c r="O218" s="263"/>
      <c r="P218" s="263"/>
      <c r="Q218" s="263"/>
      <c r="R218" s="40"/>
      <c r="S218" s="40"/>
      <c r="T218" s="40"/>
      <c r="U218" s="40"/>
      <c r="V218" s="41"/>
      <c r="W218" s="42"/>
      <c r="X218" s="40"/>
      <c r="Y218" s="40"/>
      <c r="Z218" s="40"/>
      <c r="AA218" s="40"/>
      <c r="AB218" s="40"/>
      <c r="AC218" s="40"/>
      <c r="AD218" s="40"/>
      <c r="AE218" s="40"/>
    </row>
    <row r="219" spans="2:31" s="39" customFormat="1" x14ac:dyDescent="0.3">
      <c r="B219" s="209"/>
      <c r="C219" s="209"/>
      <c r="D219" s="209"/>
      <c r="E219" s="209"/>
      <c r="F219" s="209" t="s">
        <v>478</v>
      </c>
      <c r="G219" s="50"/>
      <c r="H219" s="40"/>
      <c r="I219" s="41"/>
      <c r="J219" s="41"/>
      <c r="K219" s="42"/>
      <c r="L219" s="42"/>
      <c r="M219" s="263">
        <f>LOOKUP($B217, CEFF!$C$8:$C$156, CEFF!F$8:F$156)</f>
        <v>9.2439999999999994E-2</v>
      </c>
      <c r="N219" s="263">
        <f>LOOKUP($B217, CEFF!$C$8:$C$156, CEFF!G$8:G$156)</f>
        <v>9.3619999999999995E-2</v>
      </c>
      <c r="O219" s="263">
        <f>LOOKUP($B217, CEFF!$C$8:$C$156, CEFF!H$8:H$156)</f>
        <v>9.7350000000000006E-2</v>
      </c>
      <c r="P219" s="263">
        <f>LOOKUP($B217, CEFF!$C$8:$C$156, CEFF!I$8:I$156)</f>
        <v>0.1</v>
      </c>
      <c r="Q219" s="263">
        <f>LOOKUP($B217, CEFF!$C$8:$C$156, CEFF!J$8:J$156)</f>
        <v>0.1028</v>
      </c>
      <c r="R219" s="40"/>
      <c r="S219" s="40"/>
      <c r="T219" s="40"/>
      <c r="U219" s="40"/>
      <c r="V219" s="41"/>
      <c r="W219" s="41"/>
      <c r="X219" s="40"/>
      <c r="Y219" s="40"/>
      <c r="Z219" s="40"/>
      <c r="AA219" s="40"/>
      <c r="AB219" s="40"/>
      <c r="AC219" s="40"/>
      <c r="AD219" s="40"/>
      <c r="AE219" s="40"/>
    </row>
    <row r="220" spans="2:31" s="39" customFormat="1" x14ac:dyDescent="0.3">
      <c r="B220" s="213"/>
      <c r="C220" s="213"/>
      <c r="D220" s="213"/>
      <c r="E220" s="213"/>
      <c r="F220" s="213" t="s">
        <v>486</v>
      </c>
      <c r="G220" s="180"/>
      <c r="H220" s="181"/>
      <c r="I220" s="179"/>
      <c r="J220" s="179"/>
      <c r="K220" s="177"/>
      <c r="L220" s="177"/>
      <c r="M220" s="265">
        <f>LOOKUP($B217, CEFF!$C$163:$C$330, CEFF!F$163:F$330)</f>
        <v>6.7229999999999998E-2</v>
      </c>
      <c r="N220" s="265">
        <f>LOOKUP($B217, CEFF!$C$163:$C$330, CEFF!G$163:G$330)</f>
        <v>6.8089999999999998E-2</v>
      </c>
      <c r="O220" s="265">
        <f>LOOKUP($B217, CEFF!$C$163:$C$330, CEFF!H$163:H$330)</f>
        <v>7.0800000000000002E-2</v>
      </c>
      <c r="P220" s="265">
        <f>LOOKUP($B217, CEFF!$C$163:$C$330, CEFF!I$163:I$330)</f>
        <v>7.2730000000000003E-2</v>
      </c>
      <c r="Q220" s="265">
        <f>LOOKUP($B217, CEFF!$C$163:$C$330, CEFF!J$163:J$330)</f>
        <v>7.4770000000000003E-2</v>
      </c>
      <c r="R220" s="181"/>
      <c r="S220" s="181"/>
      <c r="T220" s="181"/>
      <c r="U220" s="181"/>
      <c r="V220" s="179"/>
      <c r="W220" s="179"/>
      <c r="X220" s="181"/>
      <c r="Y220" s="181"/>
      <c r="Z220" s="181"/>
      <c r="AA220" s="181"/>
      <c r="AB220" s="181"/>
      <c r="AC220" s="181"/>
      <c r="AD220" s="181"/>
      <c r="AE220" s="181"/>
    </row>
    <row r="221" spans="2:31" s="39" customFormat="1" x14ac:dyDescent="0.3">
      <c r="H221" s="36"/>
      <c r="I221" s="37"/>
      <c r="J221" s="38"/>
      <c r="K221" s="47"/>
      <c r="L221" s="47"/>
      <c r="M221" s="38"/>
      <c r="N221" s="38"/>
      <c r="O221" s="38"/>
      <c r="P221" s="38"/>
      <c r="Q221" s="38"/>
      <c r="R221" s="36"/>
      <c r="S221" s="36"/>
      <c r="T221" s="36"/>
      <c r="U221" s="36"/>
      <c r="V221" s="38"/>
      <c r="W221" s="38"/>
      <c r="X221" s="58"/>
      <c r="Y221" s="58"/>
      <c r="Z221" s="58"/>
      <c r="AA221" s="58"/>
      <c r="AB221" s="58"/>
      <c r="AC221" s="58"/>
      <c r="AD221" s="58"/>
      <c r="AE221" s="58"/>
    </row>
    <row r="222" spans="2:31" s="39" customFormat="1" x14ac:dyDescent="0.3">
      <c r="H222" s="36"/>
      <c r="I222" s="37"/>
      <c r="J222" s="38"/>
      <c r="K222" s="58"/>
      <c r="L222" s="58"/>
      <c r="M222" s="58"/>
      <c r="N222" s="58"/>
      <c r="O222" s="58"/>
      <c r="P222" s="58"/>
      <c r="Q222" s="58"/>
      <c r="R222" s="36"/>
      <c r="S222" s="36"/>
      <c r="T222" s="36"/>
      <c r="U222" s="36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</row>
    <row r="223" spans="2:31" x14ac:dyDescent="0.3">
      <c r="B223" s="6" t="s">
        <v>548</v>
      </c>
      <c r="C223" s="7"/>
      <c r="D223" s="8"/>
      <c r="E223" s="8"/>
      <c r="F223" s="9" t="s">
        <v>1</v>
      </c>
      <c r="G223" s="4"/>
    </row>
    <row r="224" spans="2:31" x14ac:dyDescent="0.3">
      <c r="B224" s="199" t="s">
        <v>2</v>
      </c>
      <c r="C224" s="199" t="s">
        <v>3</v>
      </c>
      <c r="D224" s="199" t="s">
        <v>4</v>
      </c>
      <c r="E224" s="199" t="s">
        <v>5</v>
      </c>
      <c r="F224" s="200" t="s">
        <v>6</v>
      </c>
      <c r="G224" s="200" t="s">
        <v>186</v>
      </c>
      <c r="H224" s="201" t="s">
        <v>185</v>
      </c>
      <c r="I224" s="201" t="s">
        <v>11</v>
      </c>
      <c r="J224" s="200" t="s">
        <v>12</v>
      </c>
      <c r="K224" s="200" t="s">
        <v>7</v>
      </c>
      <c r="L224" s="200" t="s">
        <v>8</v>
      </c>
      <c r="M224" s="201" t="s">
        <v>688</v>
      </c>
      <c r="N224" s="201" t="s">
        <v>321</v>
      </c>
      <c r="O224" s="201" t="s">
        <v>322</v>
      </c>
      <c r="P224" s="201" t="s">
        <v>9</v>
      </c>
      <c r="Q224" s="201" t="s">
        <v>10</v>
      </c>
      <c r="R224" s="201" t="s">
        <v>687</v>
      </c>
      <c r="S224" s="201" t="s">
        <v>448</v>
      </c>
      <c r="T224" s="201" t="s">
        <v>13</v>
      </c>
      <c r="U224" s="201" t="s">
        <v>382</v>
      </c>
      <c r="V224" s="201" t="s">
        <v>42</v>
      </c>
      <c r="W224" s="201" t="s">
        <v>14</v>
      </c>
      <c r="X224" s="201" t="s">
        <v>381</v>
      </c>
      <c r="Y224" s="201" t="s">
        <v>15</v>
      </c>
      <c r="Z224" s="201" t="s">
        <v>16</v>
      </c>
      <c r="AA224" s="201" t="s">
        <v>17</v>
      </c>
      <c r="AB224" s="201" t="s">
        <v>18</v>
      </c>
      <c r="AC224" s="201" t="s">
        <v>19</v>
      </c>
      <c r="AD224" s="201" t="s">
        <v>20</v>
      </c>
      <c r="AE224" s="201" t="s">
        <v>21</v>
      </c>
    </row>
    <row r="225" spans="2:31" ht="33.75" customHeight="1" thickBot="1" x14ac:dyDescent="0.35">
      <c r="B225" s="202" t="s">
        <v>22</v>
      </c>
      <c r="C225" s="202"/>
      <c r="D225" s="202"/>
      <c r="E225" s="202"/>
      <c r="F225" s="203" t="s">
        <v>23</v>
      </c>
      <c r="G225" s="203">
        <v>2019</v>
      </c>
      <c r="H225" s="204" t="s">
        <v>26</v>
      </c>
      <c r="I225" s="204" t="s">
        <v>125</v>
      </c>
      <c r="J225" s="204" t="s">
        <v>126</v>
      </c>
      <c r="K225" s="203"/>
      <c r="L225" s="203"/>
      <c r="M225" s="205" t="s">
        <v>653</v>
      </c>
      <c r="N225" s="205" t="s">
        <v>653</v>
      </c>
      <c r="O225" s="205" t="s">
        <v>653</v>
      </c>
      <c r="P225" s="205" t="s">
        <v>653</v>
      </c>
      <c r="Q225" s="205" t="s">
        <v>653</v>
      </c>
      <c r="R225" s="204" t="s">
        <v>658</v>
      </c>
      <c r="S225" s="204" t="s">
        <v>658</v>
      </c>
      <c r="T225" s="204" t="s">
        <v>658</v>
      </c>
      <c r="U225" s="204" t="s">
        <v>658</v>
      </c>
      <c r="V225" s="206" t="s">
        <v>662</v>
      </c>
      <c r="W225" s="206" t="s">
        <v>661</v>
      </c>
      <c r="X225" s="206" t="s">
        <v>657</v>
      </c>
      <c r="Y225" s="206" t="s">
        <v>657</v>
      </c>
      <c r="Z225" s="206" t="s">
        <v>657</v>
      </c>
      <c r="AA225" s="206" t="s">
        <v>657</v>
      </c>
      <c r="AB225" s="206" t="s">
        <v>657</v>
      </c>
      <c r="AC225" s="206" t="s">
        <v>657</v>
      </c>
      <c r="AD225" s="206" t="s">
        <v>657</v>
      </c>
      <c r="AE225" s="206" t="s">
        <v>657</v>
      </c>
    </row>
    <row r="226" spans="2:31" s="39" customFormat="1" x14ac:dyDescent="0.3">
      <c r="B226" s="207" t="s">
        <v>155</v>
      </c>
      <c r="C226" s="208" t="str">
        <f>LOOKUP(B226, TRA_COMM_PRO!$C$7:$C$189, TRA_COMM_PRO!$D$7:$D$189)</f>
        <v>Truck.Heavy.BDL.01.</v>
      </c>
      <c r="D226" s="207" t="s">
        <v>44</v>
      </c>
      <c r="E226" s="207"/>
      <c r="F226" s="207"/>
      <c r="G226" s="10">
        <f>$G$225</f>
        <v>2019</v>
      </c>
      <c r="H226" s="71">
        <v>15</v>
      </c>
      <c r="I226" s="156">
        <f>10^-3</f>
        <v>1E-3</v>
      </c>
      <c r="J226" s="72">
        <v>7.7</v>
      </c>
      <c r="K226" s="73"/>
      <c r="L226" s="73"/>
      <c r="M226" s="43"/>
      <c r="N226" s="43"/>
      <c r="O226" s="43"/>
      <c r="P226" s="43"/>
      <c r="Q226" s="43"/>
      <c r="R226" s="71">
        <v>45</v>
      </c>
      <c r="S226" s="71"/>
      <c r="T226" s="71"/>
      <c r="U226" s="71"/>
      <c r="V226" s="72"/>
      <c r="W226" s="62">
        <f>LOOKUP(B226, FIXOM_VAROM!$C$8:$C$190, FIXOM_VAROM!$D$8:$D$190)</f>
        <v>100</v>
      </c>
      <c r="X226" s="40">
        <f>LOOKUP($B226, INVCOST!$C$8:$C$193, INVCOST!D$8:D$193)</f>
        <v>141</v>
      </c>
      <c r="Y226" s="40">
        <f>LOOKUP($B226, INVCOST!$C$8:$C$193, INVCOST!E$8:E$193)</f>
        <v>141</v>
      </c>
      <c r="Z226" s="40">
        <f>LOOKUP($B226, INVCOST!$C$8:$C$193, INVCOST!F$8:F$193)</f>
        <v>141</v>
      </c>
      <c r="AA226" s="40">
        <f>LOOKUP($B226, INVCOST!$C$8:$C$193, INVCOST!G$8:G$193)</f>
        <v>141</v>
      </c>
      <c r="AB226" s="40">
        <f>LOOKUP($B226, INVCOST!$C$8:$C$193, INVCOST!H$8:H$193)</f>
        <v>141</v>
      </c>
      <c r="AC226" s="40">
        <f>LOOKUP($B226, INVCOST!$C$8:$C$193, INVCOST!I$8:I$193)</f>
        <v>141</v>
      </c>
      <c r="AD226" s="40">
        <f>LOOKUP($B226, INVCOST!$C$8:$C$193, INVCOST!J$8:J$193)</f>
        <v>141</v>
      </c>
      <c r="AE226" s="40">
        <f>LOOKUP($B226, INVCOST!$C$8:$C$193, INVCOST!K$8:K$193)</f>
        <v>141</v>
      </c>
    </row>
    <row r="227" spans="2:31" s="39" customFormat="1" x14ac:dyDescent="0.3">
      <c r="B227" s="209"/>
      <c r="C227" s="209"/>
      <c r="D227" s="209"/>
      <c r="E227" s="209"/>
      <c r="F227" s="209" t="s">
        <v>334</v>
      </c>
      <c r="G227" s="50"/>
      <c r="H227" s="40"/>
      <c r="I227" s="41"/>
      <c r="J227" s="41"/>
      <c r="K227" s="42"/>
      <c r="L227" s="42"/>
      <c r="M227" s="263">
        <f>LOOKUP($B226, CEFF!$C$8:$C$156, CEFF!F$8:F$156)</f>
        <v>9.2590000000000006E-2</v>
      </c>
      <c r="N227" s="263">
        <f>LOOKUP($B226, CEFF!$C$8:$C$156, CEFF!G$8:G$156)</f>
        <v>9.4339999999999993E-2</v>
      </c>
      <c r="O227" s="263">
        <f>LOOKUP($B226, CEFF!$C$8:$C$156, CEFF!H$8:H$156)</f>
        <v>9.7089999999999996E-2</v>
      </c>
      <c r="P227" s="263">
        <f>LOOKUP($B226, CEFF!$C$8:$C$156, CEFF!I$8:I$156)</f>
        <v>9.9500000000000005E-2</v>
      </c>
      <c r="Q227" s="263">
        <f>LOOKUP($B226, CEFF!$C$8:$C$156, CEFF!J$8:J$156)</f>
        <v>0.10204000000000001</v>
      </c>
      <c r="R227" s="40"/>
      <c r="S227" s="40"/>
      <c r="T227" s="40"/>
      <c r="U227" s="40"/>
      <c r="V227" s="41"/>
      <c r="W227" s="60"/>
      <c r="X227" s="60"/>
      <c r="Y227" s="60"/>
      <c r="Z227" s="60"/>
      <c r="AA227" s="60"/>
      <c r="AB227" s="60"/>
      <c r="AC227" s="60"/>
      <c r="AD227" s="60"/>
      <c r="AE227" s="60"/>
    </row>
    <row r="228" spans="2:31" s="39" customFormat="1" x14ac:dyDescent="0.3">
      <c r="B228" s="210"/>
      <c r="C228" s="210"/>
      <c r="D228" s="210"/>
      <c r="E228" s="210"/>
      <c r="F228" s="210" t="s">
        <v>336</v>
      </c>
      <c r="G228" s="51"/>
      <c r="H228" s="45"/>
      <c r="I228" s="46"/>
      <c r="J228" s="46"/>
      <c r="K228" s="44"/>
      <c r="L228" s="44"/>
      <c r="M228" s="264">
        <f>LOOKUP($B226, CEFF!$C$163:$C$330, CEFF!F$163:F$330)</f>
        <v>7.4069999999999997E-2</v>
      </c>
      <c r="N228" s="264">
        <f>LOOKUP($B226, CEFF!$C$163:$C$330, CEFF!G$163:G$330)</f>
        <v>7.5469999999999995E-2</v>
      </c>
      <c r="O228" s="264">
        <f>LOOKUP($B226, CEFF!$C$163:$C$330, CEFF!H$163:H$330)</f>
        <v>7.7670000000000003E-2</v>
      </c>
      <c r="P228" s="264">
        <f>LOOKUP($B226, CEFF!$C$163:$C$330, CEFF!I$163:I$330)</f>
        <v>7.9600000000000004E-2</v>
      </c>
      <c r="Q228" s="264">
        <f>LOOKUP($B226, CEFF!$C$163:$C$330, CEFF!J$163:J$330)</f>
        <v>8.1629999999999994E-2</v>
      </c>
      <c r="R228" s="45"/>
      <c r="S228" s="45"/>
      <c r="T228" s="45"/>
      <c r="U228" s="45"/>
      <c r="V228" s="46"/>
      <c r="W228" s="64"/>
      <c r="X228" s="64"/>
      <c r="Y228" s="64"/>
      <c r="Z228" s="64"/>
      <c r="AA228" s="64"/>
      <c r="AB228" s="64"/>
      <c r="AC228" s="64"/>
      <c r="AD228" s="64"/>
      <c r="AE228" s="64"/>
    </row>
    <row r="229" spans="2:31" s="39" customFormat="1" x14ac:dyDescent="0.3">
      <c r="B229" s="209" t="s">
        <v>157</v>
      </c>
      <c r="C229" s="208" t="str">
        <f>LOOKUP(B229, TRA_COMM_PRO!$C$7:$C$189, TRA_COMM_PRO!$D$7:$D$189)</f>
        <v>Truck.Heavy.DME.01.</v>
      </c>
      <c r="D229" s="209" t="s">
        <v>71</v>
      </c>
      <c r="E229" s="209"/>
      <c r="F229" s="209"/>
      <c r="G229" s="10">
        <f>$G$225</f>
        <v>2019</v>
      </c>
      <c r="H229" s="40">
        <v>15</v>
      </c>
      <c r="I229" s="65">
        <f>$I$226</f>
        <v>1E-3</v>
      </c>
      <c r="J229" s="41">
        <v>7.7</v>
      </c>
      <c r="K229" s="42"/>
      <c r="L229" s="42"/>
      <c r="M229" s="263"/>
      <c r="N229" s="263"/>
      <c r="O229" s="263"/>
      <c r="P229" s="263"/>
      <c r="Q229" s="263"/>
      <c r="R229" s="40">
        <v>45</v>
      </c>
      <c r="S229" s="40"/>
      <c r="T229" s="40"/>
      <c r="U229" s="40"/>
      <c r="V229" s="41"/>
      <c r="W229" s="62">
        <f>LOOKUP(B229, FIXOM_VAROM!$C$8:$C$190, FIXOM_VAROM!$D$8:$D$190)</f>
        <v>100</v>
      </c>
      <c r="X229" s="40">
        <f>LOOKUP($B229, INVCOST!$C$8:$C$193, INVCOST!D$8:D$193)</f>
        <v>169</v>
      </c>
      <c r="Y229" s="40">
        <f>LOOKUP($B229, INVCOST!$C$8:$C$193, INVCOST!E$8:E$193)</f>
        <v>169</v>
      </c>
      <c r="Z229" s="40">
        <f>LOOKUP($B229, INVCOST!$C$8:$C$193, INVCOST!F$8:F$193)</f>
        <v>169</v>
      </c>
      <c r="AA229" s="40">
        <f>LOOKUP($B229, INVCOST!$C$8:$C$193, INVCOST!G$8:G$193)</f>
        <v>169</v>
      </c>
      <c r="AB229" s="40">
        <f>LOOKUP($B229, INVCOST!$C$8:$C$193, INVCOST!H$8:H$193)</f>
        <v>169</v>
      </c>
      <c r="AC229" s="40">
        <f>LOOKUP($B229, INVCOST!$C$8:$C$193, INVCOST!I$8:I$193)</f>
        <v>169</v>
      </c>
      <c r="AD229" s="40">
        <f>LOOKUP($B229, INVCOST!$C$8:$C$193, INVCOST!J$8:J$193)</f>
        <v>169</v>
      </c>
      <c r="AE229" s="40">
        <f>LOOKUP($B229, INVCOST!$C$8:$C$193, INVCOST!K$8:K$193)</f>
        <v>169</v>
      </c>
    </row>
    <row r="230" spans="2:31" s="39" customFormat="1" x14ac:dyDescent="0.3">
      <c r="B230" s="209"/>
      <c r="C230" s="211"/>
      <c r="D230" s="209"/>
      <c r="E230" s="209"/>
      <c r="F230" s="209" t="s">
        <v>334</v>
      </c>
      <c r="G230" s="50"/>
      <c r="H230" s="40"/>
      <c r="I230" s="41"/>
      <c r="J230" s="41"/>
      <c r="K230" s="42"/>
      <c r="L230" s="42"/>
      <c r="M230" s="263">
        <f>LOOKUP($B229, CEFF!$C$8:$C$156, CEFF!F$8:F$156)</f>
        <v>9.2590000000000006E-2</v>
      </c>
      <c r="N230" s="263">
        <f>LOOKUP($B229, CEFF!$C$8:$C$156, CEFF!G$8:G$156)</f>
        <v>9.4339999999999993E-2</v>
      </c>
      <c r="O230" s="263">
        <f>LOOKUP($B229, CEFF!$C$8:$C$156, CEFF!H$8:H$156)</f>
        <v>9.7089999999999996E-2</v>
      </c>
      <c r="P230" s="263">
        <f>LOOKUP($B229, CEFF!$C$8:$C$156, CEFF!I$8:I$156)</f>
        <v>9.9500000000000005E-2</v>
      </c>
      <c r="Q230" s="263">
        <f>LOOKUP($B229, CEFF!$C$8:$C$156, CEFF!J$8:J$156)</f>
        <v>0.10204000000000001</v>
      </c>
      <c r="R230" s="40"/>
      <c r="S230" s="40"/>
      <c r="T230" s="40"/>
      <c r="U230" s="40"/>
      <c r="V230" s="41"/>
      <c r="W230" s="60"/>
      <c r="X230" s="60"/>
      <c r="Y230" s="60"/>
      <c r="Z230" s="60"/>
      <c r="AA230" s="60"/>
      <c r="AB230" s="60"/>
      <c r="AC230" s="60"/>
      <c r="AD230" s="60"/>
      <c r="AE230" s="60"/>
    </row>
    <row r="231" spans="2:31" s="39" customFormat="1" x14ac:dyDescent="0.3">
      <c r="B231" s="210"/>
      <c r="C231" s="210"/>
      <c r="D231" s="210"/>
      <c r="E231" s="210"/>
      <c r="F231" s="210" t="s">
        <v>336</v>
      </c>
      <c r="G231" s="51"/>
      <c r="H231" s="45"/>
      <c r="I231" s="46"/>
      <c r="J231" s="46"/>
      <c r="K231" s="44"/>
      <c r="L231" s="44"/>
      <c r="M231" s="264">
        <f>LOOKUP($B229, CEFF!$C$163:$C$330, CEFF!F$163:F$330)</f>
        <v>7.4069999999999997E-2</v>
      </c>
      <c r="N231" s="264">
        <f>LOOKUP($B229, CEFF!$C$163:$C$330, CEFF!G$163:G$330)</f>
        <v>7.5469999999999995E-2</v>
      </c>
      <c r="O231" s="264">
        <f>LOOKUP($B229, CEFF!$C$163:$C$330, CEFF!H$163:H$330)</f>
        <v>7.7670000000000003E-2</v>
      </c>
      <c r="P231" s="264">
        <f>LOOKUP($B229, CEFF!$C$163:$C$330, CEFF!I$163:I$330)</f>
        <v>7.9600000000000004E-2</v>
      </c>
      <c r="Q231" s="264">
        <f>LOOKUP($B229, CEFF!$C$163:$C$330, CEFF!J$163:J$330)</f>
        <v>8.1629999999999994E-2</v>
      </c>
      <c r="R231" s="45"/>
      <c r="S231" s="45"/>
      <c r="T231" s="45"/>
      <c r="U231" s="45"/>
      <c r="V231" s="46"/>
      <c r="W231" s="64"/>
      <c r="X231" s="64"/>
      <c r="Y231" s="64"/>
      <c r="Z231" s="64"/>
      <c r="AA231" s="64"/>
      <c r="AB231" s="64"/>
      <c r="AC231" s="64"/>
      <c r="AD231" s="64"/>
      <c r="AE231" s="64"/>
    </row>
    <row r="232" spans="2:31" s="39" customFormat="1" x14ac:dyDescent="0.3">
      <c r="B232" s="209" t="s">
        <v>159</v>
      </c>
      <c r="C232" s="208" t="str">
        <f>LOOKUP(B232, TRA_COMM_PRO!$C$7:$C$189, TRA_COMM_PRO!$D$7:$D$189)</f>
        <v>Truck.Heavy.DST.01.</v>
      </c>
      <c r="D232" s="209" t="s">
        <v>44</v>
      </c>
      <c r="E232" s="209"/>
      <c r="F232" s="209"/>
      <c r="G232" s="10">
        <f>$G$225</f>
        <v>2019</v>
      </c>
      <c r="H232" s="40">
        <v>15</v>
      </c>
      <c r="I232" s="65">
        <f>$I$226</f>
        <v>1E-3</v>
      </c>
      <c r="J232" s="41">
        <v>7.7</v>
      </c>
      <c r="K232" s="42"/>
      <c r="L232" s="42"/>
      <c r="M232" s="263"/>
      <c r="N232" s="263"/>
      <c r="O232" s="263"/>
      <c r="P232" s="263"/>
      <c r="Q232" s="263"/>
      <c r="R232" s="40">
        <v>45</v>
      </c>
      <c r="S232" s="40"/>
      <c r="T232" s="40"/>
      <c r="U232" s="40"/>
      <c r="V232" s="41"/>
      <c r="W232" s="62">
        <f>LOOKUP(B232, FIXOM_VAROM!$C$8:$C$190, FIXOM_VAROM!$D$8:$D$190)</f>
        <v>100</v>
      </c>
      <c r="X232" s="40">
        <f>LOOKUP($B232, INVCOST!$C$8:$C$193, INVCOST!D$8:D$193)</f>
        <v>141</v>
      </c>
      <c r="Y232" s="40">
        <f>LOOKUP($B232, INVCOST!$C$8:$C$193, INVCOST!E$8:E$193)</f>
        <v>141</v>
      </c>
      <c r="Z232" s="40">
        <f>LOOKUP($B232, INVCOST!$C$8:$C$193, INVCOST!F$8:F$193)</f>
        <v>141</v>
      </c>
      <c r="AA232" s="40">
        <f>LOOKUP($B232, INVCOST!$C$8:$C$193, INVCOST!G$8:G$193)</f>
        <v>141</v>
      </c>
      <c r="AB232" s="40">
        <f>LOOKUP($B232, INVCOST!$C$8:$C$193, INVCOST!H$8:H$193)</f>
        <v>141</v>
      </c>
      <c r="AC232" s="40">
        <f>LOOKUP($B232, INVCOST!$C$8:$C$193, INVCOST!I$8:I$193)</f>
        <v>141</v>
      </c>
      <c r="AD232" s="40">
        <f>LOOKUP($B232, INVCOST!$C$8:$C$193, INVCOST!J$8:J$193)</f>
        <v>141</v>
      </c>
      <c r="AE232" s="40">
        <f>LOOKUP($B232, INVCOST!$C$8:$C$193, INVCOST!K$8:K$193)</f>
        <v>141</v>
      </c>
    </row>
    <row r="233" spans="2:31" s="39" customFormat="1" x14ac:dyDescent="0.3">
      <c r="B233" s="209"/>
      <c r="C233" s="209"/>
      <c r="D233" s="209" t="s">
        <v>48</v>
      </c>
      <c r="E233" s="209"/>
      <c r="F233" s="209"/>
      <c r="G233" s="50"/>
      <c r="H233" s="40"/>
      <c r="I233" s="41"/>
      <c r="J233" s="41"/>
      <c r="K233" s="42"/>
      <c r="L233" s="42"/>
      <c r="M233" s="266"/>
      <c r="N233" s="266"/>
      <c r="O233" s="266"/>
      <c r="P233" s="266"/>
      <c r="Q233" s="266"/>
      <c r="R233" s="40"/>
      <c r="S233" s="40"/>
      <c r="T233" s="40"/>
      <c r="U233" s="40"/>
      <c r="V233" s="41"/>
      <c r="W233" s="60"/>
      <c r="X233" s="60"/>
      <c r="Y233" s="60"/>
      <c r="Z233" s="60"/>
      <c r="AA233" s="60"/>
      <c r="AB233" s="60"/>
      <c r="AC233" s="60"/>
      <c r="AD233" s="60"/>
      <c r="AE233" s="60"/>
    </row>
    <row r="234" spans="2:31" s="39" customFormat="1" x14ac:dyDescent="0.3">
      <c r="B234" s="209"/>
      <c r="C234" s="209"/>
      <c r="D234" s="209"/>
      <c r="E234" s="209"/>
      <c r="F234" s="209" t="s">
        <v>334</v>
      </c>
      <c r="G234" s="50"/>
      <c r="H234" s="40"/>
      <c r="I234" s="41"/>
      <c r="J234" s="41"/>
      <c r="K234" s="42"/>
      <c r="L234" s="42"/>
      <c r="M234" s="263">
        <f>LOOKUP($B232, CEFF!$C$8:$C$156, CEFF!F$8:F$156)</f>
        <v>9.2590000000000006E-2</v>
      </c>
      <c r="N234" s="263">
        <f>LOOKUP($B232, CEFF!$C$8:$C$156, CEFF!G$8:G$156)</f>
        <v>9.4339999999999993E-2</v>
      </c>
      <c r="O234" s="263">
        <f>LOOKUP($B232, CEFF!$C$8:$C$156, CEFF!H$8:H$156)</f>
        <v>9.7089999999999996E-2</v>
      </c>
      <c r="P234" s="263">
        <f>LOOKUP($B232, CEFF!$C$8:$C$156, CEFF!I$8:I$156)</f>
        <v>9.9500000000000005E-2</v>
      </c>
      <c r="Q234" s="263">
        <f>LOOKUP($B232, CEFF!$C$8:$C$156, CEFF!J$8:J$156)</f>
        <v>0.10204000000000001</v>
      </c>
      <c r="R234" s="40"/>
      <c r="S234" s="40"/>
      <c r="T234" s="40"/>
      <c r="U234" s="40"/>
      <c r="V234" s="41"/>
      <c r="W234" s="60"/>
      <c r="X234" s="60"/>
      <c r="Y234" s="60"/>
      <c r="Z234" s="60"/>
      <c r="AA234" s="60"/>
      <c r="AB234" s="60"/>
      <c r="AC234" s="60"/>
      <c r="AD234" s="60"/>
      <c r="AE234" s="60"/>
    </row>
    <row r="235" spans="2:31" s="39" customFormat="1" x14ac:dyDescent="0.3">
      <c r="B235" s="210"/>
      <c r="C235" s="210"/>
      <c r="D235" s="210"/>
      <c r="E235" s="210"/>
      <c r="F235" s="210" t="s">
        <v>336</v>
      </c>
      <c r="G235" s="51"/>
      <c r="H235" s="45"/>
      <c r="I235" s="46"/>
      <c r="J235" s="46"/>
      <c r="K235" s="44"/>
      <c r="L235" s="44"/>
      <c r="M235" s="264">
        <f>LOOKUP($B232, CEFF!$C$163:$C$330, CEFF!F$163:F$330)</f>
        <v>7.4069999999999997E-2</v>
      </c>
      <c r="N235" s="264">
        <f>LOOKUP($B232, CEFF!$C$163:$C$330, CEFF!G$163:G$330)</f>
        <v>7.5469999999999995E-2</v>
      </c>
      <c r="O235" s="264">
        <f>LOOKUP($B232, CEFF!$C$163:$C$330, CEFF!H$163:H$330)</f>
        <v>7.7670000000000003E-2</v>
      </c>
      <c r="P235" s="264">
        <f>LOOKUP($B232, CEFF!$C$163:$C$330, CEFF!I$163:I$330)</f>
        <v>7.9600000000000004E-2</v>
      </c>
      <c r="Q235" s="264">
        <f>LOOKUP($B232, CEFF!$C$163:$C$330, CEFF!J$163:J$330)</f>
        <v>8.1629999999999994E-2</v>
      </c>
      <c r="R235" s="45"/>
      <c r="S235" s="45"/>
      <c r="T235" s="45"/>
      <c r="U235" s="45"/>
      <c r="V235" s="137"/>
      <c r="W235" s="64"/>
      <c r="X235" s="64"/>
      <c r="Y235" s="64"/>
      <c r="Z235" s="64"/>
      <c r="AA235" s="64"/>
      <c r="AB235" s="64"/>
      <c r="AC235" s="64"/>
      <c r="AD235" s="64"/>
      <c r="AE235" s="64"/>
    </row>
    <row r="236" spans="2:31" s="39" customFormat="1" x14ac:dyDescent="0.3">
      <c r="B236" s="209" t="s">
        <v>162</v>
      </c>
      <c r="C236" s="208" t="str">
        <f>LOOKUP(B236, TRA_COMM_PRO!$C$7:$C$189, TRA_COMM_PRO!$D$7:$D$189)</f>
        <v>Truck.Heavy.ETH.01.</v>
      </c>
      <c r="D236" s="209" t="s">
        <v>51</v>
      </c>
      <c r="E236" s="209"/>
      <c r="F236" s="209"/>
      <c r="G236" s="10">
        <f>$G$225</f>
        <v>2019</v>
      </c>
      <c r="H236" s="40">
        <v>15</v>
      </c>
      <c r="I236" s="65">
        <f>$I$226</f>
        <v>1E-3</v>
      </c>
      <c r="J236" s="41">
        <v>7.7</v>
      </c>
      <c r="K236" s="42"/>
      <c r="L236" s="42"/>
      <c r="M236" s="263"/>
      <c r="N236" s="263"/>
      <c r="O236" s="263"/>
      <c r="P236" s="263"/>
      <c r="Q236" s="263"/>
      <c r="R236" s="40">
        <v>45</v>
      </c>
      <c r="S236" s="40"/>
      <c r="T236" s="40"/>
      <c r="U236" s="40"/>
      <c r="V236" s="41"/>
      <c r="W236" s="62">
        <f>LOOKUP(B236, FIXOM_VAROM!$C$8:$C$190, FIXOM_VAROM!$D$8:$D$190)</f>
        <v>100</v>
      </c>
      <c r="X236" s="40">
        <f>LOOKUP($B236, INVCOST!$C$8:$C$193, INVCOST!D$8:D$193)</f>
        <v>169</v>
      </c>
      <c r="Y236" s="40">
        <f>LOOKUP($B236, INVCOST!$C$8:$C$193, INVCOST!E$8:E$193)</f>
        <v>169</v>
      </c>
      <c r="Z236" s="40">
        <f>LOOKUP($B236, INVCOST!$C$8:$C$193, INVCOST!F$8:F$193)</f>
        <v>169</v>
      </c>
      <c r="AA236" s="40">
        <f>LOOKUP($B236, INVCOST!$C$8:$C$193, INVCOST!G$8:G$193)</f>
        <v>169</v>
      </c>
      <c r="AB236" s="40">
        <f>LOOKUP($B236, INVCOST!$C$8:$C$193, INVCOST!H$8:H$193)</f>
        <v>169</v>
      </c>
      <c r="AC236" s="40">
        <f>LOOKUP($B236, INVCOST!$C$8:$C$193, INVCOST!I$8:I$193)</f>
        <v>169</v>
      </c>
      <c r="AD236" s="40">
        <f>LOOKUP($B236, INVCOST!$C$8:$C$193, INVCOST!J$8:J$193)</f>
        <v>169</v>
      </c>
      <c r="AE236" s="40">
        <f>LOOKUP($B236, INVCOST!$C$8:$C$193, INVCOST!K$8:K$193)</f>
        <v>169</v>
      </c>
    </row>
    <row r="237" spans="2:31" s="39" customFormat="1" x14ac:dyDescent="0.3">
      <c r="B237" s="209"/>
      <c r="C237" s="209"/>
      <c r="D237" s="209"/>
      <c r="E237" s="209"/>
      <c r="F237" s="209" t="s">
        <v>334</v>
      </c>
      <c r="G237" s="50"/>
      <c r="H237" s="40"/>
      <c r="I237" s="41"/>
      <c r="J237" s="41"/>
      <c r="K237" s="42"/>
      <c r="L237" s="42"/>
      <c r="M237" s="263">
        <f>LOOKUP($B236, CEFF!$C$8:$C$156, CEFF!F$8:F$156)</f>
        <v>9.2590000000000006E-2</v>
      </c>
      <c r="N237" s="263">
        <f>LOOKUP($B236, CEFF!$C$8:$C$156, CEFF!G$8:G$156)</f>
        <v>9.4339999999999993E-2</v>
      </c>
      <c r="O237" s="263">
        <f>LOOKUP($B236, CEFF!$C$8:$C$156, CEFF!H$8:H$156)</f>
        <v>9.7089999999999996E-2</v>
      </c>
      <c r="P237" s="263">
        <f>LOOKUP($B236, CEFF!$C$8:$C$156, CEFF!I$8:I$156)</f>
        <v>9.9500000000000005E-2</v>
      </c>
      <c r="Q237" s="263">
        <f>LOOKUP($B236, CEFF!$C$8:$C$156, CEFF!J$8:J$156)</f>
        <v>0.10204000000000001</v>
      </c>
      <c r="R237" s="40"/>
      <c r="S237" s="40"/>
      <c r="T237" s="40"/>
      <c r="U237" s="40"/>
      <c r="V237" s="41"/>
      <c r="W237" s="60"/>
      <c r="X237" s="60"/>
      <c r="Y237" s="60"/>
      <c r="Z237" s="60"/>
      <c r="AA237" s="60"/>
      <c r="AB237" s="60"/>
      <c r="AC237" s="60"/>
      <c r="AD237" s="60"/>
      <c r="AE237" s="60"/>
    </row>
    <row r="238" spans="2:31" s="39" customFormat="1" x14ac:dyDescent="0.3">
      <c r="B238" s="210"/>
      <c r="C238" s="210"/>
      <c r="D238" s="210"/>
      <c r="E238" s="210"/>
      <c r="F238" s="210" t="s">
        <v>336</v>
      </c>
      <c r="G238" s="51"/>
      <c r="H238" s="45"/>
      <c r="I238" s="46"/>
      <c r="J238" s="46"/>
      <c r="K238" s="44"/>
      <c r="L238" s="44"/>
      <c r="M238" s="264">
        <f>LOOKUP($B236, CEFF!$C$163:$C$330, CEFF!F$163:F$330)</f>
        <v>7.4069999999999997E-2</v>
      </c>
      <c r="N238" s="264">
        <f>LOOKUP($B236, CEFF!$C$163:$C$330, CEFF!G$163:G$330)</f>
        <v>7.5469999999999995E-2</v>
      </c>
      <c r="O238" s="264">
        <f>LOOKUP($B236, CEFF!$C$163:$C$330, CEFF!H$163:H$330)</f>
        <v>7.7670000000000003E-2</v>
      </c>
      <c r="P238" s="264">
        <f>LOOKUP($B236, CEFF!$C$163:$C$330, CEFF!I$163:I$330)</f>
        <v>7.9600000000000004E-2</v>
      </c>
      <c r="Q238" s="264">
        <f>LOOKUP($B236, CEFF!$C$163:$C$330, CEFF!J$163:J$330)</f>
        <v>8.1629999999999994E-2</v>
      </c>
      <c r="R238" s="45"/>
      <c r="S238" s="45"/>
      <c r="T238" s="45"/>
      <c r="U238" s="45"/>
      <c r="V238" s="46"/>
      <c r="W238" s="64"/>
      <c r="X238" s="64"/>
      <c r="Y238" s="64"/>
      <c r="Z238" s="64"/>
      <c r="AA238" s="64"/>
      <c r="AB238" s="64"/>
      <c r="AC238" s="64"/>
      <c r="AD238" s="64"/>
      <c r="AE238" s="64"/>
    </row>
    <row r="239" spans="2:31" s="39" customFormat="1" x14ac:dyDescent="0.3">
      <c r="B239" s="209" t="s">
        <v>164</v>
      </c>
      <c r="C239" s="208" t="str">
        <f>LOOKUP(B239, TRA_COMM_PRO!$C$7:$C$189, TRA_COMM_PRO!$D$7:$D$189)</f>
        <v>Truck.Heavy.GAS.01.</v>
      </c>
      <c r="D239" s="209" t="s">
        <v>54</v>
      </c>
      <c r="E239" s="209"/>
      <c r="F239" s="209"/>
      <c r="G239" s="10">
        <f>$G$225</f>
        <v>2019</v>
      </c>
      <c r="H239" s="40">
        <v>15</v>
      </c>
      <c r="I239" s="65">
        <f>$I$226</f>
        <v>1E-3</v>
      </c>
      <c r="J239" s="41">
        <v>7.7</v>
      </c>
      <c r="K239" s="42"/>
      <c r="L239" s="42"/>
      <c r="M239" s="263"/>
      <c r="N239" s="263"/>
      <c r="O239" s="263"/>
      <c r="P239" s="263"/>
      <c r="Q239" s="263"/>
      <c r="R239" s="40">
        <v>45</v>
      </c>
      <c r="S239" s="40"/>
      <c r="T239" s="40"/>
      <c r="U239" s="40"/>
      <c r="V239" s="41"/>
      <c r="W239" s="62">
        <f>LOOKUP(B239, FIXOM_VAROM!$C$8:$C$190, FIXOM_VAROM!$D$8:$D$190)</f>
        <v>100</v>
      </c>
      <c r="X239" s="40">
        <f>LOOKUP($B239, INVCOST!$C$8:$C$193, INVCOST!D$8:D$193)</f>
        <v>169</v>
      </c>
      <c r="Y239" s="40">
        <f>LOOKUP($B239, INVCOST!$C$8:$C$193, INVCOST!E$8:E$193)</f>
        <v>169</v>
      </c>
      <c r="Z239" s="40">
        <f>LOOKUP($B239, INVCOST!$C$8:$C$193, INVCOST!F$8:F$193)</f>
        <v>169</v>
      </c>
      <c r="AA239" s="40">
        <f>LOOKUP($B239, INVCOST!$C$8:$C$193, INVCOST!G$8:G$193)</f>
        <v>169</v>
      </c>
      <c r="AB239" s="40">
        <f>LOOKUP($B239, INVCOST!$C$8:$C$193, INVCOST!H$8:H$193)</f>
        <v>169</v>
      </c>
      <c r="AC239" s="40">
        <f>LOOKUP($B239, INVCOST!$C$8:$C$193, INVCOST!I$8:I$193)</f>
        <v>169</v>
      </c>
      <c r="AD239" s="40">
        <f>LOOKUP($B239, INVCOST!$C$8:$C$193, INVCOST!J$8:J$193)</f>
        <v>169</v>
      </c>
      <c r="AE239" s="40">
        <f>LOOKUP($B239, INVCOST!$C$8:$C$193, INVCOST!K$8:K$193)</f>
        <v>169</v>
      </c>
    </row>
    <row r="240" spans="2:31" s="39" customFormat="1" x14ac:dyDescent="0.3">
      <c r="B240" s="209"/>
      <c r="C240" s="209"/>
      <c r="D240" s="209" t="s">
        <v>53</v>
      </c>
      <c r="E240" s="209"/>
      <c r="F240" s="209"/>
      <c r="G240" s="50"/>
      <c r="H240" s="40"/>
      <c r="I240" s="41"/>
      <c r="J240" s="41"/>
      <c r="K240" s="42"/>
      <c r="L240" s="42"/>
      <c r="M240" s="266"/>
      <c r="N240" s="266"/>
      <c r="O240" s="266"/>
      <c r="P240" s="266"/>
      <c r="Q240" s="266"/>
      <c r="R240" s="40"/>
      <c r="S240" s="40"/>
      <c r="T240" s="40"/>
      <c r="U240" s="40"/>
      <c r="V240" s="41"/>
      <c r="W240" s="60"/>
      <c r="X240" s="60"/>
      <c r="Y240" s="60"/>
      <c r="Z240" s="60"/>
      <c r="AA240" s="60"/>
      <c r="AB240" s="60"/>
      <c r="AC240" s="60"/>
      <c r="AD240" s="60"/>
      <c r="AE240" s="60"/>
    </row>
    <row r="241" spans="2:31" s="39" customFormat="1" x14ac:dyDescent="0.3">
      <c r="B241" s="209"/>
      <c r="C241" s="209"/>
      <c r="D241" s="209"/>
      <c r="E241" s="209"/>
      <c r="F241" s="209" t="s">
        <v>334</v>
      </c>
      <c r="G241" s="50"/>
      <c r="H241" s="40"/>
      <c r="I241" s="41"/>
      <c r="J241" s="41"/>
      <c r="K241" s="42"/>
      <c r="L241" s="42"/>
      <c r="M241" s="263">
        <f>LOOKUP($B239, CEFF!$C$8:$C$156, CEFF!F$8:F$156)</f>
        <v>8.4029999999999994E-2</v>
      </c>
      <c r="N241" s="263">
        <f>LOOKUP($B239, CEFF!$C$8:$C$156, CEFF!G$8:G$156)</f>
        <v>8.5110000000000005E-2</v>
      </c>
      <c r="O241" s="263">
        <f>LOOKUP($B239, CEFF!$C$8:$C$156, CEFF!H$8:H$156)</f>
        <v>8.8499999999999995E-2</v>
      </c>
      <c r="P241" s="263">
        <f>LOOKUP($B239, CEFF!$C$8:$C$156, CEFF!I$8:I$156)</f>
        <v>9.0910000000000005E-2</v>
      </c>
      <c r="Q241" s="263">
        <f>LOOKUP($B239, CEFF!$C$8:$C$156, CEFF!J$8:J$156)</f>
        <v>9.3460000000000001E-2</v>
      </c>
      <c r="R241" s="40"/>
      <c r="S241" s="40"/>
      <c r="T241" s="40"/>
      <c r="U241" s="40"/>
      <c r="V241" s="41"/>
      <c r="W241" s="60"/>
      <c r="X241" s="60"/>
      <c r="Y241" s="60"/>
      <c r="Z241" s="60"/>
      <c r="AA241" s="60"/>
      <c r="AB241" s="60"/>
      <c r="AC241" s="60"/>
      <c r="AD241" s="60"/>
      <c r="AE241" s="60"/>
    </row>
    <row r="242" spans="2:31" s="39" customFormat="1" x14ac:dyDescent="0.3">
      <c r="B242" s="210"/>
      <c r="C242" s="210"/>
      <c r="D242" s="210"/>
      <c r="E242" s="210"/>
      <c r="F242" s="210" t="s">
        <v>336</v>
      </c>
      <c r="G242" s="51"/>
      <c r="H242" s="45"/>
      <c r="I242" s="46"/>
      <c r="J242" s="46"/>
      <c r="K242" s="44"/>
      <c r="L242" s="44"/>
      <c r="M242" s="264">
        <f>LOOKUP($B239, CEFF!$C$163:$C$330, CEFF!F$163:F$330)</f>
        <v>6.7229999999999998E-2</v>
      </c>
      <c r="N242" s="264">
        <f>LOOKUP($B239, CEFF!$C$163:$C$330, CEFF!G$163:G$330)</f>
        <v>6.8089999999999998E-2</v>
      </c>
      <c r="O242" s="264">
        <f>LOOKUP($B239, CEFF!$C$163:$C$330, CEFF!H$163:H$330)</f>
        <v>7.0800000000000002E-2</v>
      </c>
      <c r="P242" s="264">
        <f>LOOKUP($B239, CEFF!$C$163:$C$330, CEFF!I$163:I$330)</f>
        <v>7.2730000000000003E-2</v>
      </c>
      <c r="Q242" s="264">
        <f>LOOKUP($B239, CEFF!$C$163:$C$330, CEFF!J$163:J$330)</f>
        <v>7.4770000000000003E-2</v>
      </c>
      <c r="R242" s="45"/>
      <c r="S242" s="45"/>
      <c r="T242" s="45"/>
      <c r="U242" s="45"/>
      <c r="V242" s="46"/>
      <c r="W242" s="64"/>
      <c r="X242" s="64"/>
      <c r="Y242" s="64"/>
      <c r="Z242" s="64"/>
      <c r="AA242" s="64"/>
      <c r="AB242" s="64"/>
      <c r="AC242" s="64"/>
      <c r="AD242" s="64"/>
      <c r="AE242" s="64"/>
    </row>
    <row r="243" spans="2:31" s="39" customFormat="1" x14ac:dyDescent="0.3">
      <c r="B243" s="212" t="s">
        <v>166</v>
      </c>
      <c r="C243" s="208" t="str">
        <f>LOOKUP(B243, TRA_COMM_PRO!$C$7:$C$189, TRA_COMM_PRO!$D$7:$D$189)</f>
        <v>Truck.Heavy.GSL.01.</v>
      </c>
      <c r="D243" s="212" t="s">
        <v>40</v>
      </c>
      <c r="E243" s="212"/>
      <c r="F243" s="212"/>
      <c r="G243" s="10">
        <f>$G$225</f>
        <v>2019</v>
      </c>
      <c r="H243" s="40">
        <v>15</v>
      </c>
      <c r="I243" s="65">
        <f>$I$226</f>
        <v>1E-3</v>
      </c>
      <c r="J243" s="76">
        <v>7.7</v>
      </c>
      <c r="K243" s="77"/>
      <c r="L243" s="77">
        <v>0.05</v>
      </c>
      <c r="M243" s="263"/>
      <c r="N243" s="263"/>
      <c r="O243" s="263"/>
      <c r="P243" s="263"/>
      <c r="Q243" s="263"/>
      <c r="R243" s="40">
        <v>45</v>
      </c>
      <c r="S243" s="40"/>
      <c r="T243" s="40"/>
      <c r="U243" s="40"/>
      <c r="V243" s="41"/>
      <c r="W243" s="62">
        <f>LOOKUP(B243, FIXOM_VAROM!$C$8:$C$190, FIXOM_VAROM!$D$8:$D$190)</f>
        <v>100</v>
      </c>
      <c r="X243" s="40">
        <f>LOOKUP($B243, INVCOST!$C$8:$C$193, INVCOST!D$8:D$193)</f>
        <v>141</v>
      </c>
      <c r="Y243" s="40">
        <f>LOOKUP($B243, INVCOST!$C$8:$C$193, INVCOST!E$8:E$193)</f>
        <v>141</v>
      </c>
      <c r="Z243" s="40">
        <f>LOOKUP($B243, INVCOST!$C$8:$C$193, INVCOST!F$8:F$193)</f>
        <v>141</v>
      </c>
      <c r="AA243" s="40">
        <f>LOOKUP($B243, INVCOST!$C$8:$C$193, INVCOST!G$8:G$193)</f>
        <v>141</v>
      </c>
      <c r="AB243" s="40">
        <f>LOOKUP($B243, INVCOST!$C$8:$C$193, INVCOST!H$8:H$193)</f>
        <v>141</v>
      </c>
      <c r="AC243" s="40">
        <f>LOOKUP($B243, INVCOST!$C$8:$C$193, INVCOST!I$8:I$193)</f>
        <v>141</v>
      </c>
      <c r="AD243" s="40">
        <f>LOOKUP($B243, INVCOST!$C$8:$C$193, INVCOST!J$8:J$193)</f>
        <v>141</v>
      </c>
      <c r="AE243" s="40">
        <f>LOOKUP($B243, INVCOST!$C$8:$C$193, INVCOST!K$8:K$193)</f>
        <v>141</v>
      </c>
    </row>
    <row r="244" spans="2:31" s="39" customFormat="1" x14ac:dyDescent="0.3">
      <c r="B244" s="209"/>
      <c r="C244" s="208"/>
      <c r="D244" s="209" t="s">
        <v>39</v>
      </c>
      <c r="E244" s="209"/>
      <c r="F244" s="209"/>
      <c r="G244" s="10"/>
      <c r="H244" s="40"/>
      <c r="I244" s="65"/>
      <c r="J244" s="163"/>
      <c r="K244" s="78"/>
      <c r="L244" s="78"/>
      <c r="M244" s="263"/>
      <c r="N244" s="263"/>
      <c r="O244" s="263"/>
      <c r="P244" s="263"/>
      <c r="Q244" s="263"/>
      <c r="R244" s="40"/>
      <c r="S244" s="40"/>
      <c r="T244" s="40"/>
      <c r="U244" s="40"/>
      <c r="V244" s="41"/>
      <c r="W244" s="60"/>
      <c r="X244" s="40"/>
      <c r="Y244" s="40"/>
      <c r="Z244" s="40"/>
      <c r="AA244" s="40"/>
      <c r="AB244" s="40"/>
      <c r="AC244" s="40"/>
      <c r="AD244" s="40"/>
      <c r="AE244" s="40"/>
    </row>
    <row r="245" spans="2:31" s="39" customFormat="1" x14ac:dyDescent="0.3">
      <c r="B245" s="209"/>
      <c r="C245" s="209"/>
      <c r="D245" s="209"/>
      <c r="E245" s="209"/>
      <c r="F245" s="209" t="s">
        <v>334</v>
      </c>
      <c r="G245" s="50"/>
      <c r="H245" s="40"/>
      <c r="I245" s="41"/>
      <c r="J245" s="40"/>
      <c r="K245" s="78"/>
      <c r="L245" s="78"/>
      <c r="M245" s="263">
        <f>LOOKUP($B243, CEFF!$C$8:$C$156, CEFF!F$8:F$156)</f>
        <v>8.4029999999999994E-2</v>
      </c>
      <c r="N245" s="263">
        <f>LOOKUP($B243, CEFF!$C$8:$C$156, CEFF!G$8:G$156)</f>
        <v>8.5110000000000005E-2</v>
      </c>
      <c r="O245" s="263">
        <f>LOOKUP($B243, CEFF!$C$8:$C$156, CEFF!H$8:H$156)</f>
        <v>8.8499999999999995E-2</v>
      </c>
      <c r="P245" s="263">
        <f>LOOKUP($B243, CEFF!$C$8:$C$156, CEFF!I$8:I$156)</f>
        <v>9.0910000000000005E-2</v>
      </c>
      <c r="Q245" s="263">
        <f>LOOKUP($B243, CEFF!$C$8:$C$156, CEFF!J$8:J$156)</f>
        <v>9.3460000000000001E-2</v>
      </c>
      <c r="R245" s="40"/>
      <c r="S245" s="40"/>
      <c r="T245" s="40"/>
      <c r="U245" s="40"/>
      <c r="V245" s="41"/>
      <c r="W245" s="60"/>
      <c r="X245" s="60"/>
      <c r="Y245" s="60"/>
      <c r="Z245" s="60"/>
      <c r="AA245" s="60"/>
      <c r="AB245" s="60"/>
      <c r="AC245" s="60"/>
      <c r="AD245" s="60"/>
      <c r="AE245" s="60"/>
    </row>
    <row r="246" spans="2:31" s="39" customFormat="1" x14ac:dyDescent="0.3">
      <c r="B246" s="210"/>
      <c r="C246" s="210"/>
      <c r="D246" s="210"/>
      <c r="E246" s="210"/>
      <c r="F246" s="210" t="s">
        <v>336</v>
      </c>
      <c r="G246" s="51"/>
      <c r="H246" s="45"/>
      <c r="I246" s="46"/>
      <c r="J246" s="45"/>
      <c r="K246" s="79"/>
      <c r="L246" s="79"/>
      <c r="M246" s="264">
        <f>LOOKUP($B243, CEFF!$C$163:$C$330, CEFF!F$163:F$330)</f>
        <v>6.7229999999999998E-2</v>
      </c>
      <c r="N246" s="264">
        <f>LOOKUP($B243, CEFF!$C$163:$C$330, CEFF!G$163:G$330)</f>
        <v>6.8089999999999998E-2</v>
      </c>
      <c r="O246" s="264">
        <f>LOOKUP($B243, CEFF!$C$163:$C$330, CEFF!H$163:H$330)</f>
        <v>7.0800000000000002E-2</v>
      </c>
      <c r="P246" s="264">
        <f>LOOKUP($B243, CEFF!$C$163:$C$330, CEFF!I$163:I$330)</f>
        <v>7.2730000000000003E-2</v>
      </c>
      <c r="Q246" s="264">
        <f>LOOKUP($B243, CEFF!$C$163:$C$330, CEFF!J$163:J$330)</f>
        <v>7.4770000000000003E-2</v>
      </c>
      <c r="R246" s="45"/>
      <c r="S246" s="45"/>
      <c r="T246" s="45"/>
      <c r="U246" s="45"/>
      <c r="V246" s="46"/>
      <c r="W246" s="64"/>
      <c r="X246" s="64"/>
      <c r="Y246" s="64"/>
      <c r="Z246" s="64"/>
      <c r="AA246" s="64"/>
      <c r="AB246" s="64"/>
      <c r="AC246" s="64"/>
      <c r="AD246" s="64"/>
      <c r="AE246" s="64"/>
    </row>
    <row r="247" spans="2:31" s="39" customFormat="1" x14ac:dyDescent="0.3">
      <c r="B247" s="209" t="s">
        <v>168</v>
      </c>
      <c r="C247" s="208" t="str">
        <f>LOOKUP(B247, TRA_COMM_PRO!$C$7:$C$189, TRA_COMM_PRO!$D$7:$D$189)</f>
        <v>Truck.Heavy.H2G.01.</v>
      </c>
      <c r="D247" s="209" t="s">
        <v>57</v>
      </c>
      <c r="E247" s="209"/>
      <c r="F247" s="209"/>
      <c r="G247" s="10">
        <f>G196</f>
        <v>2019</v>
      </c>
      <c r="H247" s="40">
        <v>15</v>
      </c>
      <c r="I247" s="65">
        <f>$I$226</f>
        <v>1E-3</v>
      </c>
      <c r="J247" s="41">
        <v>7.7</v>
      </c>
      <c r="K247" s="42"/>
      <c r="L247" s="42"/>
      <c r="M247" s="263"/>
      <c r="N247" s="263"/>
      <c r="O247" s="263"/>
      <c r="P247" s="263"/>
      <c r="Q247" s="263"/>
      <c r="R247" s="40">
        <v>45</v>
      </c>
      <c r="S247" s="40"/>
      <c r="T247" s="40"/>
      <c r="U247" s="40"/>
      <c r="V247" s="41"/>
      <c r="W247" s="62">
        <f>LOOKUP(B247, FIXOM_VAROM!$C$8:$C$190, FIXOM_VAROM!$D$8:$D$190)</f>
        <v>80.000000000000014</v>
      </c>
      <c r="X247" s="40">
        <f>LOOKUP($B247, INVCOST!$C$8:$C$193, INVCOST!D$8:D$193)</f>
        <v>219</v>
      </c>
      <c r="Y247" s="40">
        <f>LOOKUP($B247, INVCOST!$C$8:$C$193, INVCOST!E$8:E$193)</f>
        <v>216</v>
      </c>
      <c r="Z247" s="40">
        <f>LOOKUP($B247, INVCOST!$C$8:$C$193, INVCOST!F$8:F$193)</f>
        <v>213</v>
      </c>
      <c r="AA247" s="40">
        <f>LOOKUP($B247, INVCOST!$C$8:$C$193, INVCOST!G$8:G$193)</f>
        <v>210</v>
      </c>
      <c r="AB247" s="40">
        <f>LOOKUP($B247, INVCOST!$C$8:$C$193, INVCOST!H$8:H$193)</f>
        <v>206</v>
      </c>
      <c r="AC247" s="40">
        <f>LOOKUP($B247, INVCOST!$C$8:$C$193, INVCOST!I$8:I$193)</f>
        <v>203</v>
      </c>
      <c r="AD247" s="40">
        <f>LOOKUP($B247, INVCOST!$C$8:$C$193, INVCOST!J$8:J$193)</f>
        <v>200</v>
      </c>
      <c r="AE247" s="40">
        <f>LOOKUP($B247, INVCOST!$C$8:$C$193, INVCOST!K$8:K$193)</f>
        <v>197</v>
      </c>
    </row>
    <row r="248" spans="2:31" s="39" customFormat="1" x14ac:dyDescent="0.3">
      <c r="B248" s="209"/>
      <c r="C248" s="209"/>
      <c r="D248" s="209"/>
      <c r="E248" s="209"/>
      <c r="F248" s="209" t="s">
        <v>334</v>
      </c>
      <c r="G248" s="50"/>
      <c r="H248" s="40"/>
      <c r="I248" s="41"/>
      <c r="J248" s="41"/>
      <c r="K248" s="42"/>
      <c r="L248" s="42"/>
      <c r="M248" s="263">
        <f>LOOKUP($B247, CEFF!$C$8:$C$156, CEFF!F$8:F$156)</f>
        <v>0.15384999999999999</v>
      </c>
      <c r="N248" s="263">
        <f>LOOKUP($B247, CEFF!$C$8:$C$156, CEFF!G$8:G$156)</f>
        <v>0.15625</v>
      </c>
      <c r="O248" s="263">
        <f>LOOKUP($B247, CEFF!$C$8:$C$156, CEFF!H$8:H$156)</f>
        <v>0.16392999999999999</v>
      </c>
      <c r="P248" s="263">
        <f>LOOKUP($B247, CEFF!$C$8:$C$156, CEFF!I$8:I$156)</f>
        <v>0.16807</v>
      </c>
      <c r="Q248" s="263">
        <f>LOOKUP($B247, CEFF!$C$8:$C$156, CEFF!J$8:J$156)</f>
        <v>0.17241000000000001</v>
      </c>
      <c r="R248" s="40"/>
      <c r="S248" s="40"/>
      <c r="T248" s="40"/>
      <c r="U248" s="40"/>
      <c r="V248" s="41"/>
      <c r="W248" s="60"/>
      <c r="X248" s="60"/>
      <c r="Y248" s="60"/>
      <c r="Z248" s="60"/>
      <c r="AA248" s="60"/>
      <c r="AB248" s="60"/>
      <c r="AC248" s="60"/>
      <c r="AD248" s="60"/>
      <c r="AE248" s="60"/>
    </row>
    <row r="249" spans="2:31" s="39" customFormat="1" x14ac:dyDescent="0.3">
      <c r="B249" s="210"/>
      <c r="C249" s="210"/>
      <c r="D249" s="210"/>
      <c r="E249" s="210"/>
      <c r="F249" s="210" t="s">
        <v>336</v>
      </c>
      <c r="G249" s="51"/>
      <c r="H249" s="45"/>
      <c r="I249" s="46"/>
      <c r="J249" s="46"/>
      <c r="K249" s="44"/>
      <c r="L249" s="79"/>
      <c r="M249" s="264">
        <f>LOOKUP($B247, CEFF!$C$163:$C$330, CEFF!F$163:F$330)</f>
        <v>0.12307999999999999</v>
      </c>
      <c r="N249" s="264">
        <f>LOOKUP($B247, CEFF!$C$163:$C$330, CEFF!G$163:G$330)</f>
        <v>0.125</v>
      </c>
      <c r="O249" s="264">
        <f>LOOKUP($B247, CEFF!$C$163:$C$330, CEFF!H$163:H$330)</f>
        <v>0.13114999999999999</v>
      </c>
      <c r="P249" s="264">
        <f>LOOKUP($B247, CEFF!$C$163:$C$330, CEFF!I$163:I$330)</f>
        <v>0.13444999999999999</v>
      </c>
      <c r="Q249" s="264">
        <f>LOOKUP($B247, CEFF!$C$163:$C$330, CEFF!J$163:J$330)</f>
        <v>0.13793</v>
      </c>
      <c r="R249" s="45"/>
      <c r="S249" s="45"/>
      <c r="T249" s="45"/>
      <c r="U249" s="45"/>
      <c r="V249" s="46"/>
      <c r="W249" s="64"/>
      <c r="X249" s="64"/>
      <c r="Y249" s="64"/>
      <c r="Z249" s="64"/>
      <c r="AA249" s="64"/>
      <c r="AB249" s="64"/>
      <c r="AC249" s="64"/>
      <c r="AD249" s="64"/>
      <c r="AE249" s="64"/>
    </row>
    <row r="250" spans="2:31" s="39" customFormat="1" x14ac:dyDescent="0.3">
      <c r="B250" s="209" t="s">
        <v>344</v>
      </c>
      <c r="C250" s="208" t="str">
        <f>LOOKUP(B250, TRA_COMM_PRO!$C$7:$C$189, TRA_COMM_PRO!$D$7:$D$189)</f>
        <v>Truck.Heavy.Hybrid.DST.01.</v>
      </c>
      <c r="D250" s="209" t="s">
        <v>44</v>
      </c>
      <c r="E250" s="209"/>
      <c r="F250" s="209"/>
      <c r="G250" s="10">
        <f>$G$225</f>
        <v>2019</v>
      </c>
      <c r="H250" s="40">
        <v>15</v>
      </c>
      <c r="I250" s="65">
        <f>$I$226</f>
        <v>1E-3</v>
      </c>
      <c r="J250" s="41">
        <v>7.7</v>
      </c>
      <c r="K250" s="42"/>
      <c r="L250" s="42"/>
      <c r="M250" s="263"/>
      <c r="N250" s="263"/>
      <c r="O250" s="263"/>
      <c r="P250" s="263"/>
      <c r="Q250" s="263"/>
      <c r="R250" s="40">
        <v>45</v>
      </c>
      <c r="S250" s="40"/>
      <c r="T250" s="40"/>
      <c r="U250" s="40"/>
      <c r="V250" s="41"/>
      <c r="W250" s="62">
        <f>LOOKUP(B250, FIXOM_VAROM!$C$8:$C$190, FIXOM_VAROM!$D$8:$D$190)</f>
        <v>100</v>
      </c>
      <c r="X250" s="40">
        <f>LOOKUP($B250, INVCOST!$C$8:$C$193, INVCOST!D$8:D$193)</f>
        <v>169</v>
      </c>
      <c r="Y250" s="40">
        <f>LOOKUP($B250, INVCOST!$C$8:$C$193, INVCOST!E$8:E$193)</f>
        <v>169</v>
      </c>
      <c r="Z250" s="40">
        <f>LOOKUP($B250, INVCOST!$C$8:$C$193, INVCOST!F$8:F$193)</f>
        <v>169</v>
      </c>
      <c r="AA250" s="40">
        <f>LOOKUP($B250, INVCOST!$C$8:$C$193, INVCOST!G$8:G$193)</f>
        <v>169</v>
      </c>
      <c r="AB250" s="40">
        <f>LOOKUP($B250, INVCOST!$C$8:$C$193, INVCOST!H$8:H$193)</f>
        <v>169</v>
      </c>
      <c r="AC250" s="40">
        <f>LOOKUP($B250, INVCOST!$C$8:$C$193, INVCOST!I$8:I$193)</f>
        <v>169</v>
      </c>
      <c r="AD250" s="40">
        <f>LOOKUP($B250, INVCOST!$C$8:$C$193, INVCOST!J$8:J$193)</f>
        <v>169</v>
      </c>
      <c r="AE250" s="40">
        <f>LOOKUP($B250, INVCOST!$C$8:$C$193, INVCOST!K$8:K$193)</f>
        <v>169</v>
      </c>
    </row>
    <row r="251" spans="2:31" s="39" customFormat="1" x14ac:dyDescent="0.3">
      <c r="B251" s="209"/>
      <c r="C251" s="209"/>
      <c r="D251" s="209" t="s">
        <v>48</v>
      </c>
      <c r="E251" s="209"/>
      <c r="F251" s="209"/>
      <c r="G251" s="42"/>
      <c r="H251" s="40"/>
      <c r="I251" s="41"/>
      <c r="J251" s="41"/>
      <c r="K251" s="42"/>
      <c r="L251" s="42"/>
      <c r="M251" s="266"/>
      <c r="N251" s="266"/>
      <c r="O251" s="266"/>
      <c r="P251" s="266"/>
      <c r="Q251" s="266"/>
      <c r="R251" s="40"/>
      <c r="S251" s="40"/>
      <c r="T251" s="40"/>
      <c r="U251" s="40"/>
      <c r="V251" s="41"/>
      <c r="W251" s="60"/>
      <c r="X251" s="60"/>
      <c r="Y251" s="60"/>
      <c r="Z251" s="60"/>
      <c r="AA251" s="60"/>
      <c r="AB251" s="60"/>
      <c r="AC251" s="60"/>
      <c r="AD251" s="60"/>
      <c r="AE251" s="60"/>
    </row>
    <row r="252" spans="2:31" s="39" customFormat="1" x14ac:dyDescent="0.3">
      <c r="B252" s="209"/>
      <c r="C252" s="209"/>
      <c r="D252" s="209"/>
      <c r="E252" s="209"/>
      <c r="F252" s="209" t="s">
        <v>334</v>
      </c>
      <c r="G252" s="50"/>
      <c r="H252" s="40"/>
      <c r="I252" s="41"/>
      <c r="J252" s="41"/>
      <c r="K252" s="42"/>
      <c r="L252" s="42"/>
      <c r="M252" s="263">
        <f>LOOKUP($B250, CEFF!$C$8:$C$156, CEFF!F$8:F$156)</f>
        <v>0.10309</v>
      </c>
      <c r="N252" s="263">
        <f>LOOKUP($B250, CEFF!$C$8:$C$156, CEFF!G$8:G$156)</f>
        <v>0.10526000000000001</v>
      </c>
      <c r="O252" s="263">
        <f>LOOKUP($B250, CEFF!$C$8:$C$156, CEFF!H$8:H$156)</f>
        <v>0.1087</v>
      </c>
      <c r="P252" s="263">
        <f>LOOKUP($B250, CEFF!$C$8:$C$156, CEFF!I$8:I$156)</f>
        <v>0.11111</v>
      </c>
      <c r="Q252" s="263">
        <f>LOOKUP($B250, CEFF!$C$8:$C$156, CEFF!J$8:J$156)</f>
        <v>0.11364</v>
      </c>
      <c r="R252" s="40"/>
      <c r="S252" s="40"/>
      <c r="T252" s="40"/>
      <c r="U252" s="40"/>
      <c r="V252" s="41"/>
      <c r="W252" s="60"/>
      <c r="X252" s="60"/>
      <c r="Y252" s="60"/>
      <c r="Z252" s="60"/>
      <c r="AA252" s="60"/>
      <c r="AB252" s="60"/>
      <c r="AC252" s="60"/>
      <c r="AD252" s="60"/>
      <c r="AE252" s="60"/>
    </row>
    <row r="253" spans="2:31" s="39" customFormat="1" x14ac:dyDescent="0.3">
      <c r="B253" s="210"/>
      <c r="C253" s="210"/>
      <c r="D253" s="210"/>
      <c r="E253" s="210"/>
      <c r="F253" s="210" t="s">
        <v>336</v>
      </c>
      <c r="G253" s="51"/>
      <c r="H253" s="45"/>
      <c r="I253" s="46"/>
      <c r="J253" s="46"/>
      <c r="K253" s="44"/>
      <c r="L253" s="44"/>
      <c r="M253" s="264">
        <f>LOOKUP($B250, CEFF!$C$163:$C$330, CEFF!F$163:F$330)</f>
        <v>8.2470000000000002E-2</v>
      </c>
      <c r="N253" s="264">
        <f>LOOKUP($B250, CEFF!$C$163:$C$330, CEFF!G$163:G$330)</f>
        <v>8.4209999999999993E-2</v>
      </c>
      <c r="O253" s="264">
        <f>LOOKUP($B250, CEFF!$C$163:$C$330, CEFF!H$163:H$330)</f>
        <v>8.6959999999999996E-2</v>
      </c>
      <c r="P253" s="264">
        <f>LOOKUP($B250, CEFF!$C$163:$C$330, CEFF!I$163:I$330)</f>
        <v>8.8889999999999997E-2</v>
      </c>
      <c r="Q253" s="264">
        <f>LOOKUP($B250, CEFF!$C$163:$C$330, CEFF!J$163:J$330)</f>
        <v>9.0910000000000005E-2</v>
      </c>
      <c r="R253" s="45"/>
      <c r="S253" s="45"/>
      <c r="T253" s="45"/>
      <c r="U253" s="45"/>
      <c r="V253" s="46"/>
      <c r="W253" s="64"/>
      <c r="X253" s="64"/>
      <c r="Y253" s="64"/>
      <c r="Z253" s="64"/>
      <c r="AA253" s="64"/>
      <c r="AB253" s="64"/>
      <c r="AC253" s="64"/>
      <c r="AD253" s="64"/>
      <c r="AE253" s="64"/>
    </row>
    <row r="254" spans="2:31" s="39" customFormat="1" x14ac:dyDescent="0.3">
      <c r="B254" s="209" t="s">
        <v>411</v>
      </c>
      <c r="C254" s="208" t="str">
        <f>LOOKUP(B254, TRA_COMM_PRO!$C$7:$C$189, TRA_COMM_PRO!$D$7:$D$189)</f>
        <v>Truck.Heavy.Hybrid.GSL.01.</v>
      </c>
      <c r="D254" s="209" t="s">
        <v>40</v>
      </c>
      <c r="E254" s="209"/>
      <c r="F254" s="209"/>
      <c r="G254" s="10">
        <f>$G$225</f>
        <v>2019</v>
      </c>
      <c r="H254" s="40">
        <v>15</v>
      </c>
      <c r="I254" s="65">
        <f>$I$226</f>
        <v>1E-3</v>
      </c>
      <c r="J254" s="41">
        <v>7.7</v>
      </c>
      <c r="K254" s="42"/>
      <c r="L254" s="42">
        <v>0.05</v>
      </c>
      <c r="M254" s="263"/>
      <c r="N254" s="263"/>
      <c r="O254" s="263"/>
      <c r="P254" s="263"/>
      <c r="Q254" s="263"/>
      <c r="R254" s="40">
        <v>45</v>
      </c>
      <c r="S254" s="40"/>
      <c r="T254" s="40"/>
      <c r="U254" s="40"/>
      <c r="V254" s="41"/>
      <c r="W254" s="62">
        <f>LOOKUP(B254, FIXOM_VAROM!$C$8:$C$190, FIXOM_VAROM!$D$8:$D$190)</f>
        <v>100</v>
      </c>
      <c r="X254" s="40">
        <f>LOOKUP($B254, INVCOST!$C$8:$C$193, INVCOST!D$8:D$193)</f>
        <v>169</v>
      </c>
      <c r="Y254" s="40">
        <f>LOOKUP($B254, INVCOST!$C$8:$C$193, INVCOST!E$8:E$193)</f>
        <v>169</v>
      </c>
      <c r="Z254" s="40">
        <f>LOOKUP($B254, INVCOST!$C$8:$C$193, INVCOST!F$8:F$193)</f>
        <v>169</v>
      </c>
      <c r="AA254" s="40">
        <f>LOOKUP($B254, INVCOST!$C$8:$C$193, INVCOST!G$8:G$193)</f>
        <v>169</v>
      </c>
      <c r="AB254" s="40">
        <f>LOOKUP($B254, INVCOST!$C$8:$C$193, INVCOST!H$8:H$193)</f>
        <v>169</v>
      </c>
      <c r="AC254" s="40">
        <f>LOOKUP($B254, INVCOST!$C$8:$C$193, INVCOST!I$8:I$193)</f>
        <v>169</v>
      </c>
      <c r="AD254" s="40">
        <f>LOOKUP($B254, INVCOST!$C$8:$C$193, INVCOST!J$8:J$193)</f>
        <v>169</v>
      </c>
      <c r="AE254" s="40">
        <f>LOOKUP($B254, INVCOST!$C$8:$C$193, INVCOST!K$8:K$193)</f>
        <v>169</v>
      </c>
    </row>
    <row r="255" spans="2:31" s="39" customFormat="1" x14ac:dyDescent="0.3">
      <c r="B255" s="209"/>
      <c r="C255" s="208"/>
      <c r="D255" s="209" t="s">
        <v>39</v>
      </c>
      <c r="E255" s="209"/>
      <c r="F255" s="209"/>
      <c r="G255" s="10"/>
      <c r="H255" s="40"/>
      <c r="I255" s="65"/>
      <c r="J255" s="41"/>
      <c r="K255" s="42"/>
      <c r="L255" s="42"/>
      <c r="M255" s="263"/>
      <c r="N255" s="263"/>
      <c r="O255" s="263"/>
      <c r="P255" s="263"/>
      <c r="Q255" s="263"/>
      <c r="R255" s="40"/>
      <c r="S255" s="40"/>
      <c r="T255" s="40"/>
      <c r="U255" s="40"/>
      <c r="V255" s="41"/>
      <c r="W255" s="60"/>
      <c r="X255" s="40"/>
      <c r="Y255" s="40"/>
      <c r="Z255" s="40"/>
      <c r="AA255" s="40"/>
      <c r="AB255" s="40"/>
      <c r="AC255" s="40"/>
      <c r="AD255" s="40"/>
      <c r="AE255" s="40"/>
    </row>
    <row r="256" spans="2:31" s="39" customFormat="1" x14ac:dyDescent="0.3">
      <c r="B256" s="209"/>
      <c r="C256" s="209"/>
      <c r="D256" s="209"/>
      <c r="E256" s="209"/>
      <c r="F256" s="209" t="s">
        <v>334</v>
      </c>
      <c r="G256" s="50"/>
      <c r="H256" s="40"/>
      <c r="I256" s="41"/>
      <c r="J256" s="41"/>
      <c r="K256" s="42"/>
      <c r="L256" s="42"/>
      <c r="M256" s="263">
        <f>LOOKUP($B254, CEFF!$C$8:$C$156, CEFF!F$8:F$156)</f>
        <v>9.3560000000000004E-2</v>
      </c>
      <c r="N256" s="263">
        <f>LOOKUP($B254, CEFF!$C$8:$C$156, CEFF!G$8:G$156)</f>
        <v>9.4960000000000003E-2</v>
      </c>
      <c r="O256" s="263">
        <f>LOOKUP($B254, CEFF!$C$8:$C$156, CEFF!H$8:H$156)</f>
        <v>9.9080000000000001E-2</v>
      </c>
      <c r="P256" s="263">
        <f>LOOKUP($B254, CEFF!$C$8:$C$156, CEFF!I$8:I$156)</f>
        <v>0.10152</v>
      </c>
      <c r="Q256" s="263">
        <f>LOOKUP($B254, CEFF!$C$8:$C$156, CEFF!J$8:J$156)</f>
        <v>0.10408000000000001</v>
      </c>
      <c r="R256" s="40"/>
      <c r="S256" s="40"/>
      <c r="T256" s="40"/>
      <c r="U256" s="40"/>
      <c r="V256" s="41"/>
      <c r="W256" s="60"/>
      <c r="X256" s="60"/>
      <c r="Y256" s="60"/>
      <c r="Z256" s="60"/>
      <c r="AA256" s="60"/>
      <c r="AB256" s="60"/>
      <c r="AC256" s="60"/>
      <c r="AD256" s="60"/>
      <c r="AE256" s="60"/>
    </row>
    <row r="257" spans="2:31" s="39" customFormat="1" x14ac:dyDescent="0.3">
      <c r="B257" s="210"/>
      <c r="C257" s="210"/>
      <c r="D257" s="210"/>
      <c r="E257" s="210"/>
      <c r="F257" s="210" t="s">
        <v>336</v>
      </c>
      <c r="G257" s="51"/>
      <c r="H257" s="45"/>
      <c r="I257" s="46"/>
      <c r="J257" s="46"/>
      <c r="K257" s="44"/>
      <c r="L257" s="44"/>
      <c r="M257" s="264">
        <f>LOOKUP($B254, CEFF!$C$163:$C$330, CEFF!F$163:F$330)</f>
        <v>0.11169999999999999</v>
      </c>
      <c r="N257" s="264">
        <f>LOOKUP($B254, CEFF!$C$163:$C$330, CEFF!G$163:G$330)</f>
        <v>0.11277</v>
      </c>
      <c r="O257" s="264">
        <f>LOOKUP($B254, CEFF!$C$163:$C$330, CEFF!H$163:H$330)</f>
        <v>0.11953999999999999</v>
      </c>
      <c r="P257" s="264">
        <f>LOOKUP($B254, CEFF!$C$163:$C$330, CEFF!I$163:I$330)</f>
        <v>0.12284</v>
      </c>
      <c r="Q257" s="264">
        <f>LOOKUP($B254, CEFF!$C$163:$C$330, CEFF!J$163:J$330)</f>
        <v>0.12633</v>
      </c>
      <c r="R257" s="45"/>
      <c r="S257" s="45"/>
      <c r="T257" s="45"/>
      <c r="U257" s="45"/>
      <c r="V257" s="46"/>
      <c r="W257" s="64"/>
      <c r="X257" s="64"/>
      <c r="Y257" s="64"/>
      <c r="Z257" s="64"/>
      <c r="AA257" s="64"/>
      <c r="AB257" s="64"/>
      <c r="AC257" s="64"/>
      <c r="AD257" s="64"/>
      <c r="AE257" s="64"/>
    </row>
    <row r="258" spans="2:31" s="39" customFormat="1" x14ac:dyDescent="0.3">
      <c r="B258" s="209" t="s">
        <v>412</v>
      </c>
      <c r="C258" s="208" t="str">
        <f>LOOKUP(B258, TRA_COMM_PRO!$C$7:$C$189, TRA_COMM_PRO!$D$7:$D$189)</f>
        <v>Truck.Heavy.LPG.01.</v>
      </c>
      <c r="D258" s="209" t="s">
        <v>62</v>
      </c>
      <c r="E258" s="209"/>
      <c r="F258" s="209"/>
      <c r="G258" s="10">
        <f>$G$225</f>
        <v>2019</v>
      </c>
      <c r="H258" s="40">
        <v>15</v>
      </c>
      <c r="I258" s="65">
        <f>$I$226</f>
        <v>1E-3</v>
      </c>
      <c r="J258" s="41">
        <v>7.7</v>
      </c>
      <c r="K258" s="42"/>
      <c r="L258" s="42"/>
      <c r="M258" s="263"/>
      <c r="N258" s="263"/>
      <c r="O258" s="263"/>
      <c r="P258" s="263"/>
      <c r="Q258" s="263"/>
      <c r="R258" s="40">
        <v>45</v>
      </c>
      <c r="S258" s="40"/>
      <c r="T258" s="40"/>
      <c r="U258" s="40"/>
      <c r="V258" s="41"/>
      <c r="W258" s="62">
        <f>LOOKUP(B258, FIXOM_VAROM!$C$8:$C$190, FIXOM_VAROM!$D$8:$D$190)</f>
        <v>100</v>
      </c>
      <c r="X258" s="40">
        <f>LOOKUP($B258, INVCOST!$C$8:$C$193, INVCOST!D$8:D$193)</f>
        <v>169</v>
      </c>
      <c r="Y258" s="40">
        <f>LOOKUP($B258, INVCOST!$C$8:$C$193, INVCOST!E$8:E$193)</f>
        <v>169</v>
      </c>
      <c r="Z258" s="40">
        <f>LOOKUP($B258, INVCOST!$C$8:$C$193, INVCOST!F$8:F$193)</f>
        <v>169</v>
      </c>
      <c r="AA258" s="40">
        <f>LOOKUP($B258, INVCOST!$C$8:$C$193, INVCOST!G$8:G$193)</f>
        <v>169</v>
      </c>
      <c r="AB258" s="40">
        <f>LOOKUP($B258, INVCOST!$C$8:$C$193, INVCOST!H$8:H$193)</f>
        <v>169</v>
      </c>
      <c r="AC258" s="40">
        <f>LOOKUP($B258, INVCOST!$C$8:$C$193, INVCOST!I$8:I$193)</f>
        <v>169</v>
      </c>
      <c r="AD258" s="40">
        <f>LOOKUP($B258, INVCOST!$C$8:$C$193, INVCOST!J$8:J$193)</f>
        <v>169</v>
      </c>
      <c r="AE258" s="40">
        <f>LOOKUP($B258, INVCOST!$C$8:$C$193, INVCOST!K$8:K$193)</f>
        <v>169</v>
      </c>
    </row>
    <row r="259" spans="2:31" s="39" customFormat="1" x14ac:dyDescent="0.3">
      <c r="B259" s="209"/>
      <c r="C259" s="209"/>
      <c r="D259" s="209"/>
      <c r="E259" s="209"/>
      <c r="F259" s="209" t="s">
        <v>334</v>
      </c>
      <c r="G259" s="50"/>
      <c r="H259" s="40"/>
      <c r="I259" s="41"/>
      <c r="J259" s="41"/>
      <c r="K259" s="42"/>
      <c r="L259" s="42"/>
      <c r="M259" s="263">
        <f>LOOKUP($B258, CEFF!$C$8:$C$156, CEFF!F$8:F$156)</f>
        <v>8.4029999999999994E-2</v>
      </c>
      <c r="N259" s="263">
        <f>LOOKUP($B258, CEFF!$C$8:$C$156, CEFF!G$8:G$156)</f>
        <v>8.5110000000000005E-2</v>
      </c>
      <c r="O259" s="263">
        <f>LOOKUP($B258, CEFF!$C$8:$C$156, CEFF!H$8:H$156)</f>
        <v>8.8499999999999995E-2</v>
      </c>
      <c r="P259" s="263">
        <f>LOOKUP($B258, CEFF!$C$8:$C$156, CEFF!I$8:I$156)</f>
        <v>9.0910000000000005E-2</v>
      </c>
      <c r="Q259" s="263">
        <f>LOOKUP($B258, CEFF!$C$8:$C$156, CEFF!J$8:J$156)</f>
        <v>9.3460000000000001E-2</v>
      </c>
      <c r="R259" s="40"/>
      <c r="S259" s="40"/>
      <c r="T259" s="40"/>
      <c r="U259" s="40"/>
      <c r="V259" s="41"/>
      <c r="W259" s="60"/>
      <c r="X259" s="60"/>
      <c r="Y259" s="60"/>
      <c r="Z259" s="60"/>
      <c r="AA259" s="60"/>
      <c r="AB259" s="60"/>
      <c r="AC259" s="60"/>
      <c r="AD259" s="60"/>
      <c r="AE259" s="60"/>
    </row>
    <row r="260" spans="2:31" s="39" customFormat="1" x14ac:dyDescent="0.3">
      <c r="B260" s="210"/>
      <c r="C260" s="210"/>
      <c r="D260" s="210"/>
      <c r="E260" s="210"/>
      <c r="F260" s="210" t="s">
        <v>336</v>
      </c>
      <c r="G260" s="51"/>
      <c r="H260" s="45"/>
      <c r="I260" s="46"/>
      <c r="J260" s="46"/>
      <c r="K260" s="44"/>
      <c r="L260" s="44"/>
      <c r="M260" s="264">
        <f>LOOKUP($B258, CEFF!$C$163:$C$330, CEFF!F$163:F$330)</f>
        <v>6.7229999999999998E-2</v>
      </c>
      <c r="N260" s="264">
        <f>LOOKUP($B258, CEFF!$C$163:$C$330, CEFF!G$163:G$330)</f>
        <v>6.8089999999999998E-2</v>
      </c>
      <c r="O260" s="264">
        <f>LOOKUP($B258, CEFF!$C$163:$C$330, CEFF!H$163:H$330)</f>
        <v>7.0800000000000002E-2</v>
      </c>
      <c r="P260" s="264">
        <f>LOOKUP($B258, CEFF!$C$163:$C$330, CEFF!I$163:I$330)</f>
        <v>7.2730000000000003E-2</v>
      </c>
      <c r="Q260" s="264">
        <f>LOOKUP($B258, CEFF!$C$163:$C$330, CEFF!J$163:J$330)</f>
        <v>7.4770000000000003E-2</v>
      </c>
      <c r="R260" s="45"/>
      <c r="S260" s="45"/>
      <c r="T260" s="45"/>
      <c r="U260" s="45"/>
      <c r="V260" s="46"/>
      <c r="W260" s="64"/>
      <c r="X260" s="64"/>
      <c r="Y260" s="64"/>
      <c r="Z260" s="64"/>
      <c r="AA260" s="64"/>
      <c r="AB260" s="64"/>
      <c r="AC260" s="64"/>
      <c r="AD260" s="64"/>
      <c r="AE260" s="64"/>
    </row>
    <row r="261" spans="2:31" s="39" customFormat="1" x14ac:dyDescent="0.3">
      <c r="B261" s="209" t="s">
        <v>590</v>
      </c>
      <c r="C261" s="208" t="str">
        <f>LOOKUP(B261, TRA_COMM_PRO!$C$7:$C$189, TRA_COMM_PRO!$D$7:$D$189)</f>
        <v>Truck.Heavy.MTH.01.</v>
      </c>
      <c r="D261" s="209" t="s">
        <v>582</v>
      </c>
      <c r="E261" s="209"/>
      <c r="F261" s="209"/>
      <c r="G261" s="10">
        <f>$G$225</f>
        <v>2019</v>
      </c>
      <c r="H261" s="40">
        <v>15</v>
      </c>
      <c r="I261" s="65">
        <f>$I$226</f>
        <v>1E-3</v>
      </c>
      <c r="J261" s="41">
        <v>7.7</v>
      </c>
      <c r="K261" s="42"/>
      <c r="L261" s="42"/>
      <c r="M261" s="263"/>
      <c r="N261" s="263"/>
      <c r="O261" s="263"/>
      <c r="P261" s="263"/>
      <c r="Q261" s="263"/>
      <c r="R261" s="40">
        <v>45</v>
      </c>
      <c r="S261" s="40"/>
      <c r="T261" s="40"/>
      <c r="U261" s="40"/>
      <c r="V261" s="41"/>
      <c r="W261" s="62">
        <f>LOOKUP(B261, FIXOM_VAROM!$C$8:$C$190, FIXOM_VAROM!$D$8:$D$190)</f>
        <v>100</v>
      </c>
      <c r="X261" s="40">
        <f>LOOKUP($B261, INVCOST!$C$8:$C$193, INVCOST!D$8:D$193)</f>
        <v>169</v>
      </c>
      <c r="Y261" s="40">
        <f>LOOKUP($B261, INVCOST!$C$8:$C$193, INVCOST!E$8:E$193)</f>
        <v>169</v>
      </c>
      <c r="Z261" s="40">
        <f>LOOKUP($B261, INVCOST!$C$8:$C$193, INVCOST!F$8:F$193)</f>
        <v>169</v>
      </c>
      <c r="AA261" s="40">
        <f>LOOKUP($B261, INVCOST!$C$8:$C$193, INVCOST!G$8:G$193)</f>
        <v>169</v>
      </c>
      <c r="AB261" s="40">
        <f>LOOKUP($B261, INVCOST!$C$8:$C$193, INVCOST!H$8:H$193)</f>
        <v>169</v>
      </c>
      <c r="AC261" s="40">
        <f>LOOKUP($B261, INVCOST!$C$8:$C$193, INVCOST!I$8:I$193)</f>
        <v>169</v>
      </c>
      <c r="AD261" s="40">
        <f>LOOKUP($B261, INVCOST!$C$8:$C$193, INVCOST!J$8:J$193)</f>
        <v>169</v>
      </c>
      <c r="AE261" s="40">
        <f>LOOKUP($B261, INVCOST!$C$8:$C$193, INVCOST!K$8:K$193)</f>
        <v>169</v>
      </c>
    </row>
    <row r="262" spans="2:31" s="39" customFormat="1" x14ac:dyDescent="0.3">
      <c r="B262" s="209"/>
      <c r="C262" s="209"/>
      <c r="D262" s="209"/>
      <c r="E262" s="209"/>
      <c r="F262" s="209" t="s">
        <v>334</v>
      </c>
      <c r="G262" s="50"/>
      <c r="H262" s="40"/>
      <c r="I262" s="41"/>
      <c r="J262" s="41"/>
      <c r="K262" s="42"/>
      <c r="L262" s="42"/>
      <c r="M262" s="263">
        <f>LOOKUP($B261, CEFF!$C$8:$C$156, CEFF!F$8:F$156)</f>
        <v>8.4029999999999994E-2</v>
      </c>
      <c r="N262" s="263">
        <f>LOOKUP($B261, CEFF!$C$8:$C$156, CEFF!G$8:G$156)</f>
        <v>8.5110000000000005E-2</v>
      </c>
      <c r="O262" s="263">
        <f>LOOKUP($B261, CEFF!$C$8:$C$156, CEFF!H$8:H$156)</f>
        <v>8.8499999999999995E-2</v>
      </c>
      <c r="P262" s="263">
        <f>LOOKUP($B261, CEFF!$C$8:$C$156, CEFF!I$8:I$156)</f>
        <v>9.0910000000000005E-2</v>
      </c>
      <c r="Q262" s="263">
        <f>LOOKUP($B261, CEFF!$C$8:$C$156, CEFF!J$8:J$156)</f>
        <v>9.3460000000000001E-2</v>
      </c>
      <c r="R262" s="40"/>
      <c r="S262" s="40"/>
      <c r="T262" s="40"/>
      <c r="U262" s="40"/>
      <c r="V262" s="41"/>
      <c r="W262" s="60"/>
      <c r="X262" s="60"/>
      <c r="Y262" s="60"/>
      <c r="Z262" s="60"/>
      <c r="AA262" s="60"/>
      <c r="AB262" s="60"/>
      <c r="AC262" s="60"/>
      <c r="AD262" s="60"/>
      <c r="AE262" s="60"/>
    </row>
    <row r="263" spans="2:31" s="39" customFormat="1" x14ac:dyDescent="0.3">
      <c r="B263" s="210"/>
      <c r="C263" s="210"/>
      <c r="D263" s="210"/>
      <c r="E263" s="210"/>
      <c r="F263" s="210" t="s">
        <v>336</v>
      </c>
      <c r="G263" s="51"/>
      <c r="H263" s="45"/>
      <c r="I263" s="46"/>
      <c r="J263" s="46"/>
      <c r="K263" s="44"/>
      <c r="L263" s="44"/>
      <c r="M263" s="264">
        <f>LOOKUP($B261, CEFF!$C$163:$C$330, CEFF!F$163:F$330)</f>
        <v>6.7229999999999998E-2</v>
      </c>
      <c r="N263" s="264">
        <f>LOOKUP($B261, CEFF!$C$163:$C$330, CEFF!G$163:G$330)</f>
        <v>6.8089999999999998E-2</v>
      </c>
      <c r="O263" s="264">
        <f>LOOKUP($B261, CEFF!$C$163:$C$330, CEFF!H$163:H$330)</f>
        <v>7.0800000000000002E-2</v>
      </c>
      <c r="P263" s="264">
        <f>LOOKUP($B261, CEFF!$C$163:$C$330, CEFF!I$163:I$330)</f>
        <v>7.2730000000000003E-2</v>
      </c>
      <c r="Q263" s="264">
        <f>LOOKUP($B261, CEFF!$C$163:$C$330, CEFF!J$163:J$330)</f>
        <v>7.4770000000000003E-2</v>
      </c>
      <c r="R263" s="45"/>
      <c r="S263" s="45"/>
      <c r="T263" s="45"/>
      <c r="U263" s="45"/>
      <c r="V263" s="46"/>
      <c r="W263" s="64"/>
      <c r="X263" s="64"/>
      <c r="Y263" s="64"/>
      <c r="Z263" s="64"/>
      <c r="AA263" s="64"/>
      <c r="AB263" s="64"/>
      <c r="AC263" s="64"/>
      <c r="AD263" s="64"/>
      <c r="AE263" s="64"/>
    </row>
    <row r="264" spans="2:31" s="39" customFormat="1" x14ac:dyDescent="0.3">
      <c r="B264" s="209" t="s">
        <v>413</v>
      </c>
      <c r="C264" s="208" t="str">
        <f>LOOKUP(B264, TRA_COMM_PRO!$C$7:$C$189, TRA_COMM_PRO!$D$7:$D$189)</f>
        <v>Truck.Heavy.Plugin-Hybrid.DST.01.</v>
      </c>
      <c r="D264" s="209" t="s">
        <v>44</v>
      </c>
      <c r="E264" s="209"/>
      <c r="F264" s="209"/>
      <c r="G264" s="10">
        <f>$G$225</f>
        <v>2019</v>
      </c>
      <c r="H264" s="40">
        <v>15</v>
      </c>
      <c r="I264" s="65">
        <f>$I$226</f>
        <v>1E-3</v>
      </c>
      <c r="J264" s="41">
        <v>7.7</v>
      </c>
      <c r="K264" s="42"/>
      <c r="L264" s="42"/>
      <c r="M264" s="263"/>
      <c r="N264" s="263"/>
      <c r="O264" s="263"/>
      <c r="P264" s="263"/>
      <c r="Q264" s="263"/>
      <c r="R264" s="40">
        <v>45</v>
      </c>
      <c r="S264" s="40"/>
      <c r="T264" s="40"/>
      <c r="U264" s="40"/>
      <c r="V264" s="41"/>
      <c r="W264" s="62">
        <f>LOOKUP(B264, FIXOM_VAROM!$C$8:$C$190, FIXOM_VAROM!$D$8:$D$190)</f>
        <v>100</v>
      </c>
      <c r="X264" s="40">
        <f>LOOKUP($B264, INVCOST!$C$8:$C$193, INVCOST!D$8:D$193)</f>
        <v>202.79999999999998</v>
      </c>
      <c r="Y264" s="40">
        <f>LOOKUP($B264, INVCOST!$C$8:$C$193, INVCOST!E$8:E$193)</f>
        <v>202.79999999999998</v>
      </c>
      <c r="Z264" s="40">
        <f>LOOKUP($B264, INVCOST!$C$8:$C$193, INVCOST!F$8:F$193)</f>
        <v>202.79999999999998</v>
      </c>
      <c r="AA264" s="40">
        <f>LOOKUP($B264, INVCOST!$C$8:$C$193, INVCOST!G$8:G$193)</f>
        <v>202.79999999999998</v>
      </c>
      <c r="AB264" s="40">
        <f>LOOKUP($B264, INVCOST!$C$8:$C$193, INVCOST!H$8:H$193)</f>
        <v>202.79999999999998</v>
      </c>
      <c r="AC264" s="40">
        <f>LOOKUP($B264, INVCOST!$C$8:$C$193, INVCOST!I$8:I$193)</f>
        <v>202.79999999999998</v>
      </c>
      <c r="AD264" s="40">
        <f>LOOKUP($B264, INVCOST!$C$8:$C$193, INVCOST!J$8:J$193)</f>
        <v>202.79999999999998</v>
      </c>
      <c r="AE264" s="40">
        <f>LOOKUP($B264, INVCOST!$C$8:$C$193, INVCOST!K$8:K$193)</f>
        <v>202.79999999999998</v>
      </c>
    </row>
    <row r="265" spans="2:31" s="39" customFormat="1" x14ac:dyDescent="0.3">
      <c r="B265" s="209"/>
      <c r="C265" s="209"/>
      <c r="D265" s="209" t="s">
        <v>48</v>
      </c>
      <c r="E265" s="209"/>
      <c r="F265" s="209"/>
      <c r="G265" s="42"/>
      <c r="H265" s="40"/>
      <c r="I265" s="41"/>
      <c r="J265" s="41"/>
      <c r="K265" s="42"/>
      <c r="L265" s="42"/>
      <c r="M265" s="266"/>
      <c r="N265" s="266"/>
      <c r="O265" s="266"/>
      <c r="P265" s="266"/>
      <c r="Q265" s="266"/>
      <c r="R265" s="40"/>
      <c r="S265" s="40"/>
      <c r="T265" s="40"/>
      <c r="U265" s="40"/>
      <c r="V265" s="41"/>
      <c r="W265" s="60"/>
      <c r="X265" s="60"/>
      <c r="Y265" s="60"/>
      <c r="Z265" s="60"/>
      <c r="AA265" s="60"/>
      <c r="AB265" s="60"/>
      <c r="AC265" s="60"/>
      <c r="AD265" s="60"/>
      <c r="AE265" s="60"/>
    </row>
    <row r="266" spans="2:31" s="39" customFormat="1" x14ac:dyDescent="0.3">
      <c r="B266" s="209"/>
      <c r="C266" s="209"/>
      <c r="D266" s="209"/>
      <c r="E266" s="209"/>
      <c r="F266" s="209" t="s">
        <v>334</v>
      </c>
      <c r="G266" s="50"/>
      <c r="H266" s="40"/>
      <c r="I266" s="41"/>
      <c r="J266" s="41"/>
      <c r="K266" s="42"/>
      <c r="L266" s="42"/>
      <c r="M266" s="263">
        <f>LOOKUP($B264, CEFF!$C$8:$C$156, CEFF!F$8:F$156)</f>
        <v>9.2590000000000006E-2</v>
      </c>
      <c r="N266" s="263">
        <f>LOOKUP($B264, CEFF!$C$8:$C$156, CEFF!G$8:G$156)</f>
        <v>9.4339999999999993E-2</v>
      </c>
      <c r="O266" s="263">
        <f>LOOKUP($B264, CEFF!$C$8:$C$156, CEFF!H$8:H$156)</f>
        <v>9.7089999999999996E-2</v>
      </c>
      <c r="P266" s="263">
        <f>LOOKUP($B264, CEFF!$C$8:$C$156, CEFF!I$8:I$156)</f>
        <v>9.9500000000000005E-2</v>
      </c>
      <c r="Q266" s="263">
        <f>LOOKUP($B264, CEFF!$C$8:$C$156, CEFF!J$8:J$156)</f>
        <v>0.10204000000000001</v>
      </c>
      <c r="R266" s="40"/>
      <c r="S266" s="40"/>
      <c r="T266" s="40"/>
      <c r="U266" s="40"/>
      <c r="V266" s="41"/>
      <c r="W266" s="60"/>
      <c r="X266" s="60"/>
      <c r="Y266" s="60"/>
      <c r="Z266" s="60"/>
      <c r="AA266" s="60"/>
      <c r="AB266" s="60"/>
      <c r="AC266" s="60"/>
      <c r="AD266" s="60"/>
      <c r="AE266" s="60"/>
    </row>
    <row r="267" spans="2:31" s="39" customFormat="1" x14ac:dyDescent="0.3">
      <c r="B267" s="210"/>
      <c r="C267" s="210"/>
      <c r="D267" s="210"/>
      <c r="E267" s="210"/>
      <c r="F267" s="210" t="s">
        <v>336</v>
      </c>
      <c r="G267" s="51"/>
      <c r="H267" s="45"/>
      <c r="I267" s="46"/>
      <c r="J267" s="46"/>
      <c r="K267" s="44"/>
      <c r="L267" s="44"/>
      <c r="M267" s="264">
        <f>LOOKUP($B264, CEFF!$C$163:$C$330, CEFF!F$163:F$330)</f>
        <v>7.4069999999999997E-2</v>
      </c>
      <c r="N267" s="264">
        <f>LOOKUP($B264, CEFF!$C$163:$C$330, CEFF!G$163:G$330)</f>
        <v>7.5469999999999995E-2</v>
      </c>
      <c r="O267" s="264">
        <f>LOOKUP($B264, CEFF!$C$163:$C$330, CEFF!H$163:H$330)</f>
        <v>7.7670000000000003E-2</v>
      </c>
      <c r="P267" s="264">
        <f>LOOKUP($B264, CEFF!$C$163:$C$330, CEFF!I$163:I$330)</f>
        <v>7.9600000000000004E-2</v>
      </c>
      <c r="Q267" s="264">
        <f>LOOKUP($B264, CEFF!$C$163:$C$330, CEFF!J$163:J$330)</f>
        <v>8.1629999999999994E-2</v>
      </c>
      <c r="R267" s="45"/>
      <c r="S267" s="45"/>
      <c r="T267" s="45"/>
      <c r="U267" s="45"/>
      <c r="V267" s="46"/>
      <c r="W267" s="64"/>
      <c r="X267" s="64"/>
      <c r="Y267" s="64"/>
      <c r="Z267" s="64"/>
      <c r="AA267" s="64"/>
      <c r="AB267" s="64"/>
      <c r="AC267" s="64"/>
      <c r="AD267" s="64"/>
      <c r="AE267" s="64"/>
    </row>
    <row r="268" spans="2:31" s="39" customFormat="1" x14ac:dyDescent="0.3">
      <c r="B268" s="209" t="s">
        <v>414</v>
      </c>
      <c r="C268" s="208" t="str">
        <f>LOOKUP(B268, TRA_COMM_PRO!$C$7:$C$189, TRA_COMM_PRO!$D$7:$D$189)</f>
        <v>Truck.Heavy.Plugin-Hybrid.GSL.01.</v>
      </c>
      <c r="D268" s="209" t="s">
        <v>40</v>
      </c>
      <c r="E268" s="209"/>
      <c r="F268" s="209"/>
      <c r="G268" s="10">
        <f>$G$225</f>
        <v>2019</v>
      </c>
      <c r="H268" s="40">
        <v>15</v>
      </c>
      <c r="I268" s="65">
        <f>$I$226</f>
        <v>1E-3</v>
      </c>
      <c r="J268" s="41">
        <v>7.7</v>
      </c>
      <c r="K268" s="42"/>
      <c r="L268" s="42">
        <v>0.05</v>
      </c>
      <c r="M268" s="263"/>
      <c r="N268" s="263"/>
      <c r="O268" s="263"/>
      <c r="P268" s="263"/>
      <c r="Q268" s="263"/>
      <c r="R268" s="40">
        <v>45</v>
      </c>
      <c r="S268" s="40"/>
      <c r="T268" s="40"/>
      <c r="U268" s="40"/>
      <c r="V268" s="41"/>
      <c r="W268" s="62">
        <f>LOOKUP(B268, FIXOM_VAROM!$C$8:$C$190, FIXOM_VAROM!$D$8:$D$190)</f>
        <v>100</v>
      </c>
      <c r="X268" s="40">
        <f>LOOKUP($B268, INVCOST!$C$8:$C$193, INVCOST!D$8:D$193)</f>
        <v>202.79999999999998</v>
      </c>
      <c r="Y268" s="40">
        <f>LOOKUP($B268, INVCOST!$C$8:$C$193, INVCOST!E$8:E$193)</f>
        <v>202.79999999999998</v>
      </c>
      <c r="Z268" s="40">
        <f>LOOKUP($B268, INVCOST!$C$8:$C$193, INVCOST!F$8:F$193)</f>
        <v>202.79999999999998</v>
      </c>
      <c r="AA268" s="40">
        <f>LOOKUP($B268, INVCOST!$C$8:$C$193, INVCOST!G$8:G$193)</f>
        <v>202.79999999999998</v>
      </c>
      <c r="AB268" s="40">
        <f>LOOKUP($B268, INVCOST!$C$8:$C$193, INVCOST!H$8:H$193)</f>
        <v>202.79999999999998</v>
      </c>
      <c r="AC268" s="40">
        <f>LOOKUP($B268, INVCOST!$C$8:$C$193, INVCOST!I$8:I$193)</f>
        <v>202.79999999999998</v>
      </c>
      <c r="AD268" s="40">
        <f>LOOKUP($B268, INVCOST!$C$8:$C$193, INVCOST!J$8:J$193)</f>
        <v>202.79999999999998</v>
      </c>
      <c r="AE268" s="40">
        <f>LOOKUP($B268, INVCOST!$C$8:$C$193, INVCOST!K$8:K$193)</f>
        <v>202.79999999999998</v>
      </c>
    </row>
    <row r="269" spans="2:31" s="39" customFormat="1" x14ac:dyDescent="0.3">
      <c r="B269" s="209"/>
      <c r="C269" s="208"/>
      <c r="D269" s="209" t="s">
        <v>39</v>
      </c>
      <c r="E269" s="209"/>
      <c r="F269" s="209"/>
      <c r="G269" s="10"/>
      <c r="H269" s="40"/>
      <c r="I269" s="65"/>
      <c r="J269" s="41"/>
      <c r="K269" s="42"/>
      <c r="L269" s="42"/>
      <c r="M269" s="263"/>
      <c r="N269" s="263"/>
      <c r="O269" s="263"/>
      <c r="P269" s="263"/>
      <c r="Q269" s="263"/>
      <c r="R269" s="40"/>
      <c r="S269" s="40"/>
      <c r="T269" s="40"/>
      <c r="U269" s="40"/>
      <c r="V269" s="41"/>
      <c r="W269" s="42"/>
      <c r="X269" s="40"/>
      <c r="Y269" s="40"/>
      <c r="Z269" s="40"/>
      <c r="AA269" s="40"/>
      <c r="AB269" s="40"/>
      <c r="AC269" s="40"/>
      <c r="AD269" s="40"/>
      <c r="AE269" s="40"/>
    </row>
    <row r="270" spans="2:31" s="39" customFormat="1" x14ac:dyDescent="0.3">
      <c r="B270" s="209"/>
      <c r="C270" s="209"/>
      <c r="D270" s="209"/>
      <c r="E270" s="209"/>
      <c r="F270" s="209" t="s">
        <v>334</v>
      </c>
      <c r="G270" s="50"/>
      <c r="H270" s="40"/>
      <c r="I270" s="41"/>
      <c r="J270" s="41"/>
      <c r="K270" s="42"/>
      <c r="L270" s="42"/>
      <c r="M270" s="263">
        <f>LOOKUP($B268, CEFF!$C$8:$C$156, CEFF!F$8:F$156)</f>
        <v>8.4029999999999994E-2</v>
      </c>
      <c r="N270" s="263">
        <f>LOOKUP($B268, CEFF!$C$8:$C$156, CEFF!G$8:G$156)</f>
        <v>8.5110000000000005E-2</v>
      </c>
      <c r="O270" s="263">
        <f>LOOKUP($B268, CEFF!$C$8:$C$156, CEFF!H$8:H$156)</f>
        <v>8.8499999999999995E-2</v>
      </c>
      <c r="P270" s="263">
        <f>LOOKUP($B268, CEFF!$C$8:$C$156, CEFF!I$8:I$156)</f>
        <v>9.0910000000000005E-2</v>
      </c>
      <c r="Q270" s="263">
        <f>LOOKUP($B268, CEFF!$C$8:$C$156, CEFF!J$8:J$156)</f>
        <v>9.3460000000000001E-2</v>
      </c>
      <c r="R270" s="40"/>
      <c r="S270" s="40"/>
      <c r="T270" s="40"/>
      <c r="U270" s="40"/>
      <c r="V270" s="41"/>
      <c r="W270" s="41"/>
      <c r="X270" s="60"/>
      <c r="Y270" s="60"/>
      <c r="Z270" s="60"/>
      <c r="AA270" s="60"/>
      <c r="AB270" s="60"/>
      <c r="AC270" s="60"/>
      <c r="AD270" s="60"/>
      <c r="AE270" s="60"/>
    </row>
    <row r="271" spans="2:31" s="39" customFormat="1" x14ac:dyDescent="0.3">
      <c r="B271" s="213"/>
      <c r="C271" s="213"/>
      <c r="D271" s="213"/>
      <c r="E271" s="213"/>
      <c r="F271" s="213" t="s">
        <v>336</v>
      </c>
      <c r="G271" s="180"/>
      <c r="H271" s="181"/>
      <c r="I271" s="179"/>
      <c r="J271" s="179"/>
      <c r="K271" s="177"/>
      <c r="L271" s="177"/>
      <c r="M271" s="265">
        <f>LOOKUP($B268, CEFF!$C$163:$C$330, CEFF!F$163:F$330)</f>
        <v>6.7229999999999998E-2</v>
      </c>
      <c r="N271" s="265">
        <f>LOOKUP($B268, CEFF!$C$163:$C$330, CEFF!G$163:G$330)</f>
        <v>6.8089999999999998E-2</v>
      </c>
      <c r="O271" s="265">
        <f>LOOKUP($B268, CEFF!$C$163:$C$330, CEFF!H$163:H$330)</f>
        <v>7.0800000000000002E-2</v>
      </c>
      <c r="P271" s="265">
        <f>LOOKUP($B268, CEFF!$C$163:$C$330, CEFF!I$163:I$330)</f>
        <v>7.2730000000000003E-2</v>
      </c>
      <c r="Q271" s="265">
        <f>LOOKUP($B268, CEFF!$C$163:$C$330, CEFF!J$163:J$330)</f>
        <v>7.4770000000000003E-2</v>
      </c>
      <c r="R271" s="181"/>
      <c r="S271" s="181"/>
      <c r="T271" s="181"/>
      <c r="U271" s="181"/>
      <c r="V271" s="179"/>
      <c r="W271" s="179"/>
      <c r="X271" s="182"/>
      <c r="Y271" s="182"/>
      <c r="Z271" s="182"/>
      <c r="AA271" s="182"/>
      <c r="AB271" s="182"/>
      <c r="AC271" s="182"/>
      <c r="AD271" s="182"/>
      <c r="AE271" s="182"/>
    </row>
    <row r="272" spans="2:31" s="39" customFormat="1" x14ac:dyDescent="0.3">
      <c r="H272" s="36"/>
      <c r="I272" s="37"/>
      <c r="J272" s="38"/>
      <c r="K272" s="47"/>
      <c r="L272" s="47"/>
      <c r="M272" s="38"/>
      <c r="N272" s="38"/>
      <c r="O272" s="38"/>
      <c r="P272" s="38"/>
      <c r="Q272" s="38"/>
      <c r="R272" s="36"/>
      <c r="S272" s="36"/>
      <c r="T272" s="36"/>
      <c r="U272" s="36"/>
      <c r="V272" s="38"/>
      <c r="W272" s="38"/>
      <c r="X272" s="58"/>
      <c r="Y272" s="58"/>
      <c r="Z272" s="58"/>
      <c r="AA272" s="58"/>
      <c r="AB272" s="58"/>
      <c r="AC272" s="58"/>
      <c r="AD272" s="58"/>
      <c r="AE272" s="58"/>
    </row>
    <row r="273" spans="2:31" s="39" customFormat="1" x14ac:dyDescent="0.3">
      <c r="H273" s="36"/>
      <c r="I273" s="37"/>
      <c r="J273" s="38"/>
      <c r="K273" s="58"/>
      <c r="L273" s="58"/>
      <c r="M273" s="58"/>
      <c r="N273" s="58"/>
      <c r="O273" s="58"/>
      <c r="P273" s="58"/>
      <c r="Q273" s="58"/>
      <c r="R273" s="36"/>
      <c r="S273" s="36"/>
      <c r="T273" s="36"/>
      <c r="U273" s="36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</row>
    <row r="274" spans="2:31" x14ac:dyDescent="0.3">
      <c r="B274" s="6" t="s">
        <v>551</v>
      </c>
      <c r="C274" s="7"/>
      <c r="D274" s="8"/>
      <c r="E274" s="8"/>
      <c r="F274" s="9" t="s">
        <v>1</v>
      </c>
      <c r="G274" s="4"/>
    </row>
    <row r="275" spans="2:31" x14ac:dyDescent="0.3">
      <c r="B275" s="199" t="s">
        <v>2</v>
      </c>
      <c r="C275" s="199" t="s">
        <v>3</v>
      </c>
      <c r="D275" s="199" t="s">
        <v>4</v>
      </c>
      <c r="E275" s="199" t="s">
        <v>5</v>
      </c>
      <c r="F275" s="200" t="s">
        <v>6</v>
      </c>
      <c r="G275" s="200" t="s">
        <v>186</v>
      </c>
      <c r="H275" s="201" t="s">
        <v>185</v>
      </c>
      <c r="I275" s="201" t="s">
        <v>11</v>
      </c>
      <c r="J275" s="200" t="s">
        <v>12</v>
      </c>
      <c r="K275" s="200" t="s">
        <v>7</v>
      </c>
      <c r="L275" s="200" t="s">
        <v>8</v>
      </c>
      <c r="M275" s="201" t="s">
        <v>688</v>
      </c>
      <c r="N275" s="201" t="s">
        <v>321</v>
      </c>
      <c r="O275" s="201" t="s">
        <v>322</v>
      </c>
      <c r="P275" s="201" t="s">
        <v>9</v>
      </c>
      <c r="Q275" s="201" t="s">
        <v>10</v>
      </c>
      <c r="R275" s="201" t="s">
        <v>687</v>
      </c>
      <c r="S275" s="201" t="s">
        <v>448</v>
      </c>
      <c r="T275" s="201" t="s">
        <v>13</v>
      </c>
      <c r="U275" s="201" t="s">
        <v>382</v>
      </c>
      <c r="V275" s="201" t="s">
        <v>42</v>
      </c>
      <c r="W275" s="201" t="s">
        <v>14</v>
      </c>
      <c r="X275" s="201" t="s">
        <v>381</v>
      </c>
      <c r="Y275" s="201" t="s">
        <v>15</v>
      </c>
      <c r="Z275" s="201" t="s">
        <v>16</v>
      </c>
      <c r="AA275" s="201" t="s">
        <v>17</v>
      </c>
      <c r="AB275" s="201" t="s">
        <v>18</v>
      </c>
      <c r="AC275" s="201" t="s">
        <v>19</v>
      </c>
      <c r="AD275" s="201" t="s">
        <v>20</v>
      </c>
      <c r="AE275" s="201" t="s">
        <v>21</v>
      </c>
    </row>
    <row r="276" spans="2:31" ht="33.75" customHeight="1" thickBot="1" x14ac:dyDescent="0.35">
      <c r="B276" s="202" t="s">
        <v>22</v>
      </c>
      <c r="C276" s="202"/>
      <c r="D276" s="202"/>
      <c r="E276" s="202"/>
      <c r="F276" s="203" t="s">
        <v>23</v>
      </c>
      <c r="G276" s="203">
        <v>2019</v>
      </c>
      <c r="H276" s="204" t="s">
        <v>26</v>
      </c>
      <c r="I276" s="204" t="s">
        <v>125</v>
      </c>
      <c r="J276" s="204" t="s">
        <v>126</v>
      </c>
      <c r="K276" s="203"/>
      <c r="L276" s="203"/>
      <c r="M276" s="205" t="s">
        <v>653</v>
      </c>
      <c r="N276" s="205" t="s">
        <v>653</v>
      </c>
      <c r="O276" s="205" t="s">
        <v>653</v>
      </c>
      <c r="P276" s="205" t="s">
        <v>653</v>
      </c>
      <c r="Q276" s="205" t="s">
        <v>653</v>
      </c>
      <c r="R276" s="204" t="s">
        <v>658</v>
      </c>
      <c r="S276" s="204" t="s">
        <v>658</v>
      </c>
      <c r="T276" s="204" t="s">
        <v>658</v>
      </c>
      <c r="U276" s="204" t="s">
        <v>658</v>
      </c>
      <c r="V276" s="206" t="s">
        <v>662</v>
      </c>
      <c r="W276" s="206" t="s">
        <v>661</v>
      </c>
      <c r="X276" s="206" t="s">
        <v>657</v>
      </c>
      <c r="Y276" s="206" t="s">
        <v>657</v>
      </c>
      <c r="Z276" s="206" t="s">
        <v>657</v>
      </c>
      <c r="AA276" s="206" t="s">
        <v>657</v>
      </c>
      <c r="AB276" s="206" t="s">
        <v>657</v>
      </c>
      <c r="AC276" s="206" t="s">
        <v>657</v>
      </c>
      <c r="AD276" s="206" t="s">
        <v>657</v>
      </c>
      <c r="AE276" s="206" t="s">
        <v>657</v>
      </c>
    </row>
    <row r="277" spans="2:31" s="39" customFormat="1" x14ac:dyDescent="0.3">
      <c r="B277" s="207" t="s">
        <v>253</v>
      </c>
      <c r="C277" s="208" t="str">
        <f>LOOKUP(B277, TRA_COMM_PRO!$C$7:$C$189, TRA_COMM_PRO!$D$7:$D$189)</f>
        <v>Truck.Heavy.BDL.City.01.</v>
      </c>
      <c r="D277" s="207" t="s">
        <v>44</v>
      </c>
      <c r="E277" s="207"/>
      <c r="F277" s="207"/>
      <c r="G277" s="10">
        <f>$G$225</f>
        <v>2019</v>
      </c>
      <c r="H277" s="71">
        <v>15</v>
      </c>
      <c r="I277" s="156">
        <f>10^-3</f>
        <v>1E-3</v>
      </c>
      <c r="J277" s="72">
        <v>7.7</v>
      </c>
      <c r="K277" s="73"/>
      <c r="L277" s="73"/>
      <c r="M277" s="43"/>
      <c r="N277" s="43"/>
      <c r="O277" s="43"/>
      <c r="P277" s="43"/>
      <c r="Q277" s="43"/>
      <c r="R277" s="71">
        <v>45</v>
      </c>
      <c r="S277" s="71"/>
      <c r="T277" s="71"/>
      <c r="U277" s="71"/>
      <c r="V277" s="72"/>
      <c r="W277" s="62">
        <f>LOOKUP(B277, FIXOM_VAROM!$C$8:$C$190, FIXOM_VAROM!$D$8:$D$190)</f>
        <v>100</v>
      </c>
      <c r="X277" s="40">
        <f>LOOKUP($B277, INVCOST!$C$8:$C$193, INVCOST!D$8:D$193)</f>
        <v>141</v>
      </c>
      <c r="Y277" s="40">
        <f>LOOKUP($B277, INVCOST!$C$8:$C$193, INVCOST!E$8:E$193)</f>
        <v>141</v>
      </c>
      <c r="Z277" s="40">
        <f>LOOKUP($B277, INVCOST!$C$8:$C$193, INVCOST!F$8:F$193)</f>
        <v>141</v>
      </c>
      <c r="AA277" s="40">
        <f>LOOKUP($B277, INVCOST!$C$8:$C$193, INVCOST!G$8:G$193)</f>
        <v>141</v>
      </c>
      <c r="AB277" s="40">
        <f>LOOKUP($B277, INVCOST!$C$8:$C$193, INVCOST!H$8:H$193)</f>
        <v>141</v>
      </c>
      <c r="AC277" s="40">
        <f>LOOKUP($B277, INVCOST!$C$8:$C$193, INVCOST!I$8:I$193)</f>
        <v>141</v>
      </c>
      <c r="AD277" s="40">
        <f>LOOKUP($B277, INVCOST!$C$8:$C$193, INVCOST!J$8:J$193)</f>
        <v>141</v>
      </c>
      <c r="AE277" s="40">
        <f>LOOKUP($B277, INVCOST!$C$8:$C$193, INVCOST!K$8:K$193)</f>
        <v>141</v>
      </c>
    </row>
    <row r="278" spans="2:31" s="39" customFormat="1" x14ac:dyDescent="0.3">
      <c r="B278" s="209"/>
      <c r="C278" s="209"/>
      <c r="D278" s="209"/>
      <c r="E278" s="209"/>
      <c r="F278" s="209" t="s">
        <v>479</v>
      </c>
      <c r="G278" s="50"/>
      <c r="H278" s="40"/>
      <c r="I278" s="41"/>
      <c r="J278" s="41"/>
      <c r="K278" s="42"/>
      <c r="L278" s="42"/>
      <c r="M278" s="263">
        <f>LOOKUP($B277, CEFF!$C$8:$C$156, CEFF!F$8:F$156)</f>
        <v>9.2590000000000006E-2</v>
      </c>
      <c r="N278" s="263">
        <f>LOOKUP($B277, CEFF!$C$8:$C$156, CEFF!G$8:G$156)</f>
        <v>9.4339999999999993E-2</v>
      </c>
      <c r="O278" s="263">
        <f>LOOKUP($B277, CEFF!$C$8:$C$156, CEFF!H$8:H$156)</f>
        <v>9.7089999999999996E-2</v>
      </c>
      <c r="P278" s="263">
        <f>LOOKUP($B277, CEFF!$C$8:$C$156, CEFF!I$8:I$156)</f>
        <v>9.9500000000000005E-2</v>
      </c>
      <c r="Q278" s="263">
        <f>LOOKUP($B277, CEFF!$C$8:$C$156, CEFF!J$8:J$156)</f>
        <v>0.10204000000000001</v>
      </c>
      <c r="R278" s="40"/>
      <c r="S278" s="40"/>
      <c r="T278" s="40"/>
      <c r="U278" s="40"/>
      <c r="V278" s="41"/>
      <c r="W278" s="60"/>
      <c r="X278" s="60"/>
      <c r="Y278" s="60"/>
      <c r="Z278" s="60"/>
      <c r="AA278" s="60"/>
      <c r="AB278" s="60"/>
      <c r="AC278" s="60"/>
      <c r="AD278" s="60"/>
      <c r="AE278" s="60"/>
    </row>
    <row r="279" spans="2:31" s="39" customFormat="1" x14ac:dyDescent="0.3">
      <c r="B279" s="210"/>
      <c r="C279" s="210"/>
      <c r="D279" s="210"/>
      <c r="E279" s="210"/>
      <c r="F279" s="210" t="s">
        <v>487</v>
      </c>
      <c r="G279" s="51"/>
      <c r="H279" s="45"/>
      <c r="I279" s="46"/>
      <c r="J279" s="46"/>
      <c r="K279" s="44"/>
      <c r="L279" s="44"/>
      <c r="M279" s="264">
        <f>LOOKUP($B277, CEFF!$C$163:$C$330, CEFF!F$163:F$330)</f>
        <v>7.4069999999999997E-2</v>
      </c>
      <c r="N279" s="264">
        <f>LOOKUP($B277, CEFF!$C$163:$C$330, CEFF!G$163:G$330)</f>
        <v>7.5469999999999995E-2</v>
      </c>
      <c r="O279" s="264">
        <f>LOOKUP($B277, CEFF!$C$163:$C$330, CEFF!H$163:H$330)</f>
        <v>7.7670000000000003E-2</v>
      </c>
      <c r="P279" s="264">
        <f>LOOKUP($B277, CEFF!$C$163:$C$330, CEFF!I$163:I$330)</f>
        <v>7.9600000000000004E-2</v>
      </c>
      <c r="Q279" s="264">
        <f>LOOKUP($B277, CEFF!$C$163:$C$330, CEFF!J$163:J$330)</f>
        <v>8.1629999999999994E-2</v>
      </c>
      <c r="R279" s="45"/>
      <c r="S279" s="45"/>
      <c r="T279" s="45"/>
      <c r="U279" s="45"/>
      <c r="V279" s="46"/>
      <c r="W279" s="64"/>
      <c r="X279" s="64"/>
      <c r="Y279" s="64"/>
      <c r="Z279" s="64"/>
      <c r="AA279" s="64"/>
      <c r="AB279" s="64"/>
      <c r="AC279" s="64"/>
      <c r="AD279" s="64"/>
      <c r="AE279" s="64"/>
    </row>
    <row r="280" spans="2:31" s="39" customFormat="1" x14ac:dyDescent="0.3">
      <c r="B280" s="209" t="s">
        <v>255</v>
      </c>
      <c r="C280" s="208" t="str">
        <f>LOOKUP(B280, TRA_COMM_PRO!$C$7:$C$189, TRA_COMM_PRO!$D$7:$D$189)</f>
        <v>Truck.Heavy.DME.City.01.</v>
      </c>
      <c r="D280" s="209" t="s">
        <v>71</v>
      </c>
      <c r="E280" s="209"/>
      <c r="F280" s="209"/>
      <c r="G280" s="10">
        <f>$G$225</f>
        <v>2019</v>
      </c>
      <c r="H280" s="40">
        <v>15</v>
      </c>
      <c r="I280" s="65">
        <f>$I$226</f>
        <v>1E-3</v>
      </c>
      <c r="J280" s="41">
        <v>7.7</v>
      </c>
      <c r="K280" s="42"/>
      <c r="L280" s="42"/>
      <c r="M280" s="263"/>
      <c r="N280" s="263"/>
      <c r="O280" s="263"/>
      <c r="P280" s="263"/>
      <c r="Q280" s="263"/>
      <c r="R280" s="40">
        <v>45</v>
      </c>
      <c r="S280" s="40"/>
      <c r="T280" s="40"/>
      <c r="U280" s="40"/>
      <c r="V280" s="41"/>
      <c r="W280" s="62">
        <f>LOOKUP(B280, FIXOM_VAROM!$C$8:$C$190, FIXOM_VAROM!$D$8:$D$190)</f>
        <v>100</v>
      </c>
      <c r="X280" s="40">
        <f>LOOKUP($B280, INVCOST!$C$8:$C$193, INVCOST!D$8:D$193)</f>
        <v>169</v>
      </c>
      <c r="Y280" s="40">
        <f>LOOKUP($B280, INVCOST!$C$8:$C$193, INVCOST!E$8:E$193)</f>
        <v>169</v>
      </c>
      <c r="Z280" s="40">
        <f>LOOKUP($B280, INVCOST!$C$8:$C$193, INVCOST!F$8:F$193)</f>
        <v>169</v>
      </c>
      <c r="AA280" s="40">
        <f>LOOKUP($B280, INVCOST!$C$8:$C$193, INVCOST!G$8:G$193)</f>
        <v>169</v>
      </c>
      <c r="AB280" s="40">
        <f>LOOKUP($B280, INVCOST!$C$8:$C$193, INVCOST!H$8:H$193)</f>
        <v>169</v>
      </c>
      <c r="AC280" s="40">
        <f>LOOKUP($B280, INVCOST!$C$8:$C$193, INVCOST!I$8:I$193)</f>
        <v>169</v>
      </c>
      <c r="AD280" s="40">
        <f>LOOKUP($B280, INVCOST!$C$8:$C$193, INVCOST!J$8:J$193)</f>
        <v>169</v>
      </c>
      <c r="AE280" s="40">
        <f>LOOKUP($B280, INVCOST!$C$8:$C$193, INVCOST!K$8:K$193)</f>
        <v>169</v>
      </c>
    </row>
    <row r="281" spans="2:31" s="39" customFormat="1" x14ac:dyDescent="0.3">
      <c r="B281" s="209"/>
      <c r="C281" s="211"/>
      <c r="D281" s="209"/>
      <c r="E281" s="209"/>
      <c r="F281" s="209" t="s">
        <v>479</v>
      </c>
      <c r="G281" s="50"/>
      <c r="H281" s="40"/>
      <c r="I281" s="41"/>
      <c r="J281" s="41"/>
      <c r="K281" s="42"/>
      <c r="L281" s="42"/>
      <c r="M281" s="263">
        <f>LOOKUP($B280, CEFF!$C$8:$C$156, CEFF!F$8:F$156)</f>
        <v>9.2590000000000006E-2</v>
      </c>
      <c r="N281" s="263">
        <f>LOOKUP($B280, CEFF!$C$8:$C$156, CEFF!G$8:G$156)</f>
        <v>9.4339999999999993E-2</v>
      </c>
      <c r="O281" s="263">
        <f>LOOKUP($B280, CEFF!$C$8:$C$156, CEFF!H$8:H$156)</f>
        <v>9.7089999999999996E-2</v>
      </c>
      <c r="P281" s="263">
        <f>LOOKUP($B280, CEFF!$C$8:$C$156, CEFF!I$8:I$156)</f>
        <v>9.9500000000000005E-2</v>
      </c>
      <c r="Q281" s="263">
        <f>LOOKUP($B280, CEFF!$C$8:$C$156, CEFF!J$8:J$156)</f>
        <v>0.10204000000000001</v>
      </c>
      <c r="R281" s="40"/>
      <c r="S281" s="40"/>
      <c r="T281" s="40"/>
      <c r="U281" s="40"/>
      <c r="V281" s="41"/>
      <c r="W281" s="60"/>
      <c r="X281" s="60"/>
      <c r="Y281" s="60"/>
      <c r="Z281" s="60"/>
      <c r="AA281" s="60"/>
      <c r="AB281" s="60"/>
      <c r="AC281" s="60"/>
      <c r="AD281" s="60"/>
      <c r="AE281" s="60"/>
    </row>
    <row r="282" spans="2:31" s="39" customFormat="1" x14ac:dyDescent="0.3">
      <c r="B282" s="210"/>
      <c r="C282" s="210"/>
      <c r="D282" s="210"/>
      <c r="E282" s="210"/>
      <c r="F282" s="210" t="s">
        <v>487</v>
      </c>
      <c r="G282" s="51"/>
      <c r="H282" s="45"/>
      <c r="I282" s="46"/>
      <c r="J282" s="46"/>
      <c r="K282" s="44"/>
      <c r="L282" s="44"/>
      <c r="M282" s="264">
        <f>LOOKUP($B280, CEFF!$C$163:$C$330, CEFF!F$163:F$330)</f>
        <v>7.4069999999999997E-2</v>
      </c>
      <c r="N282" s="264">
        <f>LOOKUP($B280, CEFF!$C$163:$C$330, CEFF!G$163:G$330)</f>
        <v>7.5469999999999995E-2</v>
      </c>
      <c r="O282" s="264">
        <f>LOOKUP($B280, CEFF!$C$163:$C$330, CEFF!H$163:H$330)</f>
        <v>7.7670000000000003E-2</v>
      </c>
      <c r="P282" s="264">
        <f>LOOKUP($B280, CEFF!$C$163:$C$330, CEFF!I$163:I$330)</f>
        <v>7.9600000000000004E-2</v>
      </c>
      <c r="Q282" s="264">
        <f>LOOKUP($B280, CEFF!$C$163:$C$330, CEFF!J$163:J$330)</f>
        <v>8.1629999999999994E-2</v>
      </c>
      <c r="R282" s="45"/>
      <c r="S282" s="45"/>
      <c r="T282" s="45"/>
      <c r="U282" s="45"/>
      <c r="V282" s="46"/>
      <c r="W282" s="64"/>
      <c r="X282" s="64"/>
      <c r="Y282" s="64"/>
      <c r="Z282" s="64"/>
      <c r="AA282" s="64"/>
      <c r="AB282" s="64"/>
      <c r="AC282" s="64"/>
      <c r="AD282" s="64"/>
      <c r="AE282" s="64"/>
    </row>
    <row r="283" spans="2:31" s="39" customFormat="1" x14ac:dyDescent="0.3">
      <c r="B283" s="209" t="s">
        <v>257</v>
      </c>
      <c r="C283" s="208" t="str">
        <f>LOOKUP(B283, TRA_COMM_PRO!$C$7:$C$189, TRA_COMM_PRO!$D$7:$D$189)</f>
        <v>Truck.Heavy.DST.City.01.</v>
      </c>
      <c r="D283" s="209" t="s">
        <v>44</v>
      </c>
      <c r="E283" s="209"/>
      <c r="F283" s="209"/>
      <c r="G283" s="10">
        <f>$G$225</f>
        <v>2019</v>
      </c>
      <c r="H283" s="40">
        <v>15</v>
      </c>
      <c r="I283" s="65">
        <f>$I$226</f>
        <v>1E-3</v>
      </c>
      <c r="J283" s="41">
        <v>7.7</v>
      </c>
      <c r="K283" s="42"/>
      <c r="L283" s="42"/>
      <c r="M283" s="263"/>
      <c r="N283" s="263"/>
      <c r="O283" s="263"/>
      <c r="P283" s="263"/>
      <c r="Q283" s="263"/>
      <c r="R283" s="40">
        <v>45</v>
      </c>
      <c r="S283" s="40"/>
      <c r="T283" s="40"/>
      <c r="U283" s="40"/>
      <c r="V283" s="41"/>
      <c r="W283" s="62">
        <f>LOOKUP(B283, FIXOM_VAROM!$C$8:$C$190, FIXOM_VAROM!$D$8:$D$190)</f>
        <v>100</v>
      </c>
      <c r="X283" s="40">
        <f>LOOKUP($B283, INVCOST!$C$8:$C$193, INVCOST!D$8:D$193)</f>
        <v>141</v>
      </c>
      <c r="Y283" s="40">
        <f>LOOKUP($B283, INVCOST!$C$8:$C$193, INVCOST!E$8:E$193)</f>
        <v>141</v>
      </c>
      <c r="Z283" s="40">
        <f>LOOKUP($B283, INVCOST!$C$8:$C$193, INVCOST!F$8:F$193)</f>
        <v>141</v>
      </c>
      <c r="AA283" s="40">
        <f>LOOKUP($B283, INVCOST!$C$8:$C$193, INVCOST!G$8:G$193)</f>
        <v>141</v>
      </c>
      <c r="AB283" s="40">
        <f>LOOKUP($B283, INVCOST!$C$8:$C$193, INVCOST!H$8:H$193)</f>
        <v>141</v>
      </c>
      <c r="AC283" s="40">
        <f>LOOKUP($B283, INVCOST!$C$8:$C$193, INVCOST!I$8:I$193)</f>
        <v>141</v>
      </c>
      <c r="AD283" s="40">
        <f>LOOKUP($B283, INVCOST!$C$8:$C$193, INVCOST!J$8:J$193)</f>
        <v>141</v>
      </c>
      <c r="AE283" s="40">
        <f>LOOKUP($B283, INVCOST!$C$8:$C$193, INVCOST!K$8:K$193)</f>
        <v>141</v>
      </c>
    </row>
    <row r="284" spans="2:31" s="39" customFormat="1" x14ac:dyDescent="0.3">
      <c r="B284" s="209"/>
      <c r="C284" s="209"/>
      <c r="D284" s="209" t="s">
        <v>48</v>
      </c>
      <c r="E284" s="209"/>
      <c r="F284" s="209"/>
      <c r="G284" s="50"/>
      <c r="H284" s="40"/>
      <c r="I284" s="41"/>
      <c r="J284" s="41"/>
      <c r="K284" s="42"/>
      <c r="L284" s="42"/>
      <c r="M284" s="266"/>
      <c r="N284" s="266"/>
      <c r="O284" s="266"/>
      <c r="P284" s="266"/>
      <c r="Q284" s="266"/>
      <c r="R284" s="40"/>
      <c r="S284" s="40"/>
      <c r="T284" s="40"/>
      <c r="U284" s="40"/>
      <c r="V284" s="41"/>
      <c r="W284" s="60"/>
      <c r="X284" s="60"/>
      <c r="Y284" s="60"/>
      <c r="Z284" s="60"/>
      <c r="AA284" s="60"/>
      <c r="AB284" s="60"/>
      <c r="AC284" s="60"/>
      <c r="AD284" s="60"/>
      <c r="AE284" s="60"/>
    </row>
    <row r="285" spans="2:31" s="39" customFormat="1" x14ac:dyDescent="0.3">
      <c r="B285" s="209"/>
      <c r="C285" s="209"/>
      <c r="D285" s="209"/>
      <c r="E285" s="209"/>
      <c r="F285" s="209" t="s">
        <v>479</v>
      </c>
      <c r="G285" s="50"/>
      <c r="H285" s="40"/>
      <c r="I285" s="41"/>
      <c r="J285" s="41"/>
      <c r="K285" s="42"/>
      <c r="L285" s="42"/>
      <c r="M285" s="263">
        <f>LOOKUP($B283, CEFF!$C$8:$C$156, CEFF!F$8:F$156)</f>
        <v>9.2590000000000006E-2</v>
      </c>
      <c r="N285" s="263">
        <f>LOOKUP($B283, CEFF!$C$8:$C$156, CEFF!G$8:G$156)</f>
        <v>9.4339999999999993E-2</v>
      </c>
      <c r="O285" s="263">
        <f>LOOKUP($B283, CEFF!$C$8:$C$156, CEFF!H$8:H$156)</f>
        <v>9.7089999999999996E-2</v>
      </c>
      <c r="P285" s="263">
        <f>LOOKUP($B283, CEFF!$C$8:$C$156, CEFF!I$8:I$156)</f>
        <v>9.9500000000000005E-2</v>
      </c>
      <c r="Q285" s="263">
        <f>LOOKUP($B283, CEFF!$C$8:$C$156, CEFF!J$8:J$156)</f>
        <v>0.10204000000000001</v>
      </c>
      <c r="R285" s="40"/>
      <c r="S285" s="40"/>
      <c r="T285" s="40"/>
      <c r="U285" s="40"/>
      <c r="V285" s="41"/>
      <c r="W285" s="60"/>
      <c r="X285" s="60"/>
      <c r="Y285" s="60"/>
      <c r="Z285" s="60"/>
      <c r="AA285" s="60"/>
      <c r="AB285" s="60"/>
      <c r="AC285" s="60"/>
      <c r="AD285" s="60"/>
      <c r="AE285" s="60"/>
    </row>
    <row r="286" spans="2:31" s="39" customFormat="1" x14ac:dyDescent="0.3">
      <c r="B286" s="210"/>
      <c r="C286" s="210"/>
      <c r="D286" s="210"/>
      <c r="E286" s="210"/>
      <c r="F286" s="210" t="s">
        <v>487</v>
      </c>
      <c r="G286" s="51"/>
      <c r="H286" s="45"/>
      <c r="I286" s="46"/>
      <c r="J286" s="46"/>
      <c r="K286" s="44"/>
      <c r="L286" s="44"/>
      <c r="M286" s="264">
        <f>LOOKUP($B283, CEFF!$C$163:$C$330, CEFF!F$163:F$330)</f>
        <v>7.4069999999999997E-2</v>
      </c>
      <c r="N286" s="264">
        <f>LOOKUP($B283, CEFF!$C$163:$C$330, CEFF!G$163:G$330)</f>
        <v>7.5469999999999995E-2</v>
      </c>
      <c r="O286" s="264">
        <f>LOOKUP($B283, CEFF!$C$163:$C$330, CEFF!H$163:H$330)</f>
        <v>7.7670000000000003E-2</v>
      </c>
      <c r="P286" s="264">
        <f>LOOKUP($B283, CEFF!$C$163:$C$330, CEFF!I$163:I$330)</f>
        <v>7.9600000000000004E-2</v>
      </c>
      <c r="Q286" s="264">
        <f>LOOKUP($B283, CEFF!$C$163:$C$330, CEFF!J$163:J$330)</f>
        <v>8.1629999999999994E-2</v>
      </c>
      <c r="R286" s="45"/>
      <c r="S286" s="45"/>
      <c r="T286" s="45"/>
      <c r="U286" s="45"/>
      <c r="V286" s="137"/>
      <c r="W286" s="64"/>
      <c r="X286" s="64"/>
      <c r="Y286" s="64"/>
      <c r="Z286" s="64"/>
      <c r="AA286" s="64"/>
      <c r="AB286" s="64"/>
      <c r="AC286" s="64"/>
      <c r="AD286" s="64"/>
      <c r="AE286" s="64"/>
    </row>
    <row r="287" spans="2:31" s="39" customFormat="1" x14ac:dyDescent="0.3">
      <c r="B287" s="209" t="s">
        <v>260</v>
      </c>
      <c r="C287" s="208" t="str">
        <f>LOOKUP(B287, TRA_COMM_PRO!$C$7:$C$189, TRA_COMM_PRO!$D$7:$D$189)</f>
        <v>Truck.Heavy.ETH.City.01.</v>
      </c>
      <c r="D287" s="209" t="s">
        <v>51</v>
      </c>
      <c r="E287" s="209"/>
      <c r="F287" s="209"/>
      <c r="G287" s="10">
        <f>$G$225</f>
        <v>2019</v>
      </c>
      <c r="H287" s="40">
        <v>15</v>
      </c>
      <c r="I287" s="65">
        <f>$I$226</f>
        <v>1E-3</v>
      </c>
      <c r="J287" s="41">
        <v>7.7</v>
      </c>
      <c r="K287" s="42"/>
      <c r="L287" s="42"/>
      <c r="M287" s="263"/>
      <c r="N287" s="263"/>
      <c r="O287" s="263"/>
      <c r="P287" s="263"/>
      <c r="Q287" s="263"/>
      <c r="R287" s="40">
        <v>45</v>
      </c>
      <c r="S287" s="40"/>
      <c r="T287" s="40"/>
      <c r="U287" s="40"/>
      <c r="V287" s="41"/>
      <c r="W287" s="62">
        <f>LOOKUP(B287, FIXOM_VAROM!$C$8:$C$190, FIXOM_VAROM!$D$8:$D$190)</f>
        <v>100</v>
      </c>
      <c r="X287" s="40">
        <f>LOOKUP($B287, INVCOST!$C$8:$C$193, INVCOST!D$8:D$193)</f>
        <v>169</v>
      </c>
      <c r="Y287" s="40">
        <f>LOOKUP($B287, INVCOST!$C$8:$C$193, INVCOST!E$8:E$193)</f>
        <v>169</v>
      </c>
      <c r="Z287" s="40">
        <f>LOOKUP($B287, INVCOST!$C$8:$C$193, INVCOST!F$8:F$193)</f>
        <v>169</v>
      </c>
      <c r="AA287" s="40">
        <f>LOOKUP($B287, INVCOST!$C$8:$C$193, INVCOST!G$8:G$193)</f>
        <v>169</v>
      </c>
      <c r="AB287" s="40">
        <f>LOOKUP($B287, INVCOST!$C$8:$C$193, INVCOST!H$8:H$193)</f>
        <v>169</v>
      </c>
      <c r="AC287" s="40">
        <f>LOOKUP($B287, INVCOST!$C$8:$C$193, INVCOST!I$8:I$193)</f>
        <v>169</v>
      </c>
      <c r="AD287" s="40">
        <f>LOOKUP($B287, INVCOST!$C$8:$C$193, INVCOST!J$8:J$193)</f>
        <v>169</v>
      </c>
      <c r="AE287" s="40">
        <f>LOOKUP($B287, INVCOST!$C$8:$C$193, INVCOST!K$8:K$193)</f>
        <v>169</v>
      </c>
    </row>
    <row r="288" spans="2:31" s="39" customFormat="1" x14ac:dyDescent="0.3">
      <c r="B288" s="209"/>
      <c r="C288" s="209"/>
      <c r="D288" s="209"/>
      <c r="E288" s="209"/>
      <c r="F288" s="209" t="s">
        <v>479</v>
      </c>
      <c r="G288" s="50"/>
      <c r="H288" s="40"/>
      <c r="I288" s="41"/>
      <c r="J288" s="41"/>
      <c r="K288" s="42"/>
      <c r="L288" s="42"/>
      <c r="M288" s="263">
        <f>LOOKUP($B287, CEFF!$C$8:$C$156, CEFF!F$8:F$156)</f>
        <v>9.2590000000000006E-2</v>
      </c>
      <c r="N288" s="263">
        <f>LOOKUP($B287, CEFF!$C$8:$C$156, CEFF!G$8:G$156)</f>
        <v>9.4339999999999993E-2</v>
      </c>
      <c r="O288" s="263">
        <f>LOOKUP($B287, CEFF!$C$8:$C$156, CEFF!H$8:H$156)</f>
        <v>9.7089999999999996E-2</v>
      </c>
      <c r="P288" s="263">
        <f>LOOKUP($B287, CEFF!$C$8:$C$156, CEFF!I$8:I$156)</f>
        <v>9.9500000000000005E-2</v>
      </c>
      <c r="Q288" s="263">
        <f>LOOKUP($B287, CEFF!$C$8:$C$156, CEFF!J$8:J$156)</f>
        <v>0.10204000000000001</v>
      </c>
      <c r="R288" s="40"/>
      <c r="S288" s="40"/>
      <c r="T288" s="40"/>
      <c r="U288" s="40"/>
      <c r="V288" s="41"/>
      <c r="W288" s="60"/>
      <c r="X288" s="60"/>
      <c r="Y288" s="60"/>
      <c r="Z288" s="60"/>
      <c r="AA288" s="60"/>
      <c r="AB288" s="60"/>
      <c r="AC288" s="60"/>
      <c r="AD288" s="60"/>
      <c r="AE288" s="60"/>
    </row>
    <row r="289" spans="2:31" s="39" customFormat="1" x14ac:dyDescent="0.3">
      <c r="B289" s="210"/>
      <c r="C289" s="210"/>
      <c r="D289" s="210"/>
      <c r="E289" s="210"/>
      <c r="F289" s="210" t="s">
        <v>487</v>
      </c>
      <c r="G289" s="51"/>
      <c r="H289" s="45"/>
      <c r="I289" s="46"/>
      <c r="J289" s="46"/>
      <c r="K289" s="44"/>
      <c r="L289" s="44"/>
      <c r="M289" s="264">
        <f>LOOKUP($B287, CEFF!$C$163:$C$330, CEFF!F$163:F$330)</f>
        <v>7.4069999999999997E-2</v>
      </c>
      <c r="N289" s="264">
        <f>LOOKUP($B287, CEFF!$C$163:$C$330, CEFF!G$163:G$330)</f>
        <v>7.5469999999999995E-2</v>
      </c>
      <c r="O289" s="264">
        <f>LOOKUP($B287, CEFF!$C$163:$C$330, CEFF!H$163:H$330)</f>
        <v>7.7670000000000003E-2</v>
      </c>
      <c r="P289" s="264">
        <f>LOOKUP($B287, CEFF!$C$163:$C$330, CEFF!I$163:I$330)</f>
        <v>7.9600000000000004E-2</v>
      </c>
      <c r="Q289" s="264">
        <f>LOOKUP($B287, CEFF!$C$163:$C$330, CEFF!J$163:J$330)</f>
        <v>8.1629999999999994E-2</v>
      </c>
      <c r="R289" s="45"/>
      <c r="S289" s="45"/>
      <c r="T289" s="45"/>
      <c r="U289" s="45"/>
      <c r="V289" s="46"/>
      <c r="W289" s="64"/>
      <c r="X289" s="64"/>
      <c r="Y289" s="64"/>
      <c r="Z289" s="64"/>
      <c r="AA289" s="64"/>
      <c r="AB289" s="64"/>
      <c r="AC289" s="64"/>
      <c r="AD289" s="64"/>
      <c r="AE289" s="64"/>
    </row>
    <row r="290" spans="2:31" s="39" customFormat="1" x14ac:dyDescent="0.3">
      <c r="B290" s="209" t="s">
        <v>262</v>
      </c>
      <c r="C290" s="208" t="str">
        <f>LOOKUP(B290, TRA_COMM_PRO!$C$7:$C$189, TRA_COMM_PRO!$D$7:$D$189)</f>
        <v>Truck.Heavy.GAS.City.01.</v>
      </c>
      <c r="D290" s="209" t="s">
        <v>54</v>
      </c>
      <c r="E290" s="209"/>
      <c r="F290" s="209"/>
      <c r="G290" s="10">
        <f>$G$225</f>
        <v>2019</v>
      </c>
      <c r="H290" s="40">
        <v>15</v>
      </c>
      <c r="I290" s="65">
        <f>$I$226</f>
        <v>1E-3</v>
      </c>
      <c r="J290" s="41">
        <v>7.7</v>
      </c>
      <c r="K290" s="42"/>
      <c r="L290" s="42"/>
      <c r="M290" s="263"/>
      <c r="N290" s="263"/>
      <c r="O290" s="263"/>
      <c r="P290" s="263"/>
      <c r="Q290" s="263"/>
      <c r="R290" s="40">
        <v>45</v>
      </c>
      <c r="S290" s="40"/>
      <c r="T290" s="40"/>
      <c r="U290" s="40"/>
      <c r="V290" s="41"/>
      <c r="W290" s="62">
        <f>LOOKUP(B290, FIXOM_VAROM!$C$8:$C$190, FIXOM_VAROM!$D$8:$D$190)</f>
        <v>100</v>
      </c>
      <c r="X290" s="40">
        <f>LOOKUP($B290, INVCOST!$C$8:$C$193, INVCOST!D$8:D$193)</f>
        <v>169</v>
      </c>
      <c r="Y290" s="40">
        <f>LOOKUP($B290, INVCOST!$C$8:$C$193, INVCOST!E$8:E$193)</f>
        <v>169</v>
      </c>
      <c r="Z290" s="40">
        <f>LOOKUP($B290, INVCOST!$C$8:$C$193, INVCOST!F$8:F$193)</f>
        <v>169</v>
      </c>
      <c r="AA290" s="40">
        <f>LOOKUP($B290, INVCOST!$C$8:$C$193, INVCOST!G$8:G$193)</f>
        <v>169</v>
      </c>
      <c r="AB290" s="40">
        <f>LOOKUP($B290, INVCOST!$C$8:$C$193, INVCOST!H$8:H$193)</f>
        <v>169</v>
      </c>
      <c r="AC290" s="40">
        <f>LOOKUP($B290, INVCOST!$C$8:$C$193, INVCOST!I$8:I$193)</f>
        <v>169</v>
      </c>
      <c r="AD290" s="40">
        <f>LOOKUP($B290, INVCOST!$C$8:$C$193, INVCOST!J$8:J$193)</f>
        <v>169</v>
      </c>
      <c r="AE290" s="40">
        <f>LOOKUP($B290, INVCOST!$C$8:$C$193, INVCOST!K$8:K$193)</f>
        <v>169</v>
      </c>
    </row>
    <row r="291" spans="2:31" s="39" customFormat="1" x14ac:dyDescent="0.3">
      <c r="B291" s="209"/>
      <c r="C291" s="209"/>
      <c r="D291" s="209" t="s">
        <v>53</v>
      </c>
      <c r="E291" s="209"/>
      <c r="F291" s="209"/>
      <c r="G291" s="50"/>
      <c r="H291" s="40"/>
      <c r="I291" s="41"/>
      <c r="J291" s="41"/>
      <c r="K291" s="42"/>
      <c r="L291" s="42"/>
      <c r="M291" s="266"/>
      <c r="N291" s="266"/>
      <c r="O291" s="266"/>
      <c r="P291" s="266"/>
      <c r="Q291" s="266"/>
      <c r="R291" s="40"/>
      <c r="S291" s="40"/>
      <c r="T291" s="40"/>
      <c r="U291" s="40"/>
      <c r="V291" s="41"/>
      <c r="W291" s="60"/>
      <c r="X291" s="60"/>
      <c r="Y291" s="60"/>
      <c r="Z291" s="60"/>
      <c r="AA291" s="60"/>
      <c r="AB291" s="60"/>
      <c r="AC291" s="60"/>
      <c r="AD291" s="60"/>
      <c r="AE291" s="60"/>
    </row>
    <row r="292" spans="2:31" s="39" customFormat="1" x14ac:dyDescent="0.3">
      <c r="B292" s="209"/>
      <c r="C292" s="209"/>
      <c r="D292" s="209"/>
      <c r="E292" s="209"/>
      <c r="F292" s="209" t="s">
        <v>479</v>
      </c>
      <c r="G292" s="50"/>
      <c r="H292" s="40"/>
      <c r="I292" s="41"/>
      <c r="J292" s="41"/>
      <c r="K292" s="42"/>
      <c r="L292" s="42"/>
      <c r="M292" s="263">
        <f>LOOKUP($B290, CEFF!$C$8:$C$156, CEFF!F$8:F$156)</f>
        <v>8.4029999999999994E-2</v>
      </c>
      <c r="N292" s="263">
        <f>LOOKUP($B290, CEFF!$C$8:$C$156, CEFF!G$8:G$156)</f>
        <v>8.5110000000000005E-2</v>
      </c>
      <c r="O292" s="263">
        <f>LOOKUP($B290, CEFF!$C$8:$C$156, CEFF!H$8:H$156)</f>
        <v>8.8499999999999995E-2</v>
      </c>
      <c r="P292" s="263">
        <f>LOOKUP($B290, CEFF!$C$8:$C$156, CEFF!I$8:I$156)</f>
        <v>9.0910000000000005E-2</v>
      </c>
      <c r="Q292" s="263">
        <f>LOOKUP($B290, CEFF!$C$8:$C$156, CEFF!J$8:J$156)</f>
        <v>9.3460000000000001E-2</v>
      </c>
      <c r="R292" s="40"/>
      <c r="S292" s="40"/>
      <c r="T292" s="40"/>
      <c r="U292" s="40"/>
      <c r="V292" s="41"/>
      <c r="W292" s="60"/>
      <c r="X292" s="60"/>
      <c r="Y292" s="60"/>
      <c r="Z292" s="60"/>
      <c r="AA292" s="60"/>
      <c r="AB292" s="60"/>
      <c r="AC292" s="60"/>
      <c r="AD292" s="60"/>
      <c r="AE292" s="60"/>
    </row>
    <row r="293" spans="2:31" s="39" customFormat="1" x14ac:dyDescent="0.3">
      <c r="B293" s="210"/>
      <c r="C293" s="210"/>
      <c r="D293" s="210"/>
      <c r="E293" s="210"/>
      <c r="F293" s="210" t="s">
        <v>487</v>
      </c>
      <c r="G293" s="51"/>
      <c r="H293" s="45"/>
      <c r="I293" s="46"/>
      <c r="J293" s="46"/>
      <c r="K293" s="44"/>
      <c r="L293" s="44"/>
      <c r="M293" s="264">
        <f>LOOKUP($B290, CEFF!$C$163:$C$330, CEFF!F$163:F$330)</f>
        <v>6.7229999999999998E-2</v>
      </c>
      <c r="N293" s="264">
        <f>LOOKUP($B290, CEFF!$C$163:$C$330, CEFF!G$163:G$330)</f>
        <v>6.8089999999999998E-2</v>
      </c>
      <c r="O293" s="264">
        <f>LOOKUP($B290, CEFF!$C$163:$C$330, CEFF!H$163:H$330)</f>
        <v>7.0800000000000002E-2</v>
      </c>
      <c r="P293" s="264">
        <f>LOOKUP($B290, CEFF!$C$163:$C$330, CEFF!I$163:I$330)</f>
        <v>7.2730000000000003E-2</v>
      </c>
      <c r="Q293" s="264">
        <f>LOOKUP($B290, CEFF!$C$163:$C$330, CEFF!J$163:J$330)</f>
        <v>7.4770000000000003E-2</v>
      </c>
      <c r="R293" s="45"/>
      <c r="S293" s="45"/>
      <c r="T293" s="45"/>
      <c r="U293" s="45"/>
      <c r="V293" s="46"/>
      <c r="W293" s="64"/>
      <c r="X293" s="64"/>
      <c r="Y293" s="64"/>
      <c r="Z293" s="64"/>
      <c r="AA293" s="64"/>
      <c r="AB293" s="64"/>
      <c r="AC293" s="64"/>
      <c r="AD293" s="64"/>
      <c r="AE293" s="64"/>
    </row>
    <row r="294" spans="2:31" s="39" customFormat="1" x14ac:dyDescent="0.3">
      <c r="B294" s="212" t="s">
        <v>264</v>
      </c>
      <c r="C294" s="208" t="str">
        <f>LOOKUP(B294, TRA_COMM_PRO!$C$7:$C$189, TRA_COMM_PRO!$D$7:$D$189)</f>
        <v>Truck.Heavy.GSL.City.01.</v>
      </c>
      <c r="D294" s="212" t="s">
        <v>40</v>
      </c>
      <c r="E294" s="212"/>
      <c r="F294" s="212"/>
      <c r="G294" s="10">
        <f>$G$225</f>
        <v>2019</v>
      </c>
      <c r="H294" s="40">
        <v>15</v>
      </c>
      <c r="I294" s="65">
        <f>$I$226</f>
        <v>1E-3</v>
      </c>
      <c r="J294" s="76">
        <v>7.7</v>
      </c>
      <c r="K294" s="77"/>
      <c r="L294" s="77">
        <v>0.05</v>
      </c>
      <c r="M294" s="263"/>
      <c r="N294" s="263"/>
      <c r="O294" s="263"/>
      <c r="P294" s="263"/>
      <c r="Q294" s="263"/>
      <c r="R294" s="40">
        <v>45</v>
      </c>
      <c r="S294" s="40"/>
      <c r="T294" s="40"/>
      <c r="U294" s="40"/>
      <c r="V294" s="41"/>
      <c r="W294" s="62">
        <f>LOOKUP(B294, FIXOM_VAROM!$C$8:$C$190, FIXOM_VAROM!$D$8:$D$190)</f>
        <v>100</v>
      </c>
      <c r="X294" s="40">
        <f>LOOKUP($B294, INVCOST!$C$8:$C$193, INVCOST!D$8:D$193)</f>
        <v>141</v>
      </c>
      <c r="Y294" s="40">
        <f>LOOKUP($B294, INVCOST!$C$8:$C$193, INVCOST!E$8:E$193)</f>
        <v>141</v>
      </c>
      <c r="Z294" s="40">
        <f>LOOKUP($B294, INVCOST!$C$8:$C$193, INVCOST!F$8:F$193)</f>
        <v>141</v>
      </c>
      <c r="AA294" s="40">
        <f>LOOKUP($B294, INVCOST!$C$8:$C$193, INVCOST!G$8:G$193)</f>
        <v>141</v>
      </c>
      <c r="AB294" s="40">
        <f>LOOKUP($B294, INVCOST!$C$8:$C$193, INVCOST!H$8:H$193)</f>
        <v>141</v>
      </c>
      <c r="AC294" s="40">
        <f>LOOKUP($B294, INVCOST!$C$8:$C$193, INVCOST!I$8:I$193)</f>
        <v>141</v>
      </c>
      <c r="AD294" s="40">
        <f>LOOKUP($B294, INVCOST!$C$8:$C$193, INVCOST!J$8:J$193)</f>
        <v>141</v>
      </c>
      <c r="AE294" s="40">
        <f>LOOKUP($B294, INVCOST!$C$8:$C$193, INVCOST!K$8:K$193)</f>
        <v>141</v>
      </c>
    </row>
    <row r="295" spans="2:31" s="39" customFormat="1" x14ac:dyDescent="0.3">
      <c r="B295" s="209"/>
      <c r="C295" s="208"/>
      <c r="D295" s="209" t="s">
        <v>39</v>
      </c>
      <c r="E295" s="209"/>
      <c r="F295" s="209"/>
      <c r="G295" s="10"/>
      <c r="H295" s="40"/>
      <c r="I295" s="65"/>
      <c r="J295" s="163"/>
      <c r="K295" s="78"/>
      <c r="L295" s="78"/>
      <c r="M295" s="263"/>
      <c r="N295" s="263"/>
      <c r="O295" s="263"/>
      <c r="P295" s="263"/>
      <c r="Q295" s="263"/>
      <c r="R295" s="40"/>
      <c r="S295" s="40"/>
      <c r="T295" s="40"/>
      <c r="U295" s="40"/>
      <c r="V295" s="41"/>
      <c r="W295" s="60"/>
      <c r="X295" s="40"/>
      <c r="Y295" s="40"/>
      <c r="Z295" s="40"/>
      <c r="AA295" s="40"/>
      <c r="AB295" s="40"/>
      <c r="AC295" s="40"/>
      <c r="AD295" s="40"/>
      <c r="AE295" s="40"/>
    </row>
    <row r="296" spans="2:31" s="39" customFormat="1" x14ac:dyDescent="0.3">
      <c r="B296" s="209"/>
      <c r="C296" s="209"/>
      <c r="D296" s="209"/>
      <c r="E296" s="209"/>
      <c r="F296" s="209" t="s">
        <v>479</v>
      </c>
      <c r="G296" s="50"/>
      <c r="H296" s="40"/>
      <c r="I296" s="41"/>
      <c r="J296" s="40"/>
      <c r="K296" s="78"/>
      <c r="L296" s="78"/>
      <c r="M296" s="263">
        <f>LOOKUP($B294, CEFF!$C$8:$C$156, CEFF!F$8:F$156)</f>
        <v>8.4029999999999994E-2</v>
      </c>
      <c r="N296" s="263">
        <f>LOOKUP($B294, CEFF!$C$8:$C$156, CEFF!G$8:G$156)</f>
        <v>8.5110000000000005E-2</v>
      </c>
      <c r="O296" s="263">
        <f>LOOKUP($B294, CEFF!$C$8:$C$156, CEFF!H$8:H$156)</f>
        <v>8.8499999999999995E-2</v>
      </c>
      <c r="P296" s="263">
        <f>LOOKUP($B294, CEFF!$C$8:$C$156, CEFF!I$8:I$156)</f>
        <v>9.0910000000000005E-2</v>
      </c>
      <c r="Q296" s="263">
        <f>LOOKUP($B294, CEFF!$C$8:$C$156, CEFF!J$8:J$156)</f>
        <v>9.3460000000000001E-2</v>
      </c>
      <c r="R296" s="40"/>
      <c r="S296" s="40"/>
      <c r="T296" s="40"/>
      <c r="U296" s="40"/>
      <c r="V296" s="41"/>
      <c r="W296" s="60"/>
      <c r="X296" s="60"/>
      <c r="Y296" s="60"/>
      <c r="Z296" s="60"/>
      <c r="AA296" s="60"/>
      <c r="AB296" s="60"/>
      <c r="AC296" s="60"/>
      <c r="AD296" s="60"/>
      <c r="AE296" s="60"/>
    </row>
    <row r="297" spans="2:31" s="39" customFormat="1" x14ac:dyDescent="0.3">
      <c r="B297" s="210"/>
      <c r="C297" s="210"/>
      <c r="D297" s="210"/>
      <c r="E297" s="210"/>
      <c r="F297" s="210" t="s">
        <v>487</v>
      </c>
      <c r="G297" s="51"/>
      <c r="H297" s="45"/>
      <c r="I297" s="46"/>
      <c r="J297" s="45"/>
      <c r="K297" s="79"/>
      <c r="L297" s="79"/>
      <c r="M297" s="264">
        <f>LOOKUP($B294, CEFF!$C$163:$C$330, CEFF!F$163:F$330)</f>
        <v>6.7229999999999998E-2</v>
      </c>
      <c r="N297" s="264">
        <f>LOOKUP($B294, CEFF!$C$163:$C$330, CEFF!G$163:G$330)</f>
        <v>6.8089999999999998E-2</v>
      </c>
      <c r="O297" s="264">
        <f>LOOKUP($B294, CEFF!$C$163:$C$330, CEFF!H$163:H$330)</f>
        <v>7.0800000000000002E-2</v>
      </c>
      <c r="P297" s="264">
        <f>LOOKUP($B294, CEFF!$C$163:$C$330, CEFF!I$163:I$330)</f>
        <v>7.2730000000000003E-2</v>
      </c>
      <c r="Q297" s="264">
        <f>LOOKUP($B294, CEFF!$C$163:$C$330, CEFF!J$163:J$330)</f>
        <v>7.4770000000000003E-2</v>
      </c>
      <c r="R297" s="45"/>
      <c r="S297" s="45"/>
      <c r="T297" s="45"/>
      <c r="U297" s="45"/>
      <c r="V297" s="46"/>
      <c r="W297" s="64"/>
      <c r="X297" s="64"/>
      <c r="Y297" s="64"/>
      <c r="Z297" s="64"/>
      <c r="AA297" s="64"/>
      <c r="AB297" s="64"/>
      <c r="AC297" s="64"/>
      <c r="AD297" s="64"/>
      <c r="AE297" s="64"/>
    </row>
    <row r="298" spans="2:31" s="39" customFormat="1" x14ac:dyDescent="0.3">
      <c r="B298" s="209" t="s">
        <v>266</v>
      </c>
      <c r="C298" s="208" t="str">
        <f>LOOKUP(B298, TRA_COMM_PRO!$C$7:$C$189, TRA_COMM_PRO!$D$7:$D$189)</f>
        <v>Truck.Heavy.H2G.City.01.</v>
      </c>
      <c r="D298" s="209" t="s">
        <v>57</v>
      </c>
      <c r="E298" s="209"/>
      <c r="F298" s="209"/>
      <c r="G298" s="10">
        <f>G247</f>
        <v>2019</v>
      </c>
      <c r="H298" s="40">
        <v>15</v>
      </c>
      <c r="I298" s="65">
        <f>$I$226</f>
        <v>1E-3</v>
      </c>
      <c r="J298" s="41">
        <v>7.7</v>
      </c>
      <c r="K298" s="42"/>
      <c r="L298" s="42"/>
      <c r="M298" s="263"/>
      <c r="N298" s="263"/>
      <c r="O298" s="263"/>
      <c r="P298" s="263"/>
      <c r="Q298" s="263"/>
      <c r="R298" s="40">
        <v>45</v>
      </c>
      <c r="S298" s="40"/>
      <c r="T298" s="40"/>
      <c r="U298" s="40"/>
      <c r="V298" s="41"/>
      <c r="W298" s="62">
        <f>LOOKUP(B298, FIXOM_VAROM!$C$8:$C$190, FIXOM_VAROM!$D$8:$D$190)</f>
        <v>80.000000000000014</v>
      </c>
      <c r="X298" s="40">
        <f>LOOKUP($B298, INVCOST!$C$8:$C$193, INVCOST!D$8:D$193)</f>
        <v>219</v>
      </c>
      <c r="Y298" s="40">
        <f>LOOKUP($B298, INVCOST!$C$8:$C$193, INVCOST!E$8:E$193)</f>
        <v>216</v>
      </c>
      <c r="Z298" s="40">
        <f>LOOKUP($B298, INVCOST!$C$8:$C$193, INVCOST!F$8:F$193)</f>
        <v>213</v>
      </c>
      <c r="AA298" s="40">
        <f>LOOKUP($B298, INVCOST!$C$8:$C$193, INVCOST!G$8:G$193)</f>
        <v>210</v>
      </c>
      <c r="AB298" s="40">
        <f>LOOKUP($B298, INVCOST!$C$8:$C$193, INVCOST!H$8:H$193)</f>
        <v>206</v>
      </c>
      <c r="AC298" s="40">
        <f>LOOKUP($B298, INVCOST!$C$8:$C$193, INVCOST!I$8:I$193)</f>
        <v>203</v>
      </c>
      <c r="AD298" s="40">
        <f>LOOKUP($B298, INVCOST!$C$8:$C$193, INVCOST!J$8:J$193)</f>
        <v>200</v>
      </c>
      <c r="AE298" s="40">
        <f>LOOKUP($B298, INVCOST!$C$8:$C$193, INVCOST!K$8:K$193)</f>
        <v>197</v>
      </c>
    </row>
    <row r="299" spans="2:31" s="39" customFormat="1" x14ac:dyDescent="0.3">
      <c r="B299" s="209"/>
      <c r="C299" s="209"/>
      <c r="D299" s="209"/>
      <c r="E299" s="209"/>
      <c r="F299" s="209" t="s">
        <v>479</v>
      </c>
      <c r="G299" s="50"/>
      <c r="H299" s="40"/>
      <c r="I299" s="41"/>
      <c r="J299" s="41"/>
      <c r="K299" s="42"/>
      <c r="L299" s="42"/>
      <c r="M299" s="263">
        <f>LOOKUP($B298, CEFF!$C$8:$C$156, CEFF!F$8:F$156)</f>
        <v>0.15384999999999999</v>
      </c>
      <c r="N299" s="263">
        <f>LOOKUP($B298, CEFF!$C$8:$C$156, CEFF!G$8:G$156)</f>
        <v>0.15625</v>
      </c>
      <c r="O299" s="263">
        <f>LOOKUP($B298, CEFF!$C$8:$C$156, CEFF!H$8:H$156)</f>
        <v>0.16392999999999999</v>
      </c>
      <c r="P299" s="263">
        <f>LOOKUP($B298, CEFF!$C$8:$C$156, CEFF!I$8:I$156)</f>
        <v>0.16807</v>
      </c>
      <c r="Q299" s="263">
        <f>LOOKUP($B298, CEFF!$C$8:$C$156, CEFF!J$8:J$156)</f>
        <v>0.17241000000000001</v>
      </c>
      <c r="R299" s="40"/>
      <c r="S299" s="40"/>
      <c r="T299" s="40"/>
      <c r="U299" s="40"/>
      <c r="V299" s="41"/>
      <c r="W299" s="60"/>
      <c r="X299" s="60"/>
      <c r="Y299" s="60"/>
      <c r="Z299" s="60"/>
      <c r="AA299" s="60"/>
      <c r="AB299" s="60"/>
      <c r="AC299" s="60"/>
      <c r="AD299" s="60"/>
      <c r="AE299" s="60"/>
    </row>
    <row r="300" spans="2:31" s="39" customFormat="1" x14ac:dyDescent="0.3">
      <c r="B300" s="210"/>
      <c r="C300" s="210"/>
      <c r="D300" s="210"/>
      <c r="E300" s="210"/>
      <c r="F300" s="210" t="s">
        <v>487</v>
      </c>
      <c r="G300" s="51"/>
      <c r="H300" s="45"/>
      <c r="I300" s="46"/>
      <c r="J300" s="46"/>
      <c r="K300" s="44"/>
      <c r="L300" s="79"/>
      <c r="M300" s="264">
        <f>LOOKUP($B298, CEFF!$C$163:$C$330, CEFF!F$163:F$330)</f>
        <v>0.12307999999999999</v>
      </c>
      <c r="N300" s="264">
        <f>LOOKUP($B298, CEFF!$C$163:$C$330, CEFF!G$163:G$330)</f>
        <v>0.125</v>
      </c>
      <c r="O300" s="264">
        <f>LOOKUP($B298, CEFF!$C$163:$C$330, CEFF!H$163:H$330)</f>
        <v>0.13114999999999999</v>
      </c>
      <c r="P300" s="264">
        <f>LOOKUP($B298, CEFF!$C$163:$C$330, CEFF!I$163:I$330)</f>
        <v>0.13444999999999999</v>
      </c>
      <c r="Q300" s="264">
        <f>LOOKUP($B298, CEFF!$C$163:$C$330, CEFF!J$163:J$330)</f>
        <v>0.13793</v>
      </c>
      <c r="R300" s="45"/>
      <c r="S300" s="45"/>
      <c r="T300" s="45"/>
      <c r="U300" s="45"/>
      <c r="V300" s="46"/>
      <c r="W300" s="64"/>
      <c r="X300" s="64"/>
      <c r="Y300" s="64"/>
      <c r="Z300" s="64"/>
      <c r="AA300" s="64"/>
      <c r="AB300" s="64"/>
      <c r="AC300" s="64"/>
      <c r="AD300" s="64"/>
      <c r="AE300" s="64"/>
    </row>
    <row r="301" spans="2:31" s="39" customFormat="1" x14ac:dyDescent="0.3">
      <c r="B301" s="209" t="s">
        <v>421</v>
      </c>
      <c r="C301" s="208" t="str">
        <f>LOOKUP(B301, TRA_COMM_PRO!$C$7:$C$189, TRA_COMM_PRO!$D$7:$D$189)</f>
        <v>Truck.Heavy.Hybrid.DST.City.01.</v>
      </c>
      <c r="D301" s="209" t="s">
        <v>44</v>
      </c>
      <c r="E301" s="209"/>
      <c r="F301" s="209"/>
      <c r="G301" s="10">
        <f>$G$225</f>
        <v>2019</v>
      </c>
      <c r="H301" s="40">
        <v>15</v>
      </c>
      <c r="I301" s="65">
        <f>$I$226</f>
        <v>1E-3</v>
      </c>
      <c r="J301" s="41">
        <v>7.7</v>
      </c>
      <c r="K301" s="42"/>
      <c r="L301" s="42"/>
      <c r="M301" s="263"/>
      <c r="N301" s="263"/>
      <c r="O301" s="263"/>
      <c r="P301" s="263"/>
      <c r="Q301" s="263"/>
      <c r="R301" s="40">
        <v>45</v>
      </c>
      <c r="S301" s="40"/>
      <c r="T301" s="40"/>
      <c r="U301" s="40"/>
      <c r="V301" s="41"/>
      <c r="W301" s="62">
        <f>LOOKUP(B301, FIXOM_VAROM!$C$8:$C$190, FIXOM_VAROM!$D$8:$D$190)</f>
        <v>100</v>
      </c>
      <c r="X301" s="40">
        <f>LOOKUP($B301, INVCOST!$C$8:$C$193, INVCOST!D$8:D$193)</f>
        <v>169</v>
      </c>
      <c r="Y301" s="40">
        <f>LOOKUP($B301, INVCOST!$C$8:$C$193, INVCOST!E$8:E$193)</f>
        <v>169</v>
      </c>
      <c r="Z301" s="40">
        <f>LOOKUP($B301, INVCOST!$C$8:$C$193, INVCOST!F$8:F$193)</f>
        <v>169</v>
      </c>
      <c r="AA301" s="40">
        <f>LOOKUP($B301, INVCOST!$C$8:$C$193, INVCOST!G$8:G$193)</f>
        <v>169</v>
      </c>
      <c r="AB301" s="40">
        <f>LOOKUP($B301, INVCOST!$C$8:$C$193, INVCOST!H$8:H$193)</f>
        <v>169</v>
      </c>
      <c r="AC301" s="40">
        <f>LOOKUP($B301, INVCOST!$C$8:$C$193, INVCOST!I$8:I$193)</f>
        <v>169</v>
      </c>
      <c r="AD301" s="40">
        <f>LOOKUP($B301, INVCOST!$C$8:$C$193, INVCOST!J$8:J$193)</f>
        <v>169</v>
      </c>
      <c r="AE301" s="40">
        <f>LOOKUP($B301, INVCOST!$C$8:$C$193, INVCOST!K$8:K$193)</f>
        <v>169</v>
      </c>
    </row>
    <row r="302" spans="2:31" s="39" customFormat="1" x14ac:dyDescent="0.3">
      <c r="B302" s="209"/>
      <c r="C302" s="209"/>
      <c r="D302" s="209" t="s">
        <v>48</v>
      </c>
      <c r="E302" s="209"/>
      <c r="F302" s="209"/>
      <c r="G302" s="42"/>
      <c r="H302" s="40"/>
      <c r="I302" s="41"/>
      <c r="J302" s="41"/>
      <c r="K302" s="42"/>
      <c r="L302" s="42"/>
      <c r="M302" s="266"/>
      <c r="N302" s="266"/>
      <c r="O302" s="266"/>
      <c r="P302" s="266"/>
      <c r="Q302" s="266"/>
      <c r="R302" s="40"/>
      <c r="S302" s="40"/>
      <c r="T302" s="40"/>
      <c r="U302" s="40"/>
      <c r="V302" s="41"/>
      <c r="W302" s="60"/>
      <c r="X302" s="60"/>
      <c r="Y302" s="60"/>
      <c r="Z302" s="60"/>
      <c r="AA302" s="60"/>
      <c r="AB302" s="60"/>
      <c r="AC302" s="60"/>
      <c r="AD302" s="60"/>
      <c r="AE302" s="60"/>
    </row>
    <row r="303" spans="2:31" s="39" customFormat="1" x14ac:dyDescent="0.3">
      <c r="B303" s="209"/>
      <c r="C303" s="209"/>
      <c r="D303" s="209"/>
      <c r="E303" s="209"/>
      <c r="F303" s="209" t="s">
        <v>479</v>
      </c>
      <c r="G303" s="50"/>
      <c r="H303" s="40"/>
      <c r="I303" s="41"/>
      <c r="J303" s="41"/>
      <c r="K303" s="42"/>
      <c r="L303" s="42"/>
      <c r="M303" s="263">
        <f>LOOKUP($B301, CEFF!$C$8:$C$156, CEFF!F$8:F$156)</f>
        <v>0.10309</v>
      </c>
      <c r="N303" s="263">
        <f>LOOKUP($B301, CEFF!$C$8:$C$156, CEFF!G$8:G$156)</f>
        <v>0.10526000000000001</v>
      </c>
      <c r="O303" s="263">
        <f>LOOKUP($B301, CEFF!$C$8:$C$156, CEFF!H$8:H$156)</f>
        <v>0.1087</v>
      </c>
      <c r="P303" s="263">
        <f>LOOKUP($B301, CEFF!$C$8:$C$156, CEFF!I$8:I$156)</f>
        <v>0.11111</v>
      </c>
      <c r="Q303" s="263">
        <f>LOOKUP($B301, CEFF!$C$8:$C$156, CEFF!J$8:J$156)</f>
        <v>0.11364</v>
      </c>
      <c r="R303" s="40"/>
      <c r="S303" s="40"/>
      <c r="T303" s="40"/>
      <c r="U303" s="40"/>
      <c r="V303" s="41"/>
      <c r="W303" s="60"/>
      <c r="X303" s="60"/>
      <c r="Y303" s="60"/>
      <c r="Z303" s="60"/>
      <c r="AA303" s="60"/>
      <c r="AB303" s="60"/>
      <c r="AC303" s="60"/>
      <c r="AD303" s="60"/>
      <c r="AE303" s="60"/>
    </row>
    <row r="304" spans="2:31" s="39" customFormat="1" x14ac:dyDescent="0.3">
      <c r="B304" s="210"/>
      <c r="C304" s="210"/>
      <c r="D304" s="210"/>
      <c r="E304" s="210"/>
      <c r="F304" s="210" t="s">
        <v>487</v>
      </c>
      <c r="G304" s="51"/>
      <c r="H304" s="45"/>
      <c r="I304" s="46"/>
      <c r="J304" s="46"/>
      <c r="K304" s="44"/>
      <c r="L304" s="44"/>
      <c r="M304" s="264">
        <f>LOOKUP($B301, CEFF!$C$163:$C$330, CEFF!F$163:F$330)</f>
        <v>8.2470000000000002E-2</v>
      </c>
      <c r="N304" s="264">
        <f>LOOKUP($B301, CEFF!$C$163:$C$330, CEFF!G$163:G$330)</f>
        <v>8.4209999999999993E-2</v>
      </c>
      <c r="O304" s="264">
        <f>LOOKUP($B301, CEFF!$C$163:$C$330, CEFF!H$163:H$330)</f>
        <v>8.6959999999999996E-2</v>
      </c>
      <c r="P304" s="264">
        <f>LOOKUP($B301, CEFF!$C$163:$C$330, CEFF!I$163:I$330)</f>
        <v>8.8889999999999997E-2</v>
      </c>
      <c r="Q304" s="264">
        <f>LOOKUP($B301, CEFF!$C$163:$C$330, CEFF!J$163:J$330)</f>
        <v>9.0910000000000005E-2</v>
      </c>
      <c r="R304" s="45"/>
      <c r="S304" s="45"/>
      <c r="T304" s="45"/>
      <c r="U304" s="45"/>
      <c r="V304" s="46"/>
      <c r="W304" s="64"/>
      <c r="X304" s="64"/>
      <c r="Y304" s="64"/>
      <c r="Z304" s="64"/>
      <c r="AA304" s="64"/>
      <c r="AB304" s="64"/>
      <c r="AC304" s="64"/>
      <c r="AD304" s="64"/>
      <c r="AE304" s="64"/>
    </row>
    <row r="305" spans="2:31" s="39" customFormat="1" x14ac:dyDescent="0.3">
      <c r="B305" s="209" t="s">
        <v>422</v>
      </c>
      <c r="C305" s="208" t="str">
        <f>LOOKUP(B305, TRA_COMM_PRO!$C$7:$C$189, TRA_COMM_PRO!$D$7:$D$189)</f>
        <v>Truck.Heavy.Hybrid.GSL.City.01.</v>
      </c>
      <c r="D305" s="209" t="s">
        <v>40</v>
      </c>
      <c r="E305" s="209"/>
      <c r="F305" s="209"/>
      <c r="G305" s="10">
        <f>$G$225</f>
        <v>2019</v>
      </c>
      <c r="H305" s="40">
        <v>15</v>
      </c>
      <c r="I305" s="65">
        <f>$I$226</f>
        <v>1E-3</v>
      </c>
      <c r="J305" s="41">
        <v>7.7</v>
      </c>
      <c r="K305" s="42"/>
      <c r="L305" s="42">
        <v>0.05</v>
      </c>
      <c r="M305" s="263"/>
      <c r="N305" s="263"/>
      <c r="O305" s="263"/>
      <c r="P305" s="263"/>
      <c r="Q305" s="263"/>
      <c r="R305" s="40">
        <v>45</v>
      </c>
      <c r="S305" s="40"/>
      <c r="T305" s="40"/>
      <c r="U305" s="40"/>
      <c r="V305" s="41"/>
      <c r="W305" s="62">
        <f>LOOKUP(B305, FIXOM_VAROM!$C$8:$C$190, FIXOM_VAROM!$D$8:$D$190)</f>
        <v>100</v>
      </c>
      <c r="X305" s="40">
        <f>LOOKUP($B305, INVCOST!$C$8:$C$193, INVCOST!D$8:D$193)</f>
        <v>169</v>
      </c>
      <c r="Y305" s="40">
        <f>LOOKUP($B305, INVCOST!$C$8:$C$193, INVCOST!E$8:E$193)</f>
        <v>169</v>
      </c>
      <c r="Z305" s="40">
        <f>LOOKUP($B305, INVCOST!$C$8:$C$193, INVCOST!F$8:F$193)</f>
        <v>169</v>
      </c>
      <c r="AA305" s="40">
        <f>LOOKUP($B305, INVCOST!$C$8:$C$193, INVCOST!G$8:G$193)</f>
        <v>169</v>
      </c>
      <c r="AB305" s="40">
        <f>LOOKUP($B305, INVCOST!$C$8:$C$193, INVCOST!H$8:H$193)</f>
        <v>169</v>
      </c>
      <c r="AC305" s="40">
        <f>LOOKUP($B305, INVCOST!$C$8:$C$193, INVCOST!I$8:I$193)</f>
        <v>169</v>
      </c>
      <c r="AD305" s="40">
        <f>LOOKUP($B305, INVCOST!$C$8:$C$193, INVCOST!J$8:J$193)</f>
        <v>169</v>
      </c>
      <c r="AE305" s="40">
        <f>LOOKUP($B305, INVCOST!$C$8:$C$193, INVCOST!K$8:K$193)</f>
        <v>169</v>
      </c>
    </row>
    <row r="306" spans="2:31" s="39" customFormat="1" x14ac:dyDescent="0.3">
      <c r="B306" s="209"/>
      <c r="C306" s="208"/>
      <c r="D306" s="209" t="s">
        <v>39</v>
      </c>
      <c r="E306" s="209"/>
      <c r="F306" s="209"/>
      <c r="G306" s="10"/>
      <c r="H306" s="40"/>
      <c r="I306" s="65"/>
      <c r="J306" s="41"/>
      <c r="K306" s="42"/>
      <c r="L306" s="42"/>
      <c r="M306" s="263"/>
      <c r="N306" s="263"/>
      <c r="O306" s="263"/>
      <c r="P306" s="263"/>
      <c r="Q306" s="263"/>
      <c r="R306" s="40"/>
      <c r="S306" s="40"/>
      <c r="T306" s="40"/>
      <c r="U306" s="40"/>
      <c r="V306" s="41"/>
      <c r="W306" s="60"/>
      <c r="X306" s="40"/>
      <c r="Y306" s="40"/>
      <c r="Z306" s="40"/>
      <c r="AA306" s="40"/>
      <c r="AB306" s="40"/>
      <c r="AC306" s="40"/>
      <c r="AD306" s="40"/>
      <c r="AE306" s="40"/>
    </row>
    <row r="307" spans="2:31" s="39" customFormat="1" x14ac:dyDescent="0.3">
      <c r="B307" s="209"/>
      <c r="C307" s="209"/>
      <c r="D307" s="209"/>
      <c r="E307" s="209"/>
      <c r="F307" s="209" t="s">
        <v>479</v>
      </c>
      <c r="G307" s="50"/>
      <c r="H307" s="40"/>
      <c r="I307" s="41"/>
      <c r="J307" s="41"/>
      <c r="K307" s="42"/>
      <c r="L307" s="42"/>
      <c r="M307" s="263">
        <f>LOOKUP($B305, CEFF!$C$8:$C$156, CEFF!F$8:F$156)</f>
        <v>9.3560000000000004E-2</v>
      </c>
      <c r="N307" s="263">
        <f>LOOKUP($B305, CEFF!$C$8:$C$156, CEFF!G$8:G$156)</f>
        <v>9.4960000000000003E-2</v>
      </c>
      <c r="O307" s="263">
        <f>LOOKUP($B305, CEFF!$C$8:$C$156, CEFF!H$8:H$156)</f>
        <v>9.9080000000000001E-2</v>
      </c>
      <c r="P307" s="263">
        <f>LOOKUP($B305, CEFF!$C$8:$C$156, CEFF!I$8:I$156)</f>
        <v>0.10152</v>
      </c>
      <c r="Q307" s="263">
        <f>LOOKUP($B305, CEFF!$C$8:$C$156, CEFF!J$8:J$156)</f>
        <v>0.10408000000000001</v>
      </c>
      <c r="R307" s="40"/>
      <c r="S307" s="40"/>
      <c r="T307" s="40"/>
      <c r="U307" s="40"/>
      <c r="V307" s="41"/>
      <c r="W307" s="60"/>
      <c r="X307" s="60"/>
      <c r="Y307" s="60"/>
      <c r="Z307" s="60"/>
      <c r="AA307" s="60"/>
      <c r="AB307" s="60"/>
      <c r="AC307" s="60"/>
      <c r="AD307" s="60"/>
      <c r="AE307" s="60"/>
    </row>
    <row r="308" spans="2:31" s="39" customFormat="1" x14ac:dyDescent="0.3">
      <c r="B308" s="210"/>
      <c r="C308" s="210"/>
      <c r="D308" s="210"/>
      <c r="E308" s="210"/>
      <c r="F308" s="210" t="s">
        <v>487</v>
      </c>
      <c r="G308" s="51"/>
      <c r="H308" s="45"/>
      <c r="I308" s="46"/>
      <c r="J308" s="46"/>
      <c r="K308" s="44"/>
      <c r="L308" s="44"/>
      <c r="M308" s="264">
        <f>LOOKUP($B305, CEFF!$C$163:$C$330, CEFF!F$163:F$330)</f>
        <v>0.11169999999999999</v>
      </c>
      <c r="N308" s="264">
        <f>LOOKUP($B305, CEFF!$C$163:$C$330, CEFF!G$163:G$330)</f>
        <v>0.11277</v>
      </c>
      <c r="O308" s="264">
        <f>LOOKUP($B305, CEFF!$C$163:$C$330, CEFF!H$163:H$330)</f>
        <v>0.11953999999999999</v>
      </c>
      <c r="P308" s="264">
        <f>LOOKUP($B305, CEFF!$C$163:$C$330, CEFF!I$163:I$330)</f>
        <v>0.12284</v>
      </c>
      <c r="Q308" s="264">
        <f>LOOKUP($B305, CEFF!$C$163:$C$330, CEFF!J$163:J$330)</f>
        <v>0.12633</v>
      </c>
      <c r="R308" s="45"/>
      <c r="S308" s="45"/>
      <c r="T308" s="45"/>
      <c r="U308" s="45"/>
      <c r="V308" s="46"/>
      <c r="W308" s="64"/>
      <c r="X308" s="64"/>
      <c r="Y308" s="64"/>
      <c r="Z308" s="64"/>
      <c r="AA308" s="64"/>
      <c r="AB308" s="64"/>
      <c r="AC308" s="64"/>
      <c r="AD308" s="64"/>
      <c r="AE308" s="64"/>
    </row>
    <row r="309" spans="2:31" s="39" customFormat="1" x14ac:dyDescent="0.3">
      <c r="B309" s="209" t="s">
        <v>423</v>
      </c>
      <c r="C309" s="208" t="str">
        <f>LOOKUP(B309, TRA_COMM_PRO!$C$7:$C$189, TRA_COMM_PRO!$D$7:$D$189)</f>
        <v>Truck.Heavy.LPG.City.01.</v>
      </c>
      <c r="D309" s="209" t="s">
        <v>62</v>
      </c>
      <c r="E309" s="209"/>
      <c r="F309" s="209"/>
      <c r="G309" s="10">
        <f>$G$225</f>
        <v>2019</v>
      </c>
      <c r="H309" s="40">
        <v>15</v>
      </c>
      <c r="I309" s="65">
        <f>$I$226</f>
        <v>1E-3</v>
      </c>
      <c r="J309" s="41">
        <v>7.7</v>
      </c>
      <c r="K309" s="42"/>
      <c r="L309" s="42"/>
      <c r="M309" s="263"/>
      <c r="N309" s="263"/>
      <c r="O309" s="263"/>
      <c r="P309" s="263"/>
      <c r="Q309" s="263"/>
      <c r="R309" s="40">
        <v>45</v>
      </c>
      <c r="S309" s="40"/>
      <c r="T309" s="40"/>
      <c r="U309" s="40"/>
      <c r="V309" s="41"/>
      <c r="W309" s="62">
        <f>LOOKUP(B309, FIXOM_VAROM!$C$8:$C$190, FIXOM_VAROM!$D$8:$D$190)</f>
        <v>100</v>
      </c>
      <c r="X309" s="40">
        <f>LOOKUP($B309, INVCOST!$C$8:$C$193, INVCOST!D$8:D$193)</f>
        <v>169</v>
      </c>
      <c r="Y309" s="40">
        <f>LOOKUP($B309, INVCOST!$C$8:$C$193, INVCOST!E$8:E$193)</f>
        <v>169</v>
      </c>
      <c r="Z309" s="40">
        <f>LOOKUP($B309, INVCOST!$C$8:$C$193, INVCOST!F$8:F$193)</f>
        <v>169</v>
      </c>
      <c r="AA309" s="40">
        <f>LOOKUP($B309, INVCOST!$C$8:$C$193, INVCOST!G$8:G$193)</f>
        <v>169</v>
      </c>
      <c r="AB309" s="40">
        <f>LOOKUP($B309, INVCOST!$C$8:$C$193, INVCOST!H$8:H$193)</f>
        <v>169</v>
      </c>
      <c r="AC309" s="40">
        <f>LOOKUP($B309, INVCOST!$C$8:$C$193, INVCOST!I$8:I$193)</f>
        <v>169</v>
      </c>
      <c r="AD309" s="40">
        <f>LOOKUP($B309, INVCOST!$C$8:$C$193, INVCOST!J$8:J$193)</f>
        <v>169</v>
      </c>
      <c r="AE309" s="40">
        <f>LOOKUP($B309, INVCOST!$C$8:$C$193, INVCOST!K$8:K$193)</f>
        <v>169</v>
      </c>
    </row>
    <row r="310" spans="2:31" s="39" customFormat="1" x14ac:dyDescent="0.3">
      <c r="B310" s="209"/>
      <c r="C310" s="209"/>
      <c r="D310" s="209"/>
      <c r="E310" s="209"/>
      <c r="F310" s="209" t="s">
        <v>479</v>
      </c>
      <c r="G310" s="50"/>
      <c r="H310" s="40"/>
      <c r="I310" s="41"/>
      <c r="J310" s="41"/>
      <c r="K310" s="42"/>
      <c r="L310" s="42"/>
      <c r="M310" s="263">
        <f>LOOKUP($B309, CEFF!$C$8:$C$156, CEFF!F$8:F$156)</f>
        <v>8.4029999999999994E-2</v>
      </c>
      <c r="N310" s="263">
        <f>LOOKUP($B309, CEFF!$C$8:$C$156, CEFF!G$8:G$156)</f>
        <v>8.5110000000000005E-2</v>
      </c>
      <c r="O310" s="263">
        <f>LOOKUP($B309, CEFF!$C$8:$C$156, CEFF!H$8:H$156)</f>
        <v>8.8499999999999995E-2</v>
      </c>
      <c r="P310" s="263">
        <f>LOOKUP($B309, CEFF!$C$8:$C$156, CEFF!I$8:I$156)</f>
        <v>9.0910000000000005E-2</v>
      </c>
      <c r="Q310" s="263">
        <f>LOOKUP($B309, CEFF!$C$8:$C$156, CEFF!J$8:J$156)</f>
        <v>9.3460000000000001E-2</v>
      </c>
      <c r="R310" s="40"/>
      <c r="S310" s="40"/>
      <c r="T310" s="40"/>
      <c r="U310" s="40"/>
      <c r="V310" s="41"/>
      <c r="W310" s="60"/>
      <c r="X310" s="60"/>
      <c r="Y310" s="60"/>
      <c r="Z310" s="60"/>
      <c r="AA310" s="60"/>
      <c r="AB310" s="60"/>
      <c r="AC310" s="60"/>
      <c r="AD310" s="60"/>
      <c r="AE310" s="60"/>
    </row>
    <row r="311" spans="2:31" s="39" customFormat="1" x14ac:dyDescent="0.3">
      <c r="B311" s="210"/>
      <c r="C311" s="210"/>
      <c r="D311" s="210"/>
      <c r="E311" s="210"/>
      <c r="F311" s="210" t="s">
        <v>487</v>
      </c>
      <c r="G311" s="51"/>
      <c r="H311" s="45"/>
      <c r="I311" s="46"/>
      <c r="J311" s="46"/>
      <c r="K311" s="44"/>
      <c r="L311" s="44"/>
      <c r="M311" s="264">
        <f>LOOKUP($B309, CEFF!$C$163:$C$330, CEFF!F$163:F$330)</f>
        <v>6.7229999999999998E-2</v>
      </c>
      <c r="N311" s="264">
        <f>LOOKUP($B309, CEFF!$C$163:$C$330, CEFF!G$163:G$330)</f>
        <v>6.8089999999999998E-2</v>
      </c>
      <c r="O311" s="264">
        <f>LOOKUP($B309, CEFF!$C$163:$C$330, CEFF!H$163:H$330)</f>
        <v>7.0800000000000002E-2</v>
      </c>
      <c r="P311" s="264">
        <f>LOOKUP($B309, CEFF!$C$163:$C$330, CEFF!I$163:I$330)</f>
        <v>7.2730000000000003E-2</v>
      </c>
      <c r="Q311" s="264">
        <f>LOOKUP($B309, CEFF!$C$163:$C$330, CEFF!J$163:J$330)</f>
        <v>7.4770000000000003E-2</v>
      </c>
      <c r="R311" s="45"/>
      <c r="S311" s="45"/>
      <c r="T311" s="45"/>
      <c r="U311" s="45"/>
      <c r="V311" s="46"/>
      <c r="W311" s="64"/>
      <c r="X311" s="64"/>
      <c r="Y311" s="64"/>
      <c r="Z311" s="64"/>
      <c r="AA311" s="64"/>
      <c r="AB311" s="64"/>
      <c r="AC311" s="64"/>
      <c r="AD311" s="64"/>
      <c r="AE311" s="64"/>
    </row>
    <row r="312" spans="2:31" s="39" customFormat="1" x14ac:dyDescent="0.3">
      <c r="B312" s="209" t="s">
        <v>591</v>
      </c>
      <c r="C312" s="208" t="str">
        <f>LOOKUP(B312, TRA_COMM_PRO!$C$7:$C$189, TRA_COMM_PRO!$D$7:$D$189)</f>
        <v>Truck.Heavy.MTH.City.01.</v>
      </c>
      <c r="D312" s="209" t="s">
        <v>582</v>
      </c>
      <c r="E312" s="209"/>
      <c r="F312" s="209"/>
      <c r="G312" s="10">
        <f>$G$225</f>
        <v>2019</v>
      </c>
      <c r="H312" s="40">
        <v>15</v>
      </c>
      <c r="I312" s="65">
        <f>$I$226</f>
        <v>1E-3</v>
      </c>
      <c r="J312" s="41">
        <v>7.7</v>
      </c>
      <c r="K312" s="42"/>
      <c r="L312" s="42"/>
      <c r="M312" s="263"/>
      <c r="N312" s="263"/>
      <c r="O312" s="263"/>
      <c r="P312" s="263"/>
      <c r="Q312" s="263"/>
      <c r="R312" s="40">
        <v>45</v>
      </c>
      <c r="S312" s="40"/>
      <c r="T312" s="40"/>
      <c r="U312" s="40"/>
      <c r="V312" s="41"/>
      <c r="W312" s="62">
        <f>LOOKUP(B312, FIXOM_VAROM!$C$8:$C$190, FIXOM_VAROM!$D$8:$D$190)</f>
        <v>100</v>
      </c>
      <c r="X312" s="40">
        <f>LOOKUP($B312, INVCOST!$C$8:$C$193, INVCOST!D$8:D$193)</f>
        <v>169</v>
      </c>
      <c r="Y312" s="40">
        <f>LOOKUP($B312, INVCOST!$C$8:$C$193, INVCOST!E$8:E$193)</f>
        <v>169</v>
      </c>
      <c r="Z312" s="40">
        <f>LOOKUP($B312, INVCOST!$C$8:$C$193, INVCOST!F$8:F$193)</f>
        <v>169</v>
      </c>
      <c r="AA312" s="40">
        <f>LOOKUP($B312, INVCOST!$C$8:$C$193, INVCOST!G$8:G$193)</f>
        <v>169</v>
      </c>
      <c r="AB312" s="40">
        <f>LOOKUP($B312, INVCOST!$C$8:$C$193, INVCOST!H$8:H$193)</f>
        <v>169</v>
      </c>
      <c r="AC312" s="40">
        <f>LOOKUP($B312, INVCOST!$C$8:$C$193, INVCOST!I$8:I$193)</f>
        <v>169</v>
      </c>
      <c r="AD312" s="40">
        <f>LOOKUP($B312, INVCOST!$C$8:$C$193, INVCOST!J$8:J$193)</f>
        <v>169</v>
      </c>
      <c r="AE312" s="40">
        <f>LOOKUP($B312, INVCOST!$C$8:$C$193, INVCOST!K$8:K$193)</f>
        <v>169</v>
      </c>
    </row>
    <row r="313" spans="2:31" s="39" customFormat="1" x14ac:dyDescent="0.3">
      <c r="B313" s="209"/>
      <c r="C313" s="209"/>
      <c r="D313" s="209"/>
      <c r="E313" s="209"/>
      <c r="F313" s="209" t="s">
        <v>479</v>
      </c>
      <c r="G313" s="50"/>
      <c r="H313" s="40"/>
      <c r="I313" s="41"/>
      <c r="J313" s="41"/>
      <c r="K313" s="42"/>
      <c r="L313" s="42"/>
      <c r="M313" s="263">
        <f>LOOKUP($B312, CEFF!$C$8:$C$156, CEFF!F$8:F$156)</f>
        <v>8.4029999999999994E-2</v>
      </c>
      <c r="N313" s="263">
        <f>LOOKUP($B312, CEFF!$C$8:$C$156, CEFF!G$8:G$156)</f>
        <v>8.5110000000000005E-2</v>
      </c>
      <c r="O313" s="263">
        <f>LOOKUP($B312, CEFF!$C$8:$C$156, CEFF!H$8:H$156)</f>
        <v>8.8499999999999995E-2</v>
      </c>
      <c r="P313" s="263">
        <f>LOOKUP($B312, CEFF!$C$8:$C$156, CEFF!I$8:I$156)</f>
        <v>9.0910000000000005E-2</v>
      </c>
      <c r="Q313" s="263">
        <f>LOOKUP($B312, CEFF!$C$8:$C$156, CEFF!J$8:J$156)</f>
        <v>9.3460000000000001E-2</v>
      </c>
      <c r="R313" s="40"/>
      <c r="S313" s="40"/>
      <c r="T313" s="40"/>
      <c r="U313" s="40"/>
      <c r="V313" s="41"/>
      <c r="W313" s="60"/>
      <c r="X313" s="60"/>
      <c r="Y313" s="60"/>
      <c r="Z313" s="60"/>
      <c r="AA313" s="60"/>
      <c r="AB313" s="60"/>
      <c r="AC313" s="60"/>
      <c r="AD313" s="60"/>
      <c r="AE313" s="60"/>
    </row>
    <row r="314" spans="2:31" s="39" customFormat="1" x14ac:dyDescent="0.3">
      <c r="B314" s="210"/>
      <c r="C314" s="210"/>
      <c r="D314" s="210"/>
      <c r="E314" s="210"/>
      <c r="F314" s="210" t="s">
        <v>487</v>
      </c>
      <c r="G314" s="51"/>
      <c r="H314" s="45"/>
      <c r="I314" s="46"/>
      <c r="J314" s="46"/>
      <c r="K314" s="44"/>
      <c r="L314" s="44"/>
      <c r="M314" s="264">
        <f>LOOKUP($B312, CEFF!$C$163:$C$330, CEFF!F$163:F$330)</f>
        <v>6.7229999999999998E-2</v>
      </c>
      <c r="N314" s="264">
        <f>LOOKUP($B312, CEFF!$C$163:$C$330, CEFF!G$163:G$330)</f>
        <v>6.8089999999999998E-2</v>
      </c>
      <c r="O314" s="264">
        <f>LOOKUP($B312, CEFF!$C$163:$C$330, CEFF!H$163:H$330)</f>
        <v>7.0800000000000002E-2</v>
      </c>
      <c r="P314" s="264">
        <f>LOOKUP($B312, CEFF!$C$163:$C$330, CEFF!I$163:I$330)</f>
        <v>7.2730000000000003E-2</v>
      </c>
      <c r="Q314" s="264">
        <f>LOOKUP($B312, CEFF!$C$163:$C$330, CEFF!J$163:J$330)</f>
        <v>7.4770000000000003E-2</v>
      </c>
      <c r="R314" s="45"/>
      <c r="S314" s="45"/>
      <c r="T314" s="45"/>
      <c r="U314" s="45"/>
      <c r="V314" s="46"/>
      <c r="W314" s="64"/>
      <c r="X314" s="64"/>
      <c r="Y314" s="64"/>
      <c r="Z314" s="64"/>
      <c r="AA314" s="64"/>
      <c r="AB314" s="64"/>
      <c r="AC314" s="64"/>
      <c r="AD314" s="64"/>
      <c r="AE314" s="64"/>
    </row>
    <row r="315" spans="2:31" s="39" customFormat="1" x14ac:dyDescent="0.3">
      <c r="B315" s="209" t="s">
        <v>425</v>
      </c>
      <c r="C315" s="208" t="str">
        <f>LOOKUP(B315, TRA_COMM_PRO!$C$7:$C$189, TRA_COMM_PRO!$D$7:$D$189)</f>
        <v>Truck.Heavy.Plugin-Hybrid.DST.City.01.</v>
      </c>
      <c r="D315" s="209" t="s">
        <v>44</v>
      </c>
      <c r="E315" s="209"/>
      <c r="F315" s="209"/>
      <c r="G315" s="10">
        <f>$G$225</f>
        <v>2019</v>
      </c>
      <c r="H315" s="40">
        <v>15</v>
      </c>
      <c r="I315" s="65">
        <f>$I$226</f>
        <v>1E-3</v>
      </c>
      <c r="J315" s="41">
        <v>7.7</v>
      </c>
      <c r="K315" s="42"/>
      <c r="L315" s="42"/>
      <c r="M315" s="263"/>
      <c r="N315" s="263"/>
      <c r="O315" s="263"/>
      <c r="P315" s="263"/>
      <c r="Q315" s="263"/>
      <c r="R315" s="40">
        <v>45</v>
      </c>
      <c r="S315" s="40"/>
      <c r="T315" s="40"/>
      <c r="U315" s="40"/>
      <c r="V315" s="41"/>
      <c r="W315" s="62">
        <f>LOOKUP(B315, FIXOM_VAROM!$C$8:$C$190, FIXOM_VAROM!$D$8:$D$190)</f>
        <v>100</v>
      </c>
      <c r="X315" s="40">
        <f>LOOKUP($B315, INVCOST!$C$8:$C$193, INVCOST!D$8:D$193)</f>
        <v>202.79999999999998</v>
      </c>
      <c r="Y315" s="40">
        <f>LOOKUP($B315, INVCOST!$C$8:$C$193, INVCOST!E$8:E$193)</f>
        <v>202.79999999999998</v>
      </c>
      <c r="Z315" s="40">
        <f>LOOKUP($B315, INVCOST!$C$8:$C$193, INVCOST!F$8:F$193)</f>
        <v>202.79999999999998</v>
      </c>
      <c r="AA315" s="40">
        <f>LOOKUP($B315, INVCOST!$C$8:$C$193, INVCOST!G$8:G$193)</f>
        <v>202.79999999999998</v>
      </c>
      <c r="AB315" s="40">
        <f>LOOKUP($B315, INVCOST!$C$8:$C$193, INVCOST!H$8:H$193)</f>
        <v>202.79999999999998</v>
      </c>
      <c r="AC315" s="40">
        <f>LOOKUP($B315, INVCOST!$C$8:$C$193, INVCOST!I$8:I$193)</f>
        <v>202.79999999999998</v>
      </c>
      <c r="AD315" s="40">
        <f>LOOKUP($B315, INVCOST!$C$8:$C$193, INVCOST!J$8:J$193)</f>
        <v>202.79999999999998</v>
      </c>
      <c r="AE315" s="40">
        <f>LOOKUP($B315, INVCOST!$C$8:$C$193, INVCOST!K$8:K$193)</f>
        <v>202.79999999999998</v>
      </c>
    </row>
    <row r="316" spans="2:31" s="39" customFormat="1" x14ac:dyDescent="0.3">
      <c r="B316" s="209"/>
      <c r="C316" s="209"/>
      <c r="D316" s="209" t="s">
        <v>48</v>
      </c>
      <c r="E316" s="209"/>
      <c r="F316" s="209"/>
      <c r="G316" s="42"/>
      <c r="H316" s="40"/>
      <c r="I316" s="41"/>
      <c r="J316" s="41"/>
      <c r="K316" s="42"/>
      <c r="L316" s="42"/>
      <c r="M316" s="266"/>
      <c r="N316" s="266"/>
      <c r="O316" s="266"/>
      <c r="P316" s="266"/>
      <c r="Q316" s="266"/>
      <c r="R316" s="40"/>
      <c r="S316" s="40"/>
      <c r="T316" s="40"/>
      <c r="U316" s="40"/>
      <c r="V316" s="41"/>
      <c r="W316" s="60"/>
      <c r="X316" s="60"/>
      <c r="Y316" s="60"/>
      <c r="Z316" s="60"/>
      <c r="AA316" s="60"/>
      <c r="AB316" s="60"/>
      <c r="AC316" s="60"/>
      <c r="AD316" s="60"/>
      <c r="AE316" s="60"/>
    </row>
    <row r="317" spans="2:31" s="39" customFormat="1" x14ac:dyDescent="0.3">
      <c r="B317" s="209"/>
      <c r="C317" s="209"/>
      <c r="D317" s="209"/>
      <c r="E317" s="209"/>
      <c r="F317" s="209" t="s">
        <v>479</v>
      </c>
      <c r="G317" s="50"/>
      <c r="H317" s="40"/>
      <c r="I317" s="41"/>
      <c r="J317" s="41"/>
      <c r="K317" s="42"/>
      <c r="L317" s="42"/>
      <c r="M317" s="263">
        <f>LOOKUP($B315, CEFF!$C$8:$C$156, CEFF!F$8:F$156)</f>
        <v>9.2590000000000006E-2</v>
      </c>
      <c r="N317" s="263">
        <f>LOOKUP($B315, CEFF!$C$8:$C$156, CEFF!G$8:G$156)</f>
        <v>9.4339999999999993E-2</v>
      </c>
      <c r="O317" s="263">
        <f>LOOKUP($B315, CEFF!$C$8:$C$156, CEFF!H$8:H$156)</f>
        <v>9.7089999999999996E-2</v>
      </c>
      <c r="P317" s="263">
        <f>LOOKUP($B315, CEFF!$C$8:$C$156, CEFF!I$8:I$156)</f>
        <v>9.9500000000000005E-2</v>
      </c>
      <c r="Q317" s="263">
        <f>LOOKUP($B315, CEFF!$C$8:$C$156, CEFF!J$8:J$156)</f>
        <v>0.10204000000000001</v>
      </c>
      <c r="R317" s="40"/>
      <c r="S317" s="40"/>
      <c r="T317" s="40"/>
      <c r="U317" s="40"/>
      <c r="V317" s="41"/>
      <c r="W317" s="60"/>
      <c r="X317" s="60"/>
      <c r="Y317" s="60"/>
      <c r="Z317" s="60"/>
      <c r="AA317" s="60"/>
      <c r="AB317" s="60"/>
      <c r="AC317" s="60"/>
      <c r="AD317" s="60"/>
      <c r="AE317" s="60"/>
    </row>
    <row r="318" spans="2:31" s="39" customFormat="1" x14ac:dyDescent="0.3">
      <c r="B318" s="210"/>
      <c r="C318" s="210"/>
      <c r="D318" s="210"/>
      <c r="E318" s="210"/>
      <c r="F318" s="210" t="s">
        <v>487</v>
      </c>
      <c r="G318" s="51"/>
      <c r="H318" s="45"/>
      <c r="I318" s="46"/>
      <c r="J318" s="46"/>
      <c r="K318" s="44"/>
      <c r="L318" s="44"/>
      <c r="M318" s="264">
        <f>LOOKUP($B315, CEFF!$C$163:$C$330, CEFF!F$163:F$330)</f>
        <v>7.4069999999999997E-2</v>
      </c>
      <c r="N318" s="264">
        <f>LOOKUP($B315, CEFF!$C$163:$C$330, CEFF!G$163:G$330)</f>
        <v>7.5469999999999995E-2</v>
      </c>
      <c r="O318" s="264">
        <f>LOOKUP($B315, CEFF!$C$163:$C$330, CEFF!H$163:H$330)</f>
        <v>7.7670000000000003E-2</v>
      </c>
      <c r="P318" s="264">
        <f>LOOKUP($B315, CEFF!$C$163:$C$330, CEFF!I$163:I$330)</f>
        <v>7.9600000000000004E-2</v>
      </c>
      <c r="Q318" s="264">
        <f>LOOKUP($B315, CEFF!$C$163:$C$330, CEFF!J$163:J$330)</f>
        <v>8.1629999999999994E-2</v>
      </c>
      <c r="R318" s="45"/>
      <c r="S318" s="45"/>
      <c r="T318" s="45"/>
      <c r="U318" s="45"/>
      <c r="V318" s="46"/>
      <c r="W318" s="64"/>
      <c r="X318" s="64"/>
      <c r="Y318" s="64"/>
      <c r="Z318" s="64"/>
      <c r="AA318" s="64"/>
      <c r="AB318" s="64"/>
      <c r="AC318" s="64"/>
      <c r="AD318" s="64"/>
      <c r="AE318" s="64"/>
    </row>
    <row r="319" spans="2:31" s="39" customFormat="1" x14ac:dyDescent="0.3">
      <c r="B319" s="209" t="s">
        <v>426</v>
      </c>
      <c r="C319" s="208" t="str">
        <f>LOOKUP(B319, TRA_COMM_PRO!$C$7:$C$189, TRA_COMM_PRO!$D$7:$D$189)</f>
        <v>Truck.Heavy.Plugin-Hybrid.GSL.City.01.</v>
      </c>
      <c r="D319" s="209" t="s">
        <v>40</v>
      </c>
      <c r="E319" s="209"/>
      <c r="F319" s="209"/>
      <c r="G319" s="10">
        <f>$G$225</f>
        <v>2019</v>
      </c>
      <c r="H319" s="40">
        <v>15</v>
      </c>
      <c r="I319" s="65">
        <f>$I$226</f>
        <v>1E-3</v>
      </c>
      <c r="J319" s="41">
        <v>7.7</v>
      </c>
      <c r="K319" s="42"/>
      <c r="L319" s="42">
        <v>0.05</v>
      </c>
      <c r="M319" s="263"/>
      <c r="N319" s="263"/>
      <c r="O319" s="263"/>
      <c r="P319" s="263"/>
      <c r="Q319" s="263"/>
      <c r="R319" s="40">
        <v>45</v>
      </c>
      <c r="S319" s="40"/>
      <c r="T319" s="40"/>
      <c r="U319" s="40"/>
      <c r="V319" s="41"/>
      <c r="W319" s="62">
        <f>LOOKUP(B319, FIXOM_VAROM!$C$8:$C$190, FIXOM_VAROM!$D$8:$D$190)</f>
        <v>100</v>
      </c>
      <c r="X319" s="40">
        <f>LOOKUP($B319, INVCOST!$C$8:$C$193, INVCOST!D$8:D$193)</f>
        <v>202.79999999999998</v>
      </c>
      <c r="Y319" s="40">
        <f>LOOKUP($B319, INVCOST!$C$8:$C$193, INVCOST!E$8:E$193)</f>
        <v>202.79999999999998</v>
      </c>
      <c r="Z319" s="40">
        <f>LOOKUP($B319, INVCOST!$C$8:$C$193, INVCOST!F$8:F$193)</f>
        <v>202.79999999999998</v>
      </c>
      <c r="AA319" s="40">
        <f>LOOKUP($B319, INVCOST!$C$8:$C$193, INVCOST!G$8:G$193)</f>
        <v>202.79999999999998</v>
      </c>
      <c r="AB319" s="40">
        <f>LOOKUP($B319, INVCOST!$C$8:$C$193, INVCOST!H$8:H$193)</f>
        <v>202.79999999999998</v>
      </c>
      <c r="AC319" s="40">
        <f>LOOKUP($B319, INVCOST!$C$8:$C$193, INVCOST!I$8:I$193)</f>
        <v>202.79999999999998</v>
      </c>
      <c r="AD319" s="40">
        <f>LOOKUP($B319, INVCOST!$C$8:$C$193, INVCOST!J$8:J$193)</f>
        <v>202.79999999999998</v>
      </c>
      <c r="AE319" s="40">
        <f>LOOKUP($B319, INVCOST!$C$8:$C$193, INVCOST!K$8:K$193)</f>
        <v>202.79999999999998</v>
      </c>
    </row>
    <row r="320" spans="2:31" s="39" customFormat="1" x14ac:dyDescent="0.3">
      <c r="B320" s="209"/>
      <c r="C320" s="208"/>
      <c r="D320" s="209" t="s">
        <v>39</v>
      </c>
      <c r="E320" s="209"/>
      <c r="F320" s="209"/>
      <c r="G320" s="10"/>
      <c r="H320" s="40"/>
      <c r="I320" s="65"/>
      <c r="J320" s="41"/>
      <c r="K320" s="42"/>
      <c r="L320" s="42"/>
      <c r="M320" s="263"/>
      <c r="N320" s="263"/>
      <c r="O320" s="263"/>
      <c r="P320" s="263"/>
      <c r="Q320" s="263"/>
      <c r="R320" s="40"/>
      <c r="S320" s="40"/>
      <c r="T320" s="40"/>
      <c r="U320" s="40"/>
      <c r="V320" s="41"/>
      <c r="W320" s="42"/>
      <c r="X320" s="40"/>
      <c r="Y320" s="40"/>
      <c r="Z320" s="40"/>
      <c r="AA320" s="40"/>
      <c r="AB320" s="40"/>
      <c r="AC320" s="40"/>
      <c r="AD320" s="40"/>
      <c r="AE320" s="40"/>
    </row>
    <row r="321" spans="2:31" s="39" customFormat="1" x14ac:dyDescent="0.3">
      <c r="B321" s="209"/>
      <c r="C321" s="209"/>
      <c r="D321" s="209"/>
      <c r="E321" s="209"/>
      <c r="F321" s="209" t="s">
        <v>479</v>
      </c>
      <c r="G321" s="50"/>
      <c r="H321" s="40"/>
      <c r="I321" s="41"/>
      <c r="J321" s="41"/>
      <c r="K321" s="42"/>
      <c r="L321" s="42"/>
      <c r="M321" s="263">
        <f>LOOKUP($B319, CEFF!$C$8:$C$156, CEFF!F$8:F$156)</f>
        <v>8.4029999999999994E-2</v>
      </c>
      <c r="N321" s="263">
        <f>LOOKUP($B319, CEFF!$C$8:$C$156, CEFF!G$8:G$156)</f>
        <v>8.5110000000000005E-2</v>
      </c>
      <c r="O321" s="263">
        <f>LOOKUP($B319, CEFF!$C$8:$C$156, CEFF!H$8:H$156)</f>
        <v>8.8499999999999995E-2</v>
      </c>
      <c r="P321" s="263">
        <f>LOOKUP($B319, CEFF!$C$8:$C$156, CEFF!I$8:I$156)</f>
        <v>9.0910000000000005E-2</v>
      </c>
      <c r="Q321" s="263">
        <f>LOOKUP($B319, CEFF!$C$8:$C$156, CEFF!J$8:J$156)</f>
        <v>9.3460000000000001E-2</v>
      </c>
      <c r="R321" s="40"/>
      <c r="S321" s="40"/>
      <c r="T321" s="40"/>
      <c r="U321" s="40"/>
      <c r="V321" s="41"/>
      <c r="W321" s="41"/>
      <c r="X321" s="60"/>
      <c r="Y321" s="60"/>
      <c r="Z321" s="60"/>
      <c r="AA321" s="60"/>
      <c r="AB321" s="60"/>
      <c r="AC321" s="60"/>
      <c r="AD321" s="60"/>
      <c r="AE321" s="60"/>
    </row>
    <row r="322" spans="2:31" s="39" customFormat="1" x14ac:dyDescent="0.3">
      <c r="B322" s="213"/>
      <c r="C322" s="213"/>
      <c r="D322" s="213"/>
      <c r="E322" s="213"/>
      <c r="F322" s="213" t="s">
        <v>487</v>
      </c>
      <c r="G322" s="180"/>
      <c r="H322" s="181"/>
      <c r="I322" s="179"/>
      <c r="J322" s="179"/>
      <c r="K322" s="177"/>
      <c r="L322" s="177"/>
      <c r="M322" s="265">
        <f>LOOKUP($B319, CEFF!$C$163:$C$330, CEFF!F$163:F$330)</f>
        <v>6.7229999999999998E-2</v>
      </c>
      <c r="N322" s="265">
        <f>LOOKUP($B319, CEFF!$C$163:$C$330, CEFF!G$163:G$330)</f>
        <v>6.8089999999999998E-2</v>
      </c>
      <c r="O322" s="265">
        <f>LOOKUP($B319, CEFF!$C$163:$C$330, CEFF!H$163:H$330)</f>
        <v>7.0800000000000002E-2</v>
      </c>
      <c r="P322" s="265">
        <f>LOOKUP($B319, CEFF!$C$163:$C$330, CEFF!I$163:I$330)</f>
        <v>7.2730000000000003E-2</v>
      </c>
      <c r="Q322" s="265">
        <f>LOOKUP($B319, CEFF!$C$163:$C$330, CEFF!J$163:J$330)</f>
        <v>7.4770000000000003E-2</v>
      </c>
      <c r="R322" s="181"/>
      <c r="S322" s="181"/>
      <c r="T322" s="181"/>
      <c r="U322" s="181"/>
      <c r="V322" s="179"/>
      <c r="W322" s="179"/>
      <c r="X322" s="182"/>
      <c r="Y322" s="182"/>
      <c r="Z322" s="182"/>
      <c r="AA322" s="182"/>
      <c r="AB322" s="182"/>
      <c r="AC322" s="182"/>
      <c r="AD322" s="182"/>
      <c r="AE322" s="182"/>
    </row>
    <row r="323" spans="2:31" s="39" customFormat="1" x14ac:dyDescent="0.3">
      <c r="H323" s="36"/>
      <c r="I323" s="37"/>
      <c r="J323" s="38"/>
      <c r="K323" s="47"/>
      <c r="L323" s="47"/>
      <c r="M323" s="38"/>
      <c r="N323" s="38"/>
      <c r="O323" s="38"/>
      <c r="P323" s="38"/>
      <c r="Q323" s="38"/>
      <c r="R323" s="36"/>
      <c r="S323" s="36"/>
      <c r="T323" s="36"/>
      <c r="U323" s="36"/>
      <c r="V323" s="38"/>
      <c r="W323" s="38"/>
      <c r="X323" s="58"/>
      <c r="Y323" s="58"/>
      <c r="Z323" s="58"/>
      <c r="AA323" s="58"/>
      <c r="AB323" s="58"/>
      <c r="AC323" s="58"/>
      <c r="AD323" s="58"/>
      <c r="AE323" s="58"/>
    </row>
  </sheetData>
  <sortState ref="D23:D25">
    <sortCondition ref="D23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E40"/>
  <sheetViews>
    <sheetView topLeftCell="A4" zoomScale="75" zoomScaleNormal="75" workbookViewId="0">
      <selection activeCell="G5" sqref="G5"/>
    </sheetView>
  </sheetViews>
  <sheetFormatPr defaultRowHeight="14.4" x14ac:dyDescent="0.3"/>
  <cols>
    <col min="2" max="2" width="17" bestFit="1" customWidth="1"/>
    <col min="3" max="3" width="33.6640625" bestFit="1" customWidth="1"/>
    <col min="4" max="4" width="9.6640625" bestFit="1" customWidth="1"/>
    <col min="5" max="5" width="11.44140625" bestFit="1" customWidth="1"/>
    <col min="6" max="6" width="11.109375" bestFit="1" customWidth="1"/>
    <col min="7" max="9" width="11.5546875" customWidth="1"/>
    <col min="10" max="10" width="14.33203125" bestFit="1" customWidth="1"/>
    <col min="11" max="23" width="11.5546875" customWidth="1"/>
    <col min="24" max="32" width="14.33203125" customWidth="1"/>
  </cols>
  <sheetData>
    <row r="3" spans="1:31" x14ac:dyDescent="0.3">
      <c r="B3" s="6" t="s">
        <v>105</v>
      </c>
      <c r="C3" s="7"/>
      <c r="D3" s="8"/>
      <c r="E3" s="8"/>
      <c r="F3" s="9" t="s">
        <v>1</v>
      </c>
      <c r="G3" s="9"/>
    </row>
    <row r="4" spans="1:31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200" t="s">
        <v>6</v>
      </c>
      <c r="G4" s="200" t="s">
        <v>186</v>
      </c>
      <c r="H4" s="201" t="s">
        <v>185</v>
      </c>
      <c r="I4" s="201" t="s">
        <v>11</v>
      </c>
      <c r="J4" s="200" t="s">
        <v>12</v>
      </c>
      <c r="K4" s="200" t="s">
        <v>7</v>
      </c>
      <c r="L4" s="200" t="s">
        <v>8</v>
      </c>
      <c r="M4" s="201" t="s">
        <v>688</v>
      </c>
      <c r="N4" s="201" t="s">
        <v>321</v>
      </c>
      <c r="O4" s="201" t="s">
        <v>322</v>
      </c>
      <c r="P4" s="201" t="s">
        <v>9</v>
      </c>
      <c r="Q4" s="201" t="s">
        <v>10</v>
      </c>
      <c r="R4" s="201" t="s">
        <v>687</v>
      </c>
      <c r="S4" s="201" t="s">
        <v>448</v>
      </c>
      <c r="T4" s="201" t="s">
        <v>13</v>
      </c>
      <c r="U4" s="201" t="s">
        <v>382</v>
      </c>
      <c r="V4" s="201" t="s">
        <v>42</v>
      </c>
      <c r="W4" s="201" t="s">
        <v>14</v>
      </c>
      <c r="X4" s="201" t="s">
        <v>381</v>
      </c>
      <c r="Y4" s="201" t="s">
        <v>15</v>
      </c>
      <c r="Z4" s="201" t="s">
        <v>16</v>
      </c>
      <c r="AA4" s="201" t="s">
        <v>17</v>
      </c>
      <c r="AB4" s="201" t="s">
        <v>18</v>
      </c>
      <c r="AC4" s="201" t="s">
        <v>19</v>
      </c>
      <c r="AD4" s="201" t="s">
        <v>20</v>
      </c>
      <c r="AE4" s="201" t="s">
        <v>21</v>
      </c>
    </row>
    <row r="5" spans="1:31" ht="29.4" thickBot="1" x14ac:dyDescent="0.35">
      <c r="B5" s="202" t="s">
        <v>22</v>
      </c>
      <c r="C5" s="202"/>
      <c r="D5" s="202"/>
      <c r="E5" s="202"/>
      <c r="F5" s="203" t="s">
        <v>23</v>
      </c>
      <c r="G5" s="203">
        <v>2019</v>
      </c>
      <c r="H5" s="204" t="s">
        <v>26</v>
      </c>
      <c r="I5" s="204" t="s">
        <v>24</v>
      </c>
      <c r="J5" s="204" t="s">
        <v>542</v>
      </c>
      <c r="K5" s="203"/>
      <c r="L5" s="203"/>
      <c r="M5" s="205" t="s">
        <v>653</v>
      </c>
      <c r="N5" s="205" t="s">
        <v>653</v>
      </c>
      <c r="O5" s="205" t="s">
        <v>653</v>
      </c>
      <c r="P5" s="205" t="s">
        <v>653</v>
      </c>
      <c r="Q5" s="205" t="s">
        <v>653</v>
      </c>
      <c r="R5" s="204" t="s">
        <v>658</v>
      </c>
      <c r="S5" s="204" t="s">
        <v>658</v>
      </c>
      <c r="T5" s="204" t="s">
        <v>658</v>
      </c>
      <c r="U5" s="204" t="s">
        <v>658</v>
      </c>
      <c r="V5" s="206" t="s">
        <v>662</v>
      </c>
      <c r="W5" s="206" t="s">
        <v>661</v>
      </c>
      <c r="X5" s="206" t="s">
        <v>657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</row>
    <row r="6" spans="1:31" x14ac:dyDescent="0.3">
      <c r="A6" s="39"/>
      <c r="B6" s="209" t="s">
        <v>106</v>
      </c>
      <c r="C6" s="208" t="str">
        <f>LOOKUP(B6, TRA_COMM_PRO!$C$7:$C$189, TRA_COMM_PRO!$D$7:$D$189)</f>
        <v>Train.Light.Railcar.ELC.01.</v>
      </c>
      <c r="D6" s="209" t="s">
        <v>27</v>
      </c>
      <c r="E6" s="209"/>
      <c r="F6" s="209"/>
      <c r="G6" s="10">
        <f>$G$5</f>
        <v>2019</v>
      </c>
      <c r="H6" s="40">
        <v>40</v>
      </c>
      <c r="I6" s="65">
        <v>1E-3</v>
      </c>
      <c r="J6" s="60">
        <v>34</v>
      </c>
      <c r="K6" s="60"/>
      <c r="L6" s="60"/>
      <c r="M6" s="263"/>
      <c r="N6" s="263"/>
      <c r="O6" s="263"/>
      <c r="P6" s="263"/>
      <c r="Q6" s="263"/>
      <c r="R6" s="40">
        <v>30</v>
      </c>
      <c r="S6" s="40"/>
      <c r="T6" s="40"/>
      <c r="U6" s="40"/>
      <c r="V6" s="41"/>
      <c r="W6" s="41"/>
      <c r="X6" s="40">
        <f>INVCOST!D181</f>
        <v>777</v>
      </c>
      <c r="Y6" s="40">
        <f>INVCOST!E181</f>
        <v>777</v>
      </c>
      <c r="Z6" s="40">
        <f>INVCOST!F181</f>
        <v>777</v>
      </c>
      <c r="AA6" s="40">
        <f>INVCOST!G181</f>
        <v>777</v>
      </c>
      <c r="AB6" s="40">
        <f>INVCOST!H181</f>
        <v>777</v>
      </c>
      <c r="AC6" s="40">
        <f>INVCOST!I181</f>
        <v>777</v>
      </c>
      <c r="AD6" s="40">
        <f>INVCOST!J181</f>
        <v>777</v>
      </c>
      <c r="AE6" s="40">
        <f>INVCOST!K181</f>
        <v>777</v>
      </c>
    </row>
    <row r="7" spans="1:31" x14ac:dyDescent="0.3">
      <c r="A7" s="39"/>
      <c r="B7" s="209"/>
      <c r="C7" s="209"/>
      <c r="D7" s="209"/>
      <c r="E7" s="209"/>
      <c r="F7" s="209" t="s">
        <v>108</v>
      </c>
      <c r="G7" s="50"/>
      <c r="H7" s="40"/>
      <c r="I7" s="41"/>
      <c r="J7" s="60"/>
      <c r="K7" s="60"/>
      <c r="L7" s="60"/>
      <c r="M7" s="263">
        <f>LOOKUP($B$6, CEFF!$C$163:$C$330, CEFF!F$163:F$330)</f>
        <v>6.5689999999999998E-2</v>
      </c>
      <c r="N7" s="263">
        <f>LOOKUP($B$6, CEFF!$C$163:$C$330, CEFF!G$163:G$330)</f>
        <v>6.5689999999999998E-2</v>
      </c>
      <c r="O7" s="263">
        <f>LOOKUP($B$6, CEFF!$C$163:$C$330, CEFF!H$163:H$330)</f>
        <v>6.5689999999999998E-2</v>
      </c>
      <c r="P7" s="263">
        <f>LOOKUP($B$6, CEFF!$C$163:$C$330, CEFF!I$163:I$330)</f>
        <v>6.5689999999999998E-2</v>
      </c>
      <c r="Q7" s="263">
        <f>LOOKUP($B$6, CEFF!$C$163:$C$330, CEFF!J$163:J$330)</f>
        <v>6.5689999999999998E-2</v>
      </c>
      <c r="R7" s="40"/>
      <c r="S7" s="40"/>
      <c r="T7" s="40"/>
      <c r="U7" s="40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31" x14ac:dyDescent="0.3">
      <c r="A8" s="39"/>
      <c r="B8" s="210"/>
      <c r="C8" s="210"/>
      <c r="D8" s="210"/>
      <c r="E8" s="210"/>
      <c r="F8" s="210" t="s">
        <v>368</v>
      </c>
      <c r="G8" s="51"/>
      <c r="H8" s="45"/>
      <c r="I8" s="46"/>
      <c r="J8" s="46"/>
      <c r="K8" s="64"/>
      <c r="L8" s="64"/>
      <c r="M8" s="291">
        <f>LOOKUP($B$6, CEFF!$C$163:$C$330, CEFF!F$163:F$330)</f>
        <v>6.5689999999999998E-2</v>
      </c>
      <c r="N8" s="291">
        <f>LOOKUP($B$6, CEFF!$C$163:$C$330, CEFF!G$163:G$330)</f>
        <v>6.5689999999999998E-2</v>
      </c>
      <c r="O8" s="291">
        <f>LOOKUP($B$6, CEFF!$C$163:$C$330, CEFF!H$163:H$330)</f>
        <v>6.5689999999999998E-2</v>
      </c>
      <c r="P8" s="291">
        <f>LOOKUP($B$6, CEFF!$C$163:$C$330, CEFF!I$163:I$330)</f>
        <v>6.5689999999999998E-2</v>
      </c>
      <c r="Q8" s="291">
        <f>LOOKUP($B$6, CEFF!$C$163:$C$330, CEFF!J$163:J$330)</f>
        <v>6.5689999999999998E-2</v>
      </c>
      <c r="R8" s="45"/>
      <c r="S8" s="45"/>
      <c r="T8" s="45"/>
      <c r="U8" s="45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 spans="1:31" x14ac:dyDescent="0.3">
      <c r="A9" s="39"/>
      <c r="B9" s="209" t="s">
        <v>109</v>
      </c>
      <c r="C9" s="208" t="str">
        <f>LOOKUP(B9, TRA_COMM_PRO!$C$7:$C$189, TRA_COMM_PRO!$D$7:$D$189)</f>
        <v>Train.Metro.ELC.01.</v>
      </c>
      <c r="D9" s="209" t="s">
        <v>27</v>
      </c>
      <c r="E9" s="209"/>
      <c r="F9" s="209"/>
      <c r="G9" s="10">
        <f>$G$5</f>
        <v>2019</v>
      </c>
      <c r="H9" s="40">
        <f>H6</f>
        <v>40</v>
      </c>
      <c r="I9" s="65">
        <v>1E-3</v>
      </c>
      <c r="J9" s="60">
        <v>144</v>
      </c>
      <c r="K9" s="60"/>
      <c r="L9" s="60"/>
      <c r="M9" s="266"/>
      <c r="N9" s="266"/>
      <c r="O9" s="266"/>
      <c r="P9" s="266"/>
      <c r="Q9" s="266"/>
      <c r="R9" s="40">
        <v>30</v>
      </c>
      <c r="S9" s="40"/>
      <c r="T9" s="40"/>
      <c r="U9" s="40"/>
      <c r="V9" s="41"/>
      <c r="W9" s="41"/>
      <c r="X9" s="40">
        <f>INVCOST!D182</f>
        <v>777</v>
      </c>
      <c r="Y9" s="40">
        <f>INVCOST!E182</f>
        <v>777</v>
      </c>
      <c r="Z9" s="40">
        <f>INVCOST!F182</f>
        <v>777</v>
      </c>
      <c r="AA9" s="40">
        <f>INVCOST!G182</f>
        <v>777</v>
      </c>
      <c r="AB9" s="40">
        <f>INVCOST!H182</f>
        <v>777</v>
      </c>
      <c r="AC9" s="40">
        <f>INVCOST!I182</f>
        <v>777</v>
      </c>
      <c r="AD9" s="40">
        <f>INVCOST!J182</f>
        <v>777</v>
      </c>
      <c r="AE9" s="40">
        <f>INVCOST!K182</f>
        <v>777</v>
      </c>
    </row>
    <row r="10" spans="1:31" x14ac:dyDescent="0.3">
      <c r="A10" s="39"/>
      <c r="B10" s="209"/>
      <c r="C10" s="209"/>
      <c r="D10" s="209"/>
      <c r="E10" s="209"/>
      <c r="F10" s="209" t="s">
        <v>111</v>
      </c>
      <c r="G10" s="50"/>
      <c r="H10" s="40"/>
      <c r="I10" s="41"/>
      <c r="J10" s="60"/>
      <c r="K10" s="60"/>
      <c r="L10" s="60"/>
      <c r="M10" s="263">
        <f>LOOKUP($B$9, CEFF!$C$163:$C$330, CEFF!F$163:F$330)</f>
        <v>1.7610000000000001E-2</v>
      </c>
      <c r="N10" s="263">
        <f>LOOKUP($B$9, CEFF!$C$163:$C$330, CEFF!G$163:G$330)</f>
        <v>1.7610000000000001E-2</v>
      </c>
      <c r="O10" s="263">
        <f>LOOKUP($B$9, CEFF!$C$163:$C$330, CEFF!H$163:H$330)</f>
        <v>1.7610000000000001E-2</v>
      </c>
      <c r="P10" s="263">
        <f>LOOKUP($B$9, CEFF!$C$163:$C$330, CEFF!I$163:I$330)</f>
        <v>1.7610000000000001E-2</v>
      </c>
      <c r="Q10" s="263">
        <f>LOOKUP($B$9, CEFF!$C$163:$C$330, CEFF!J$163:J$330)</f>
        <v>1.7610000000000001E-2</v>
      </c>
      <c r="R10" s="40"/>
      <c r="S10" s="40"/>
      <c r="T10" s="40"/>
      <c r="U10" s="40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31" x14ac:dyDescent="0.3">
      <c r="A11" s="39"/>
      <c r="B11" s="210"/>
      <c r="C11" s="210"/>
      <c r="D11" s="210"/>
      <c r="E11" s="210"/>
      <c r="F11" s="210" t="s">
        <v>369</v>
      </c>
      <c r="G11" s="51"/>
      <c r="H11" s="45"/>
      <c r="I11" s="46"/>
      <c r="J11" s="46"/>
      <c r="K11" s="64"/>
      <c r="L11" s="64"/>
      <c r="M11" s="291">
        <f>LOOKUP($B$9, CEFF!$C$163:$C$330, CEFF!F$163:F$330)</f>
        <v>1.7610000000000001E-2</v>
      </c>
      <c r="N11" s="291">
        <f>LOOKUP($B$9, CEFF!$C$163:$C$330, CEFF!G$163:G$330)</f>
        <v>1.7610000000000001E-2</v>
      </c>
      <c r="O11" s="291">
        <f>LOOKUP($B$9, CEFF!$C$163:$C$330, CEFF!H$163:H$330)</f>
        <v>1.7610000000000001E-2</v>
      </c>
      <c r="P11" s="291">
        <f>LOOKUP($B$9, CEFF!$C$163:$C$330, CEFF!I$163:I$330)</f>
        <v>1.7610000000000001E-2</v>
      </c>
      <c r="Q11" s="291">
        <f>LOOKUP($B$9, CEFF!$C$163:$C$330, CEFF!J$163:J$330)</f>
        <v>1.7610000000000001E-2</v>
      </c>
      <c r="R11" s="45"/>
      <c r="S11" s="45"/>
      <c r="T11" s="45"/>
      <c r="U11" s="45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 spans="1:31" x14ac:dyDescent="0.3">
      <c r="A12" s="39"/>
      <c r="B12" s="209" t="s">
        <v>112</v>
      </c>
      <c r="C12" s="208" t="str">
        <f>LOOKUP(B12, TRA_COMM_PRO!$C$7:$C$189, TRA_COMM_PRO!$D$7:$D$189)</f>
        <v>Train.Passenger.HighSpeed.ELC.01.</v>
      </c>
      <c r="D12" s="209" t="s">
        <v>27</v>
      </c>
      <c r="E12" s="209"/>
      <c r="F12" s="209"/>
      <c r="G12" s="10">
        <f>$G$5</f>
        <v>2019</v>
      </c>
      <c r="H12" s="40">
        <f>H9</f>
        <v>40</v>
      </c>
      <c r="I12" s="65">
        <v>1E-3</v>
      </c>
      <c r="J12" s="60">
        <v>200</v>
      </c>
      <c r="K12" s="60"/>
      <c r="L12" s="60"/>
      <c r="M12" s="266"/>
      <c r="N12" s="266"/>
      <c r="O12" s="266"/>
      <c r="P12" s="266"/>
      <c r="Q12" s="266"/>
      <c r="R12" s="40">
        <v>80</v>
      </c>
      <c r="S12" s="40"/>
      <c r="T12" s="40"/>
      <c r="U12" s="40"/>
      <c r="V12" s="41"/>
      <c r="W12" s="41"/>
      <c r="X12" s="40">
        <f>INVCOST!D183</f>
        <v>777</v>
      </c>
      <c r="Y12" s="40">
        <f>INVCOST!E183</f>
        <v>777</v>
      </c>
      <c r="Z12" s="40">
        <f>INVCOST!F183</f>
        <v>777</v>
      </c>
      <c r="AA12" s="40">
        <f>INVCOST!G183</f>
        <v>777</v>
      </c>
      <c r="AB12" s="40">
        <f>INVCOST!H183</f>
        <v>777</v>
      </c>
      <c r="AC12" s="40">
        <f>INVCOST!I183</f>
        <v>777</v>
      </c>
      <c r="AD12" s="40">
        <f>INVCOST!J183</f>
        <v>777</v>
      </c>
      <c r="AE12" s="40">
        <f>INVCOST!K183</f>
        <v>777</v>
      </c>
    </row>
    <row r="13" spans="1:31" x14ac:dyDescent="0.3">
      <c r="A13" s="39"/>
      <c r="B13" s="209"/>
      <c r="C13" s="209"/>
      <c r="D13" s="209"/>
      <c r="E13" s="209"/>
      <c r="F13" s="209" t="s">
        <v>114</v>
      </c>
      <c r="G13" s="50"/>
      <c r="H13" s="40"/>
      <c r="I13" s="41"/>
      <c r="J13" s="60"/>
      <c r="K13" s="60"/>
      <c r="L13" s="60"/>
      <c r="M13" s="263">
        <f>LOOKUP($B$12, CEFF!$C$8:$C$156, CEFF!F$8:F$156)</f>
        <v>2.0889999999999999E-2</v>
      </c>
      <c r="N13" s="263">
        <f>LOOKUP($B$12, CEFF!$C$8:$C$156, CEFF!G$8:G$156)</f>
        <v>2.0889999999999999E-2</v>
      </c>
      <c r="O13" s="263">
        <f>LOOKUP($B$12, CEFF!$C$8:$C$156, CEFF!H$8:H$156)</f>
        <v>2.0889999999999999E-2</v>
      </c>
      <c r="P13" s="263">
        <f>LOOKUP($B$12, CEFF!$C$8:$C$156, CEFF!I$8:I$156)</f>
        <v>2.0889999999999999E-2</v>
      </c>
      <c r="Q13" s="263">
        <f>LOOKUP($B$12, CEFF!$C$8:$C$156, CEFF!J$8:J$156)</f>
        <v>2.0889999999999999E-2</v>
      </c>
      <c r="R13" s="40"/>
      <c r="S13" s="40"/>
      <c r="T13" s="40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</row>
    <row r="14" spans="1:31" x14ac:dyDescent="0.3">
      <c r="A14" s="39"/>
      <c r="B14" s="210"/>
      <c r="C14" s="210"/>
      <c r="D14" s="210"/>
      <c r="E14" s="210"/>
      <c r="F14" s="210" t="s">
        <v>370</v>
      </c>
      <c r="G14" s="51"/>
      <c r="H14" s="45"/>
      <c r="I14" s="46"/>
      <c r="J14" s="46"/>
      <c r="K14" s="64"/>
      <c r="L14" s="64"/>
      <c r="M14" s="291">
        <f>LOOKUP($B$12, CEFF!$C$8:$C$156, CEFF!F$8:F$156)</f>
        <v>2.0889999999999999E-2</v>
      </c>
      <c r="N14" s="291">
        <f>LOOKUP($B$12, CEFF!$C$8:$C$156, CEFF!G$8:G$156)</f>
        <v>2.0889999999999999E-2</v>
      </c>
      <c r="O14" s="291">
        <f>LOOKUP($B$12, CEFF!$C$8:$C$156, CEFF!H$8:H$156)</f>
        <v>2.0889999999999999E-2</v>
      </c>
      <c r="P14" s="291">
        <f>LOOKUP($B$12, CEFF!$C$8:$C$156, CEFF!I$8:I$156)</f>
        <v>2.0889999999999999E-2</v>
      </c>
      <c r="Q14" s="291">
        <f>LOOKUP($B$12, CEFF!$C$8:$C$156, CEFF!J$8:J$156)</f>
        <v>2.0889999999999999E-2</v>
      </c>
      <c r="R14" s="45"/>
      <c r="S14" s="45"/>
      <c r="T14" s="45"/>
      <c r="U14" s="45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 spans="1:31" x14ac:dyDescent="0.3">
      <c r="A15" s="39"/>
      <c r="B15" s="209" t="s">
        <v>115</v>
      </c>
      <c r="C15" s="208" t="str">
        <f>LOOKUP(B15, TRA_COMM_PRO!$C$7:$C$189, TRA_COMM_PRO!$D$7:$D$189)</f>
        <v>Train.Passenger.Loco.ELC.01.</v>
      </c>
      <c r="D15" s="209" t="s">
        <v>27</v>
      </c>
      <c r="E15" s="209"/>
      <c r="F15" s="209"/>
      <c r="G15" s="10">
        <f>$G$5</f>
        <v>2019</v>
      </c>
      <c r="H15" s="40">
        <f>H12</f>
        <v>40</v>
      </c>
      <c r="I15" s="65">
        <v>1E-3</v>
      </c>
      <c r="J15" s="40">
        <v>200</v>
      </c>
      <c r="K15" s="60"/>
      <c r="L15" s="60"/>
      <c r="M15" s="266"/>
      <c r="N15" s="266"/>
      <c r="O15" s="266"/>
      <c r="P15" s="266"/>
      <c r="Q15" s="266"/>
      <c r="R15" s="40">
        <v>80</v>
      </c>
      <c r="S15" s="40"/>
      <c r="T15" s="40"/>
      <c r="U15" s="40"/>
      <c r="V15" s="41"/>
      <c r="W15" s="41"/>
      <c r="X15" s="40">
        <f>INVCOST!D184</f>
        <v>777</v>
      </c>
      <c r="Y15" s="40">
        <f>INVCOST!E184</f>
        <v>777</v>
      </c>
      <c r="Z15" s="40">
        <f>INVCOST!F184</f>
        <v>777</v>
      </c>
      <c r="AA15" s="40">
        <f>INVCOST!G184</f>
        <v>777</v>
      </c>
      <c r="AB15" s="40">
        <f>INVCOST!H184</f>
        <v>777</v>
      </c>
      <c r="AC15" s="40">
        <f>INVCOST!I184</f>
        <v>777</v>
      </c>
      <c r="AD15" s="40">
        <f>INVCOST!J184</f>
        <v>777</v>
      </c>
      <c r="AE15" s="40">
        <f>INVCOST!K184</f>
        <v>777</v>
      </c>
    </row>
    <row r="16" spans="1:31" x14ac:dyDescent="0.3">
      <c r="A16" s="39"/>
      <c r="B16" s="209"/>
      <c r="C16" s="209"/>
      <c r="D16" s="209"/>
      <c r="E16" s="209"/>
      <c r="F16" s="209" t="s">
        <v>117</v>
      </c>
      <c r="G16" s="50"/>
      <c r="H16" s="40"/>
      <c r="I16" s="41"/>
      <c r="J16" s="40"/>
      <c r="K16" s="60"/>
      <c r="L16" s="60"/>
      <c r="M16" s="263">
        <f>LOOKUP($B$15, CEFF!$C$8:$C$156, CEFF!F$8:F$156)</f>
        <v>2.0889999999999999E-2</v>
      </c>
      <c r="N16" s="263">
        <f>LOOKUP($B$15, CEFF!$C$8:$C$156, CEFF!G$8:G$156)</f>
        <v>2.0889999999999999E-2</v>
      </c>
      <c r="O16" s="263">
        <f>LOOKUP($B$15, CEFF!$C$8:$C$156, CEFF!H$8:H$156)</f>
        <v>2.0889999999999999E-2</v>
      </c>
      <c r="P16" s="263">
        <f>LOOKUP($B$15, CEFF!$C$8:$C$156, CEFF!I$8:I$156)</f>
        <v>2.0889999999999999E-2</v>
      </c>
      <c r="Q16" s="263">
        <f>LOOKUP($B$15, CEFF!$C$8:$C$156, CEFF!J$8:J$156)</f>
        <v>2.0889999999999999E-2</v>
      </c>
      <c r="R16" s="40"/>
      <c r="S16" s="40"/>
      <c r="T16" s="40"/>
      <c r="U16" s="40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31" x14ac:dyDescent="0.3">
      <c r="A17" s="39"/>
      <c r="B17" s="210"/>
      <c r="C17" s="210"/>
      <c r="D17" s="210"/>
      <c r="E17" s="210"/>
      <c r="F17" s="210" t="s">
        <v>371</v>
      </c>
      <c r="G17" s="51"/>
      <c r="H17" s="45"/>
      <c r="I17" s="46"/>
      <c r="J17" s="46"/>
      <c r="K17" s="64"/>
      <c r="L17" s="64"/>
      <c r="M17" s="291">
        <f>LOOKUP($B$15, CEFF!$C$8:$C$156, CEFF!F$8:F$156)</f>
        <v>2.0889999999999999E-2</v>
      </c>
      <c r="N17" s="291">
        <f>LOOKUP($B$15, CEFF!$C$8:$C$156, CEFF!G$8:G$156)</f>
        <v>2.0889999999999999E-2</v>
      </c>
      <c r="O17" s="291">
        <f>LOOKUP($B$15, CEFF!$C$8:$C$156, CEFF!H$8:H$156)</f>
        <v>2.0889999999999999E-2</v>
      </c>
      <c r="P17" s="291">
        <f>LOOKUP($B$15, CEFF!$C$8:$C$156, CEFF!I$8:I$156)</f>
        <v>2.0889999999999999E-2</v>
      </c>
      <c r="Q17" s="291">
        <f>LOOKUP($B$15, CEFF!$C$8:$C$156, CEFF!J$8:J$156)</f>
        <v>2.0889999999999999E-2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 spans="1:31" x14ac:dyDescent="0.3">
      <c r="A18" s="39"/>
      <c r="B18" s="209" t="s">
        <v>118</v>
      </c>
      <c r="C18" s="208" t="str">
        <f>LOOKUP(B18, TRA_COMM_PRO!$C$7:$C$189, TRA_COMM_PRO!$D$7:$D$189)</f>
        <v>Train.Passenger.Railcar.ELC.01.</v>
      </c>
      <c r="D18" s="209" t="s">
        <v>27</v>
      </c>
      <c r="E18" s="209"/>
      <c r="F18" s="209"/>
      <c r="G18" s="10">
        <f>$G$5</f>
        <v>2019</v>
      </c>
      <c r="H18" s="40">
        <f>H15</f>
        <v>40</v>
      </c>
      <c r="I18" s="65">
        <v>1E-3</v>
      </c>
      <c r="J18" s="40">
        <v>200</v>
      </c>
      <c r="K18" s="60"/>
      <c r="L18" s="60"/>
      <c r="M18" s="266"/>
      <c r="N18" s="266"/>
      <c r="O18" s="266"/>
      <c r="P18" s="266"/>
      <c r="Q18" s="266"/>
      <c r="R18" s="40">
        <v>80</v>
      </c>
      <c r="S18" s="40"/>
      <c r="T18" s="40"/>
      <c r="U18" s="40"/>
      <c r="V18" s="41"/>
      <c r="W18" s="41"/>
      <c r="X18" s="40">
        <f>INVCOST!D185</f>
        <v>777</v>
      </c>
      <c r="Y18" s="40">
        <f>INVCOST!E185</f>
        <v>777</v>
      </c>
      <c r="Z18" s="40">
        <f>INVCOST!F185</f>
        <v>777</v>
      </c>
      <c r="AA18" s="40">
        <f>INVCOST!G185</f>
        <v>777</v>
      </c>
      <c r="AB18" s="40">
        <f>INVCOST!H185</f>
        <v>777</v>
      </c>
      <c r="AC18" s="40">
        <f>INVCOST!I185</f>
        <v>777</v>
      </c>
      <c r="AD18" s="40">
        <f>INVCOST!J185</f>
        <v>777</v>
      </c>
      <c r="AE18" s="40">
        <f>INVCOST!K185</f>
        <v>777</v>
      </c>
    </row>
    <row r="19" spans="1:31" x14ac:dyDescent="0.3">
      <c r="A19" s="39"/>
      <c r="B19" s="209"/>
      <c r="C19" s="209"/>
      <c r="D19" s="209"/>
      <c r="E19" s="209"/>
      <c r="F19" s="209" t="s">
        <v>117</v>
      </c>
      <c r="G19" s="50"/>
      <c r="H19" s="40"/>
      <c r="I19" s="41"/>
      <c r="J19" s="40"/>
      <c r="K19" s="60"/>
      <c r="L19" s="60"/>
      <c r="M19" s="263">
        <f>LOOKUP($B$18, CEFF!$C$8:$C$156, CEFF!F$8:F$156)</f>
        <v>2.0889999999999999E-2</v>
      </c>
      <c r="N19" s="263">
        <f>LOOKUP($B$18, CEFF!$C$8:$C$156, CEFF!G$8:G$156)</f>
        <v>2.0889999999999999E-2</v>
      </c>
      <c r="O19" s="263">
        <f>LOOKUP($B$18, CEFF!$C$8:$C$156, CEFF!H$8:H$156)</f>
        <v>2.0889999999999999E-2</v>
      </c>
      <c r="P19" s="263">
        <f>LOOKUP($B$18, CEFF!$C$8:$C$156, CEFF!I$8:I$156)</f>
        <v>2.0889999999999999E-2</v>
      </c>
      <c r="Q19" s="263">
        <f>LOOKUP($B$18, CEFF!$C$8:$C$156, CEFF!J$8:J$156)</f>
        <v>2.0889999999999999E-2</v>
      </c>
      <c r="R19" s="40"/>
      <c r="S19" s="40"/>
      <c r="T19" s="40"/>
      <c r="U19" s="40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1:31" x14ac:dyDescent="0.3">
      <c r="A20" s="39"/>
      <c r="B20" s="210"/>
      <c r="C20" s="210"/>
      <c r="D20" s="210"/>
      <c r="E20" s="210"/>
      <c r="F20" s="210" t="s">
        <v>371</v>
      </c>
      <c r="G20" s="51"/>
      <c r="H20" s="45"/>
      <c r="I20" s="46"/>
      <c r="J20" s="46"/>
      <c r="K20" s="64"/>
      <c r="L20" s="64"/>
      <c r="M20" s="291">
        <f>LOOKUP($B$18, CEFF!$C$8:$C$156, CEFF!F$8:F$156)</f>
        <v>2.0889999999999999E-2</v>
      </c>
      <c r="N20" s="291">
        <f>LOOKUP($B$18, CEFF!$C$8:$C$156, CEFF!G$8:G$156)</f>
        <v>2.0889999999999999E-2</v>
      </c>
      <c r="O20" s="291">
        <f>LOOKUP($B$18, CEFF!$C$8:$C$156, CEFF!H$8:H$156)</f>
        <v>2.0889999999999999E-2</v>
      </c>
      <c r="P20" s="291">
        <f>LOOKUP($B$18, CEFF!$C$8:$C$156, CEFF!I$8:I$156)</f>
        <v>2.0889999999999999E-2</v>
      </c>
      <c r="Q20" s="291">
        <f>LOOKUP($B$18, CEFF!$C$8:$C$156, CEFF!J$8:J$156)</f>
        <v>2.0889999999999999E-2</v>
      </c>
      <c r="R20" s="45"/>
      <c r="S20" s="45"/>
      <c r="T20" s="45"/>
      <c r="U20" s="45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spans="1:31" x14ac:dyDescent="0.3">
      <c r="A21" s="39"/>
      <c r="B21" s="209" t="s">
        <v>120</v>
      </c>
      <c r="C21" s="208" t="str">
        <f>LOOKUP(B21, TRA_COMM_PRO!$C$7:$C$189, TRA_COMM_PRO!$D$7:$D$189)</f>
        <v>Train.Passenger.Loco.DST.01.</v>
      </c>
      <c r="D21" s="209" t="s">
        <v>44</v>
      </c>
      <c r="E21" s="209"/>
      <c r="F21" s="209"/>
      <c r="G21" s="10">
        <f>$G$5</f>
        <v>2019</v>
      </c>
      <c r="H21" s="40">
        <f>H18</f>
        <v>40</v>
      </c>
      <c r="I21" s="65">
        <v>1E-3</v>
      </c>
      <c r="J21" s="40">
        <v>22</v>
      </c>
      <c r="K21" s="42"/>
      <c r="L21" s="41"/>
      <c r="M21" s="266"/>
      <c r="N21" s="266"/>
      <c r="O21" s="266"/>
      <c r="P21" s="266"/>
      <c r="Q21" s="266"/>
      <c r="R21" s="40">
        <v>80</v>
      </c>
      <c r="S21" s="40"/>
      <c r="T21" s="40"/>
      <c r="U21" s="40"/>
      <c r="V21" s="41"/>
      <c r="W21" s="41"/>
      <c r="X21" s="40">
        <f>INVCOST!D186</f>
        <v>777</v>
      </c>
      <c r="Y21" s="40">
        <f>INVCOST!E186</f>
        <v>777</v>
      </c>
      <c r="Z21" s="40">
        <f>INVCOST!F186</f>
        <v>777</v>
      </c>
      <c r="AA21" s="40">
        <f>INVCOST!G186</f>
        <v>777</v>
      </c>
      <c r="AB21" s="40">
        <f>INVCOST!H186</f>
        <v>777</v>
      </c>
      <c r="AC21" s="40">
        <f>INVCOST!I186</f>
        <v>777</v>
      </c>
      <c r="AD21" s="40">
        <f>INVCOST!J186</f>
        <v>777</v>
      </c>
      <c r="AE21" s="40">
        <f>INVCOST!K186</f>
        <v>777</v>
      </c>
    </row>
    <row r="22" spans="1:31" x14ac:dyDescent="0.3">
      <c r="A22" s="39"/>
      <c r="B22" s="209"/>
      <c r="C22" s="209"/>
      <c r="D22" s="209" t="s">
        <v>48</v>
      </c>
      <c r="E22" s="209"/>
      <c r="F22" s="209"/>
      <c r="G22" s="50"/>
      <c r="H22" s="40"/>
      <c r="I22" s="41"/>
      <c r="J22" s="41"/>
      <c r="K22" s="60"/>
      <c r="L22" s="60"/>
      <c r="M22" s="263"/>
      <c r="N22" s="263"/>
      <c r="O22" s="263"/>
      <c r="P22" s="263"/>
      <c r="Q22" s="263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1" x14ac:dyDescent="0.3">
      <c r="A23" s="39"/>
      <c r="B23" s="209"/>
      <c r="C23" s="209"/>
      <c r="D23" s="209"/>
      <c r="E23" s="209"/>
      <c r="F23" s="209" t="s">
        <v>117</v>
      </c>
      <c r="G23" s="50"/>
      <c r="H23" s="40"/>
      <c r="I23" s="41"/>
      <c r="J23" s="40"/>
      <c r="K23" s="60"/>
      <c r="L23" s="60"/>
      <c r="M23" s="263">
        <f>LOOKUP($B$21, CEFF!$C$8:$C$156, CEFF!F$8:F$156)</f>
        <v>2.76E-2</v>
      </c>
      <c r="N23" s="263">
        <f>LOOKUP($B$21, CEFF!$C$8:$C$156, CEFF!G$8:G$156)</f>
        <v>2.76E-2</v>
      </c>
      <c r="O23" s="263">
        <f>LOOKUP($B$21, CEFF!$C$8:$C$156, CEFF!H$8:H$156)</f>
        <v>2.76E-2</v>
      </c>
      <c r="P23" s="263">
        <f>LOOKUP($B$21, CEFF!$C$8:$C$156, CEFF!I$8:I$156)</f>
        <v>2.76E-2</v>
      </c>
      <c r="Q23" s="263">
        <f>LOOKUP($B$21, CEFF!$C$8:$C$156, CEFF!J$8:J$156)</f>
        <v>2.76E-2</v>
      </c>
      <c r="R23" s="40"/>
      <c r="S23" s="40"/>
      <c r="T23" s="40"/>
      <c r="U23" s="40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1" x14ac:dyDescent="0.3">
      <c r="A24" s="39"/>
      <c r="B24" s="210"/>
      <c r="C24" s="210"/>
      <c r="D24" s="210"/>
      <c r="E24" s="210"/>
      <c r="F24" s="210" t="s">
        <v>371</v>
      </c>
      <c r="G24" s="51"/>
      <c r="H24" s="45"/>
      <c r="I24" s="46"/>
      <c r="J24" s="46"/>
      <c r="K24" s="64"/>
      <c r="L24" s="64"/>
      <c r="M24" s="291">
        <f>LOOKUP($B$21, CEFF!$C$8:$C$156, CEFF!F$8:F$156)</f>
        <v>2.76E-2</v>
      </c>
      <c r="N24" s="291">
        <f>LOOKUP($B$21, CEFF!$C$8:$C$156, CEFF!G$8:G$156)</f>
        <v>2.76E-2</v>
      </c>
      <c r="O24" s="291">
        <f>LOOKUP($B$21, CEFF!$C$8:$C$156, CEFF!H$8:H$156)</f>
        <v>2.76E-2</v>
      </c>
      <c r="P24" s="291">
        <f>LOOKUP($B$21, CEFF!$C$8:$C$156, CEFF!I$8:I$156)</f>
        <v>2.76E-2</v>
      </c>
      <c r="Q24" s="291">
        <f>LOOKUP($B$21, CEFF!$C$8:$C$156, CEFF!J$8:J$156)</f>
        <v>2.76E-2</v>
      </c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spans="1:31" x14ac:dyDescent="0.3">
      <c r="A25" s="39"/>
      <c r="B25" s="209" t="s">
        <v>122</v>
      </c>
      <c r="C25" s="208" t="str">
        <f>LOOKUP(B25, TRA_COMM_PRO!$C$7:$C$189, TRA_COMM_PRO!$D$7:$D$189)</f>
        <v>Train.Passenger.Railcar.DST.01.</v>
      </c>
      <c r="D25" s="209" t="s">
        <v>44</v>
      </c>
      <c r="E25" s="209"/>
      <c r="F25" s="209"/>
      <c r="G25" s="10">
        <f>$G$5</f>
        <v>2019</v>
      </c>
      <c r="H25" s="40">
        <f>H21</f>
        <v>40</v>
      </c>
      <c r="I25" s="65">
        <v>1E-3</v>
      </c>
      <c r="J25" s="40">
        <v>22</v>
      </c>
      <c r="K25" s="42"/>
      <c r="L25" s="41"/>
      <c r="M25" s="266"/>
      <c r="N25" s="266"/>
      <c r="O25" s="266"/>
      <c r="P25" s="266"/>
      <c r="Q25" s="266"/>
      <c r="R25" s="40">
        <v>80</v>
      </c>
      <c r="S25" s="40"/>
      <c r="T25" s="40"/>
      <c r="U25" s="40"/>
      <c r="V25" s="41"/>
      <c r="W25" s="41"/>
      <c r="X25" s="40">
        <f>INVCOST!D187</f>
        <v>777</v>
      </c>
      <c r="Y25" s="40">
        <f>INVCOST!E187</f>
        <v>777</v>
      </c>
      <c r="Z25" s="40">
        <f>INVCOST!F187</f>
        <v>777</v>
      </c>
      <c r="AA25" s="40">
        <f>INVCOST!G187</f>
        <v>777</v>
      </c>
      <c r="AB25" s="40">
        <f>INVCOST!H187</f>
        <v>777</v>
      </c>
      <c r="AC25" s="40">
        <f>INVCOST!I187</f>
        <v>777</v>
      </c>
      <c r="AD25" s="40">
        <f>INVCOST!J187</f>
        <v>777</v>
      </c>
      <c r="AE25" s="40">
        <f>INVCOST!K187</f>
        <v>777</v>
      </c>
    </row>
    <row r="26" spans="1:31" x14ac:dyDescent="0.3">
      <c r="A26" s="39"/>
      <c r="B26" s="209"/>
      <c r="C26" s="209"/>
      <c r="D26" s="209" t="s">
        <v>48</v>
      </c>
      <c r="E26" s="209"/>
      <c r="F26" s="209"/>
      <c r="G26" s="50"/>
      <c r="H26" s="40"/>
      <c r="I26" s="41"/>
      <c r="J26" s="40"/>
      <c r="K26" s="60"/>
      <c r="L26" s="60"/>
      <c r="M26" s="263"/>
      <c r="N26" s="263"/>
      <c r="O26" s="263"/>
      <c r="P26" s="263"/>
      <c r="Q26" s="263"/>
      <c r="R26" s="40"/>
      <c r="S26" s="40"/>
      <c r="T26" s="40"/>
      <c r="U26" s="40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x14ac:dyDescent="0.3">
      <c r="A27" s="39"/>
      <c r="B27" s="209"/>
      <c r="C27" s="209"/>
      <c r="D27" s="209"/>
      <c r="E27" s="209"/>
      <c r="F27" s="209" t="s">
        <v>117</v>
      </c>
      <c r="G27" s="50"/>
      <c r="H27" s="40"/>
      <c r="I27" s="41"/>
      <c r="J27" s="40"/>
      <c r="K27" s="60"/>
      <c r="L27" s="60"/>
      <c r="M27" s="263">
        <f>LOOKUP($B$25, CEFF!$C$8:$C$156, CEFF!F$8:F$156)</f>
        <v>2.76E-2</v>
      </c>
      <c r="N27" s="263">
        <f>LOOKUP($B$25, CEFF!$C$8:$C$156, CEFF!G$8:G$156)</f>
        <v>2.76E-2</v>
      </c>
      <c r="O27" s="263">
        <f>LOOKUP($B$25, CEFF!$C$8:$C$156, CEFF!H$8:H$156)</f>
        <v>2.76E-2</v>
      </c>
      <c r="P27" s="263">
        <f>LOOKUP($B$25, CEFF!$C$8:$C$156, CEFF!I$8:I$156)</f>
        <v>2.76E-2</v>
      </c>
      <c r="Q27" s="263">
        <f>LOOKUP($B$25, CEFF!$C$8:$C$156, CEFF!J$8:J$156)</f>
        <v>2.76E-2</v>
      </c>
      <c r="R27" s="40"/>
      <c r="S27" s="40"/>
      <c r="T27" s="40"/>
      <c r="U27" s="40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1:31" x14ac:dyDescent="0.3">
      <c r="A28" s="39"/>
      <c r="B28" s="213"/>
      <c r="C28" s="213"/>
      <c r="D28" s="213"/>
      <c r="E28" s="213"/>
      <c r="F28" s="213" t="s">
        <v>371</v>
      </c>
      <c r="G28" s="180"/>
      <c r="H28" s="181"/>
      <c r="I28" s="179"/>
      <c r="J28" s="179"/>
      <c r="K28" s="182"/>
      <c r="L28" s="182"/>
      <c r="M28" s="265">
        <f>LOOKUP($B$25, CEFF!$C$8:$C$156, CEFF!F$8:F$156)</f>
        <v>2.76E-2</v>
      </c>
      <c r="N28" s="265">
        <f>LOOKUP($B$25, CEFF!$C$8:$C$156, CEFF!G$8:G$156)</f>
        <v>2.76E-2</v>
      </c>
      <c r="O28" s="265">
        <f>LOOKUP($B$25, CEFF!$C$8:$C$156, CEFF!H$8:H$156)</f>
        <v>2.76E-2</v>
      </c>
      <c r="P28" s="265">
        <f>LOOKUP($B$25, CEFF!$C$8:$C$156, CEFF!I$8:I$156)</f>
        <v>2.76E-2</v>
      </c>
      <c r="Q28" s="265">
        <f>LOOKUP($B$25, CEFF!$C$8:$C$156, CEFF!J$8:J$156)</f>
        <v>2.76E-2</v>
      </c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</row>
    <row r="30" spans="1:31" s="39" customFormat="1" x14ac:dyDescent="0.3">
      <c r="H30" s="36"/>
      <c r="I30" s="37"/>
      <c r="J30" s="38"/>
      <c r="K30" s="58"/>
      <c r="L30" s="58"/>
      <c r="M30" s="38"/>
      <c r="N30" s="38"/>
      <c r="O30" s="38"/>
      <c r="P30" s="38"/>
      <c r="Q30" s="38"/>
      <c r="R30" s="36"/>
      <c r="S30" s="36"/>
      <c r="T30" s="36"/>
      <c r="U30" s="36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31" x14ac:dyDescent="0.3">
      <c r="B31" s="6" t="s">
        <v>171</v>
      </c>
      <c r="C31" s="7"/>
      <c r="D31" s="8"/>
      <c r="E31" s="8"/>
      <c r="F31" s="9" t="s">
        <v>1</v>
      </c>
      <c r="G31" s="9"/>
    </row>
    <row r="32" spans="1:31" x14ac:dyDescent="0.3">
      <c r="B32" s="199" t="s">
        <v>2</v>
      </c>
      <c r="C32" s="199" t="s">
        <v>3</v>
      </c>
      <c r="D32" s="199" t="s">
        <v>4</v>
      </c>
      <c r="E32" s="199" t="s">
        <v>5</v>
      </c>
      <c r="F32" s="200" t="s">
        <v>6</v>
      </c>
      <c r="G32" s="200" t="s">
        <v>186</v>
      </c>
      <c r="H32" s="201" t="s">
        <v>185</v>
      </c>
      <c r="I32" s="201" t="s">
        <v>11</v>
      </c>
      <c r="J32" s="200" t="s">
        <v>12</v>
      </c>
      <c r="K32" s="200" t="s">
        <v>7</v>
      </c>
      <c r="L32" s="200" t="s">
        <v>8</v>
      </c>
      <c r="M32" s="201" t="s">
        <v>688</v>
      </c>
      <c r="N32" s="201" t="s">
        <v>321</v>
      </c>
      <c r="O32" s="201" t="s">
        <v>322</v>
      </c>
      <c r="P32" s="201" t="s">
        <v>9</v>
      </c>
      <c r="Q32" s="201" t="s">
        <v>10</v>
      </c>
      <c r="R32" s="201" t="s">
        <v>687</v>
      </c>
      <c r="S32" s="201" t="s">
        <v>448</v>
      </c>
      <c r="T32" s="201" t="s">
        <v>13</v>
      </c>
      <c r="U32" s="201" t="s">
        <v>382</v>
      </c>
      <c r="V32" s="201" t="s">
        <v>42</v>
      </c>
      <c r="W32" s="201" t="s">
        <v>14</v>
      </c>
      <c r="X32" s="201" t="s">
        <v>381</v>
      </c>
      <c r="Y32" s="201" t="s">
        <v>15</v>
      </c>
      <c r="Z32" s="201" t="s">
        <v>16</v>
      </c>
      <c r="AA32" s="201" t="s">
        <v>17</v>
      </c>
      <c r="AB32" s="201" t="s">
        <v>18</v>
      </c>
      <c r="AC32" s="201" t="s">
        <v>19</v>
      </c>
      <c r="AD32" s="201" t="s">
        <v>20</v>
      </c>
      <c r="AE32" s="201" t="s">
        <v>21</v>
      </c>
    </row>
    <row r="33" spans="2:31" ht="33.75" customHeight="1" thickBot="1" x14ac:dyDescent="0.35">
      <c r="B33" s="202" t="s">
        <v>22</v>
      </c>
      <c r="C33" s="202"/>
      <c r="D33" s="202"/>
      <c r="E33" s="202"/>
      <c r="F33" s="203" t="s">
        <v>23</v>
      </c>
      <c r="G33" s="203">
        <v>2019</v>
      </c>
      <c r="H33" s="204" t="s">
        <v>26</v>
      </c>
      <c r="I33" s="204" t="s">
        <v>24</v>
      </c>
      <c r="J33" s="204" t="s">
        <v>172</v>
      </c>
      <c r="K33" s="203"/>
      <c r="L33" s="203"/>
      <c r="M33" s="205" t="s">
        <v>653</v>
      </c>
      <c r="N33" s="205" t="str">
        <f>M33</f>
        <v>Vkm/MJ</v>
      </c>
      <c r="O33" s="205" t="str">
        <f>N33</f>
        <v>Vkm/MJ</v>
      </c>
      <c r="P33" s="205" t="str">
        <f>O33</f>
        <v>Vkm/MJ</v>
      </c>
      <c r="Q33" s="205" t="str">
        <f>P33</f>
        <v>Vkm/MJ</v>
      </c>
      <c r="R33" s="204" t="s">
        <v>658</v>
      </c>
      <c r="S33" s="204" t="s">
        <v>658</v>
      </c>
      <c r="T33" s="204" t="s">
        <v>658</v>
      </c>
      <c r="U33" s="204" t="s">
        <v>658</v>
      </c>
      <c r="V33" s="206" t="s">
        <v>662</v>
      </c>
      <c r="W33" s="206" t="s">
        <v>661</v>
      </c>
      <c r="X33" s="206" t="s">
        <v>657</v>
      </c>
      <c r="Y33" s="206" t="s">
        <v>657</v>
      </c>
      <c r="Z33" s="206" t="s">
        <v>657</v>
      </c>
      <c r="AA33" s="206" t="s">
        <v>657</v>
      </c>
      <c r="AB33" s="206" t="s">
        <v>657</v>
      </c>
      <c r="AC33" s="206" t="s">
        <v>657</v>
      </c>
      <c r="AD33" s="206" t="s">
        <v>657</v>
      </c>
      <c r="AE33" s="206" t="s">
        <v>657</v>
      </c>
    </row>
    <row r="34" spans="2:31" s="39" customFormat="1" x14ac:dyDescent="0.3">
      <c r="B34" s="209" t="s">
        <v>173</v>
      </c>
      <c r="C34" s="208" t="str">
        <f>LOOKUP(B34, TRA_COMM_PRO!$C$7:$C$189, TRA_COMM_PRO!$D$7:$D$189)</f>
        <v>Train.Freight.Loco.DST.01.</v>
      </c>
      <c r="D34" s="209" t="s">
        <v>44</v>
      </c>
      <c r="E34" s="209"/>
      <c r="F34" s="209"/>
      <c r="G34" s="10">
        <f>$G$33</f>
        <v>2019</v>
      </c>
      <c r="H34" s="40">
        <v>50</v>
      </c>
      <c r="I34" s="65">
        <v>1E-3</v>
      </c>
      <c r="J34" s="60">
        <v>549.47972830879576</v>
      </c>
      <c r="K34" s="42"/>
      <c r="L34" s="42">
        <v>0.05</v>
      </c>
      <c r="M34" s="43"/>
      <c r="N34" s="43"/>
      <c r="O34" s="43"/>
      <c r="P34" s="43"/>
      <c r="Q34" s="43"/>
      <c r="R34" s="40">
        <v>100</v>
      </c>
      <c r="S34" s="40"/>
      <c r="T34" s="40"/>
      <c r="U34" s="40"/>
      <c r="V34" s="41"/>
      <c r="W34" s="41"/>
      <c r="X34" s="40">
        <f>INVCOST!D179</f>
        <v>777</v>
      </c>
      <c r="Y34" s="40">
        <f>INVCOST!E179</f>
        <v>777</v>
      </c>
      <c r="Z34" s="40">
        <f>INVCOST!F179</f>
        <v>777</v>
      </c>
      <c r="AA34" s="40">
        <f>INVCOST!G179</f>
        <v>777</v>
      </c>
      <c r="AB34" s="40">
        <f>INVCOST!H179</f>
        <v>777</v>
      </c>
      <c r="AC34" s="40">
        <f>INVCOST!I179</f>
        <v>777</v>
      </c>
      <c r="AD34" s="40">
        <f>INVCOST!J179</f>
        <v>777</v>
      </c>
      <c r="AE34" s="40">
        <f>INVCOST!K179</f>
        <v>777</v>
      </c>
    </row>
    <row r="35" spans="2:31" s="39" customFormat="1" x14ac:dyDescent="0.3">
      <c r="B35" s="209"/>
      <c r="C35" s="208"/>
      <c r="D35" s="209" t="s">
        <v>48</v>
      </c>
      <c r="E35" s="209"/>
      <c r="F35" s="209"/>
      <c r="G35" s="50"/>
      <c r="H35" s="40"/>
      <c r="I35" s="41"/>
      <c r="J35" s="41"/>
      <c r="K35" s="42"/>
      <c r="L35" s="42"/>
      <c r="M35" s="41"/>
      <c r="N35" s="41"/>
      <c r="O35" s="41"/>
      <c r="P35" s="41"/>
      <c r="Q35" s="41"/>
      <c r="R35" s="40"/>
      <c r="S35" s="40"/>
      <c r="T35" s="40"/>
      <c r="U35" s="40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spans="2:31" s="39" customFormat="1" x14ac:dyDescent="0.3">
      <c r="B36" s="209"/>
      <c r="C36" s="208"/>
      <c r="D36" s="209"/>
      <c r="E36" s="209"/>
      <c r="F36" s="209" t="s">
        <v>175</v>
      </c>
      <c r="G36" s="50"/>
      <c r="H36" s="40"/>
      <c r="I36" s="41"/>
      <c r="J36" s="41"/>
      <c r="K36" s="42"/>
      <c r="L36" s="42"/>
      <c r="M36" s="278">
        <f>LOOKUP($B$34, CEFF!$C$8:$C$156, CEFF!F$8:F$156)</f>
        <v>5.2500000000000003E-3</v>
      </c>
      <c r="N36" s="278">
        <f>LOOKUP($B$34, CEFF!$C$8:$C$156, CEFF!G$8:G$156)</f>
        <v>5.2500000000000003E-3</v>
      </c>
      <c r="O36" s="278">
        <f>LOOKUP($B$34, CEFF!$C$8:$C$156, CEFF!H$8:H$156)</f>
        <v>5.2500000000000003E-3</v>
      </c>
      <c r="P36" s="278">
        <f>LOOKUP($B$34, CEFF!$C$8:$C$156, CEFF!I$8:I$156)</f>
        <v>5.2500000000000003E-3</v>
      </c>
      <c r="Q36" s="278">
        <f>LOOKUP($B$34, CEFF!$C$8:$C$156, CEFF!J$8:J$156)</f>
        <v>5.2500000000000003E-3</v>
      </c>
      <c r="R36" s="40"/>
      <c r="S36" s="40"/>
      <c r="T36" s="40"/>
      <c r="U36" s="40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spans="2:31" s="39" customFormat="1" x14ac:dyDescent="0.3">
      <c r="B37" s="210"/>
      <c r="C37" s="230"/>
      <c r="D37" s="210"/>
      <c r="E37" s="210"/>
      <c r="F37" s="210" t="s">
        <v>372</v>
      </c>
      <c r="G37" s="51"/>
      <c r="H37" s="45"/>
      <c r="I37" s="46"/>
      <c r="J37" s="46"/>
      <c r="K37" s="44"/>
      <c r="L37" s="44"/>
      <c r="M37" s="289">
        <f>LOOKUP($B$34, CEFF!$C$8:$C$156, CEFF!F$8:F$156)</f>
        <v>5.2500000000000003E-3</v>
      </c>
      <c r="N37" s="289">
        <f>LOOKUP($B$34, CEFF!$C$8:$C$156, CEFF!G$8:G$156)</f>
        <v>5.2500000000000003E-3</v>
      </c>
      <c r="O37" s="289">
        <f>LOOKUP($B$34, CEFF!$C$8:$C$156, CEFF!H$8:H$156)</f>
        <v>5.2500000000000003E-3</v>
      </c>
      <c r="P37" s="289">
        <f>LOOKUP($B$34, CEFF!$C$8:$C$156, CEFF!I$8:I$156)</f>
        <v>5.2500000000000003E-3</v>
      </c>
      <c r="Q37" s="289">
        <f>LOOKUP($B$34, CEFF!$C$8:$C$156, CEFF!J$8:J$156)</f>
        <v>5.2500000000000003E-3</v>
      </c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spans="2:31" s="39" customFormat="1" x14ac:dyDescent="0.3">
      <c r="B38" s="209" t="s">
        <v>176</v>
      </c>
      <c r="C38" s="208" t="str">
        <f>LOOKUP(B38, TRA_COMM_PRO!$C$7:$C$189, TRA_COMM_PRO!$D$7:$D$189)</f>
        <v>Train.Freight.Loco.ELC.01.</v>
      </c>
      <c r="D38" s="209" t="s">
        <v>27</v>
      </c>
      <c r="E38" s="209"/>
      <c r="F38" s="209"/>
      <c r="G38" s="10">
        <f>$G$33</f>
        <v>2019</v>
      </c>
      <c r="H38" s="40">
        <v>50</v>
      </c>
      <c r="I38" s="65">
        <v>1E-3</v>
      </c>
      <c r="J38" s="60">
        <v>549.47972830879576</v>
      </c>
      <c r="K38" s="42"/>
      <c r="L38" s="42"/>
      <c r="M38" s="290"/>
      <c r="N38" s="290"/>
      <c r="O38" s="290"/>
      <c r="P38" s="290"/>
      <c r="Q38" s="290"/>
      <c r="R38" s="40">
        <v>100</v>
      </c>
      <c r="S38" s="40"/>
      <c r="T38" s="40"/>
      <c r="U38" s="40"/>
      <c r="V38" s="41"/>
      <c r="W38" s="41"/>
      <c r="X38" s="40">
        <f>INVCOST!D180</f>
        <v>777</v>
      </c>
      <c r="Y38" s="40">
        <f>INVCOST!E180</f>
        <v>777</v>
      </c>
      <c r="Z38" s="40">
        <f>INVCOST!F180</f>
        <v>777</v>
      </c>
      <c r="AA38" s="40">
        <f>INVCOST!G180</f>
        <v>777</v>
      </c>
      <c r="AB38" s="40">
        <f>INVCOST!H180</f>
        <v>777</v>
      </c>
      <c r="AC38" s="40">
        <f>INVCOST!I180</f>
        <v>777</v>
      </c>
      <c r="AD38" s="40">
        <f>INVCOST!J180</f>
        <v>777</v>
      </c>
      <c r="AE38" s="40">
        <f>INVCOST!K180</f>
        <v>777</v>
      </c>
    </row>
    <row r="39" spans="2:31" s="39" customFormat="1" x14ac:dyDescent="0.3">
      <c r="B39" s="209"/>
      <c r="C39" s="208"/>
      <c r="D39" s="209"/>
      <c r="E39" s="209"/>
      <c r="F39" s="209" t="s">
        <v>175</v>
      </c>
      <c r="G39" s="50"/>
      <c r="H39" s="40"/>
      <c r="I39" s="65"/>
      <c r="J39" s="41"/>
      <c r="K39" s="42"/>
      <c r="L39" s="42"/>
      <c r="M39" s="278">
        <f>LOOKUP($B$38, CEFF!$C$8:$C$156, CEFF!F$8:F$156)</f>
        <v>1.1350000000000001E-2</v>
      </c>
      <c r="N39" s="278">
        <f>LOOKUP($B$38, CEFF!$C$8:$C$156, CEFF!G$8:G$156)</f>
        <v>1.1350000000000001E-2</v>
      </c>
      <c r="O39" s="278">
        <f>LOOKUP($B$38, CEFF!$C$8:$C$156, CEFF!H$8:H$156)</f>
        <v>1.1350000000000001E-2</v>
      </c>
      <c r="P39" s="278">
        <f>LOOKUP($B$38, CEFF!$C$8:$C$156, CEFF!I$8:I$156)</f>
        <v>1.1350000000000001E-2</v>
      </c>
      <c r="Q39" s="278">
        <f>LOOKUP($B$38, CEFF!$C$8:$C$156, CEFF!J$8:J$156)</f>
        <v>1.1350000000000001E-2</v>
      </c>
      <c r="R39" s="40"/>
      <c r="S39" s="40"/>
      <c r="T39" s="40"/>
      <c r="U39" s="40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spans="2:31" s="39" customFormat="1" x14ac:dyDescent="0.3">
      <c r="B40" s="213"/>
      <c r="C40" s="231"/>
      <c r="D40" s="213"/>
      <c r="E40" s="213"/>
      <c r="F40" s="213" t="s">
        <v>372</v>
      </c>
      <c r="G40" s="180"/>
      <c r="H40" s="181"/>
      <c r="I40" s="196"/>
      <c r="J40" s="179"/>
      <c r="K40" s="177"/>
      <c r="L40" s="177"/>
      <c r="M40" s="282">
        <f>LOOKUP($B$38, CEFF!$C$8:$C$156, CEFF!F$8:F$156)</f>
        <v>1.1350000000000001E-2</v>
      </c>
      <c r="N40" s="282">
        <f>LOOKUP($B$38, CEFF!$C$8:$C$156, CEFF!G$8:G$156)</f>
        <v>1.1350000000000001E-2</v>
      </c>
      <c r="O40" s="282">
        <f>LOOKUP($B$38, CEFF!$C$8:$C$156, CEFF!H$8:H$156)</f>
        <v>1.1350000000000001E-2</v>
      </c>
      <c r="P40" s="282">
        <f>LOOKUP($B$38, CEFF!$C$8:$C$156, CEFF!I$8:I$156)</f>
        <v>1.1350000000000001E-2</v>
      </c>
      <c r="Q40" s="282">
        <f>LOOKUP($B$38, CEFF!$C$8:$C$156, CEFF!J$8:J$156)</f>
        <v>1.1350000000000001E-2</v>
      </c>
      <c r="R40" s="181"/>
      <c r="S40" s="181"/>
      <c r="T40" s="181"/>
      <c r="U40" s="181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0"/>
  <sheetViews>
    <sheetView zoomScale="75" zoomScaleNormal="75" workbookViewId="0">
      <selection activeCell="H5" sqref="H5"/>
    </sheetView>
  </sheetViews>
  <sheetFormatPr defaultRowHeight="14.4" x14ac:dyDescent="0.3"/>
  <cols>
    <col min="2" max="2" width="22.33203125" bestFit="1" customWidth="1"/>
    <col min="3" max="3" width="25.33203125" bestFit="1" customWidth="1"/>
    <col min="4" max="4" width="9.44140625" bestFit="1" customWidth="1"/>
    <col min="5" max="5" width="11.44140625" bestFit="1" customWidth="1"/>
    <col min="6" max="6" width="11.44140625" customWidth="1"/>
    <col min="7" max="7" width="11.109375" bestFit="1" customWidth="1"/>
    <col min="8" max="8" width="11.44140625" bestFit="1" customWidth="1"/>
    <col min="9" max="9" width="7" customWidth="1"/>
    <col min="10" max="10" width="14.33203125" bestFit="1" customWidth="1"/>
    <col min="11" max="11" width="14.44140625" bestFit="1" customWidth="1"/>
    <col min="12" max="12" width="9.88671875" bestFit="1" customWidth="1"/>
    <col min="13" max="13" width="9.33203125" bestFit="1" customWidth="1"/>
    <col min="14" max="18" width="10.88671875" customWidth="1"/>
    <col min="19" max="22" width="12.109375" customWidth="1"/>
    <col min="23" max="23" width="10.5546875" customWidth="1"/>
    <col min="24" max="24" width="11.5546875" customWidth="1"/>
    <col min="25" max="32" width="14.109375" customWidth="1"/>
  </cols>
  <sheetData>
    <row r="2" spans="2:32" ht="15.75" customHeight="1" x14ac:dyDescent="0.3"/>
    <row r="3" spans="2:32" ht="15.75" customHeight="1" x14ac:dyDescent="0.3">
      <c r="B3" s="6" t="s">
        <v>609</v>
      </c>
      <c r="C3" s="7"/>
      <c r="D3" s="81"/>
      <c r="E3" s="8"/>
      <c r="F3" s="8"/>
      <c r="G3" s="9" t="s">
        <v>1</v>
      </c>
      <c r="H3" s="9"/>
      <c r="K3" s="4"/>
      <c r="L3" s="39"/>
      <c r="M3" s="39"/>
      <c r="N3" s="39"/>
      <c r="O3" s="39"/>
    </row>
    <row r="4" spans="2:32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199" t="s">
        <v>686</v>
      </c>
      <c r="G4" s="200" t="s">
        <v>6</v>
      </c>
      <c r="H4" s="200" t="s">
        <v>186</v>
      </c>
      <c r="I4" s="201" t="s">
        <v>185</v>
      </c>
      <c r="J4" s="201" t="s">
        <v>11</v>
      </c>
      <c r="K4" s="200" t="s">
        <v>12</v>
      </c>
      <c r="L4" s="200" t="s">
        <v>7</v>
      </c>
      <c r="M4" s="200" t="s">
        <v>8</v>
      </c>
      <c r="N4" s="201" t="s">
        <v>688</v>
      </c>
      <c r="O4" s="201" t="s">
        <v>321</v>
      </c>
      <c r="P4" s="201" t="s">
        <v>322</v>
      </c>
      <c r="Q4" s="201" t="s">
        <v>9</v>
      </c>
      <c r="R4" s="201" t="s">
        <v>10</v>
      </c>
      <c r="S4" s="201" t="s">
        <v>687</v>
      </c>
      <c r="T4" s="201" t="s">
        <v>448</v>
      </c>
      <c r="U4" s="201" t="s">
        <v>13</v>
      </c>
      <c r="V4" s="201" t="s">
        <v>382</v>
      </c>
      <c r="W4" s="201" t="s">
        <v>42</v>
      </c>
      <c r="X4" s="201" t="s">
        <v>14</v>
      </c>
      <c r="Y4" s="201" t="s">
        <v>381</v>
      </c>
      <c r="Z4" s="201" t="s">
        <v>15</v>
      </c>
      <c r="AA4" s="201" t="s">
        <v>16</v>
      </c>
      <c r="AB4" s="201" t="s">
        <v>17</v>
      </c>
      <c r="AC4" s="201" t="s">
        <v>18</v>
      </c>
      <c r="AD4" s="201" t="s">
        <v>19</v>
      </c>
      <c r="AE4" s="201" t="s">
        <v>20</v>
      </c>
      <c r="AF4" s="201" t="s">
        <v>21</v>
      </c>
    </row>
    <row r="5" spans="2:32" ht="29.4" thickBot="1" x14ac:dyDescent="0.35">
      <c r="B5" s="202" t="s">
        <v>22</v>
      </c>
      <c r="C5" s="202"/>
      <c r="D5" s="202"/>
      <c r="E5" s="202"/>
      <c r="F5" s="202"/>
      <c r="G5" s="203" t="s">
        <v>23</v>
      </c>
      <c r="H5" s="203">
        <v>2019</v>
      </c>
      <c r="I5" s="203" t="s">
        <v>26</v>
      </c>
      <c r="J5" s="229" t="s">
        <v>125</v>
      </c>
      <c r="K5" s="204" t="s">
        <v>25</v>
      </c>
      <c r="L5" s="203"/>
      <c r="M5" s="203"/>
      <c r="N5" s="205" t="s">
        <v>653</v>
      </c>
      <c r="O5" s="205" t="s">
        <v>653</v>
      </c>
      <c r="P5" s="205" t="s">
        <v>653</v>
      </c>
      <c r="Q5" s="205" t="s">
        <v>653</v>
      </c>
      <c r="R5" s="205" t="s">
        <v>653</v>
      </c>
      <c r="S5" s="204" t="s">
        <v>658</v>
      </c>
      <c r="T5" s="204" t="s">
        <v>658</v>
      </c>
      <c r="U5" s="204" t="s">
        <v>658</v>
      </c>
      <c r="V5" s="204" t="s">
        <v>658</v>
      </c>
      <c r="W5" s="206" t="s">
        <v>662</v>
      </c>
      <c r="X5" s="206" t="s">
        <v>661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  <c r="AF5" s="206" t="s">
        <v>657</v>
      </c>
    </row>
    <row r="6" spans="2:32" s="39" customFormat="1" ht="15.75" customHeight="1" x14ac:dyDescent="0.3">
      <c r="B6" s="209" t="s">
        <v>183</v>
      </c>
      <c r="C6" s="208" t="str">
        <f>LOOKUP(B6, TRA_COMM_PRO!$C$6:$C$189, TRA_COMM_PRO!$D$6:$D$189)</f>
        <v>Aviation.International.01.</v>
      </c>
      <c r="D6" s="209" t="s">
        <v>181</v>
      </c>
      <c r="E6" s="209"/>
      <c r="F6" s="209">
        <f>$H$5</f>
        <v>2019</v>
      </c>
      <c r="G6" s="209"/>
      <c r="H6" s="108">
        <f>$H$14</f>
        <v>2019</v>
      </c>
      <c r="I6" s="138">
        <v>30</v>
      </c>
      <c r="J6" s="65">
        <v>1E-3</v>
      </c>
      <c r="K6" s="141">
        <v>200</v>
      </c>
      <c r="L6" s="140"/>
      <c r="M6" s="97">
        <v>0.5</v>
      </c>
      <c r="N6" s="164"/>
      <c r="O6" s="164"/>
      <c r="P6" s="164"/>
      <c r="Q6" s="164"/>
      <c r="R6" s="164"/>
      <c r="S6" s="105">
        <v>1500</v>
      </c>
      <c r="T6" s="97"/>
      <c r="U6" s="97"/>
      <c r="V6" s="139"/>
      <c r="W6" s="139"/>
      <c r="X6" s="139">
        <f>FIXOM_VAROM!D8</f>
        <v>0</v>
      </c>
      <c r="Y6" s="138">
        <f>INVCOST!D8</f>
        <v>7777</v>
      </c>
      <c r="Z6" s="138">
        <f>INVCOST!E8</f>
        <v>7777</v>
      </c>
      <c r="AA6" s="138">
        <f>INVCOST!F8</f>
        <v>7777</v>
      </c>
      <c r="AB6" s="138">
        <f>INVCOST!G8</f>
        <v>7777</v>
      </c>
      <c r="AC6" s="138">
        <f>INVCOST!H8</f>
        <v>7777</v>
      </c>
      <c r="AD6" s="138">
        <f>INVCOST!I8</f>
        <v>7777</v>
      </c>
      <c r="AE6" s="138">
        <f>INVCOST!J8</f>
        <v>7777</v>
      </c>
      <c r="AF6" s="138">
        <f>INVCOST!K8</f>
        <v>7777</v>
      </c>
    </row>
    <row r="7" spans="2:32" s="39" customFormat="1" ht="15.75" customHeight="1" x14ac:dyDescent="0.3">
      <c r="B7" s="209"/>
      <c r="C7" s="209"/>
      <c r="D7" s="209" t="s">
        <v>652</v>
      </c>
      <c r="E7" s="209"/>
      <c r="F7" s="209"/>
      <c r="G7" s="209"/>
      <c r="H7" s="97"/>
      <c r="I7" s="139"/>
      <c r="J7" s="139"/>
      <c r="K7" s="142"/>
      <c r="L7" s="139"/>
      <c r="M7" s="97"/>
      <c r="N7" s="141"/>
      <c r="O7" s="141"/>
      <c r="P7" s="141"/>
      <c r="Q7" s="97"/>
      <c r="R7" s="97"/>
      <c r="S7" s="97"/>
      <c r="T7" s="97"/>
      <c r="U7" s="97"/>
      <c r="V7" s="139"/>
      <c r="W7" s="139"/>
      <c r="X7" s="139"/>
      <c r="Y7" s="139"/>
      <c r="Z7" s="139"/>
      <c r="AA7" s="139"/>
      <c r="AB7" s="139"/>
      <c r="AC7" s="139"/>
      <c r="AD7" s="139"/>
      <c r="AE7" s="97"/>
      <c r="AF7" s="97"/>
    </row>
    <row r="8" spans="2:32" s="39" customFormat="1" ht="15.75" customHeight="1" x14ac:dyDescent="0.3">
      <c r="B8" s="209"/>
      <c r="C8" s="209"/>
      <c r="D8" s="209"/>
      <c r="E8" s="209"/>
      <c r="F8" s="209"/>
      <c r="G8" s="209" t="s">
        <v>649</v>
      </c>
      <c r="H8" s="97"/>
      <c r="I8" s="138"/>
      <c r="J8" s="139"/>
      <c r="K8" s="143"/>
      <c r="L8" s="143"/>
      <c r="M8" s="97"/>
      <c r="N8" s="278">
        <f>LOOKUP($B$6, CEFF!$C$8:$C$147, CEFF!F$8:F$147)</f>
        <v>8.0000000000000002E-3</v>
      </c>
      <c r="O8" s="278">
        <f>LOOKUP($B$6, CEFF!$C$8:$C$147, CEFF!G$8:G$147)</f>
        <v>8.3300000000000006E-3</v>
      </c>
      <c r="P8" s="278">
        <f>LOOKUP($B$6, CEFF!$C$8:$C$147, CEFF!H$8:H$147)</f>
        <v>8.8199999999999997E-3</v>
      </c>
      <c r="Q8" s="278">
        <f>LOOKUP($B$6, CEFF!$C$8:$C$147, CEFF!I$8:I$147)</f>
        <v>9.3699999999999999E-3</v>
      </c>
      <c r="R8" s="278">
        <f>LOOKUP($B$6, CEFF!$C$8:$C$147, CEFF!J$8:J$147)</f>
        <v>0.01</v>
      </c>
      <c r="S8" s="97"/>
      <c r="T8" s="97"/>
      <c r="U8" s="97"/>
      <c r="V8" s="139"/>
      <c r="W8" s="139"/>
      <c r="X8" s="139"/>
      <c r="Y8" s="139"/>
      <c r="Z8" s="139"/>
      <c r="AA8" s="139"/>
      <c r="AB8" s="139"/>
      <c r="AC8" s="139"/>
      <c r="AD8" s="139"/>
      <c r="AE8" s="97"/>
      <c r="AF8" s="97"/>
    </row>
    <row r="9" spans="2:32" s="39" customFormat="1" ht="15.75" customHeight="1" x14ac:dyDescent="0.3">
      <c r="B9" s="213"/>
      <c r="C9" s="213"/>
      <c r="D9" s="213"/>
      <c r="E9" s="213"/>
      <c r="F9" s="213"/>
      <c r="G9" s="213" t="s">
        <v>650</v>
      </c>
      <c r="H9" s="172"/>
      <c r="I9" s="173"/>
      <c r="J9" s="174"/>
      <c r="K9" s="175"/>
      <c r="L9" s="175"/>
      <c r="M9" s="172"/>
      <c r="N9" s="282">
        <f>LOOKUP($B$6, CEFF!$C$8:$C$147, CEFF!F$8:F$147)</f>
        <v>8.0000000000000002E-3</v>
      </c>
      <c r="O9" s="282">
        <f>LOOKUP($B$6, CEFF!$C$8:$C$147, CEFF!G$8:G$147)</f>
        <v>8.3300000000000006E-3</v>
      </c>
      <c r="P9" s="282">
        <f>LOOKUP($B$6, CEFF!$C$8:$C$147, CEFF!H$8:H$147)</f>
        <v>8.8199999999999997E-3</v>
      </c>
      <c r="Q9" s="282">
        <f>LOOKUP($B$6, CEFF!$C$8:$C$147, CEFF!I$8:I$147)</f>
        <v>9.3699999999999999E-3</v>
      </c>
      <c r="R9" s="282">
        <f>LOOKUP($B$6, CEFF!$C$8:$C$147, CEFF!J$8:J$147)</f>
        <v>0.01</v>
      </c>
      <c r="S9" s="172"/>
      <c r="T9" s="172"/>
      <c r="U9" s="172"/>
      <c r="V9" s="174"/>
      <c r="W9" s="174"/>
      <c r="X9" s="174"/>
      <c r="Y9" s="174"/>
      <c r="Z9" s="174"/>
      <c r="AA9" s="174"/>
      <c r="AB9" s="174"/>
      <c r="AC9" s="174"/>
      <c r="AD9" s="174"/>
      <c r="AE9" s="172"/>
      <c r="AF9" s="172"/>
    </row>
    <row r="10" spans="2:32" s="39" customFormat="1" ht="15.75" customHeight="1" x14ac:dyDescent="0.3">
      <c r="I10" s="58"/>
      <c r="J10" s="38"/>
      <c r="K10" s="47"/>
      <c r="L10" s="47"/>
      <c r="N10" s="36"/>
      <c r="O10" s="36"/>
      <c r="P10" s="36"/>
      <c r="V10" s="38"/>
      <c r="W10" s="38"/>
      <c r="X10" s="38"/>
      <c r="Y10" s="38"/>
      <c r="Z10" s="38"/>
      <c r="AA10" s="38"/>
      <c r="AB10" s="38"/>
      <c r="AC10" s="38"/>
      <c r="AD10" s="38"/>
    </row>
    <row r="12" spans="2:32" ht="15.75" customHeight="1" x14ac:dyDescent="0.3">
      <c r="B12" s="6" t="s">
        <v>608</v>
      </c>
      <c r="C12" s="7"/>
      <c r="D12" s="81"/>
      <c r="E12" s="8"/>
      <c r="F12" s="8"/>
      <c r="G12" s="9" t="s">
        <v>1</v>
      </c>
      <c r="H12" s="9"/>
      <c r="K12" s="4"/>
      <c r="L12" s="39"/>
      <c r="M12" s="39"/>
      <c r="N12" s="39"/>
      <c r="O12" s="39"/>
    </row>
    <row r="13" spans="2:32" x14ac:dyDescent="0.3">
      <c r="B13" s="199" t="s">
        <v>2</v>
      </c>
      <c r="C13" s="199" t="s">
        <v>3</v>
      </c>
      <c r="D13" s="199" t="s">
        <v>4</v>
      </c>
      <c r="E13" s="199" t="s">
        <v>5</v>
      </c>
      <c r="F13" s="199" t="s">
        <v>686</v>
      </c>
      <c r="G13" s="200" t="s">
        <v>6</v>
      </c>
      <c r="H13" s="200" t="s">
        <v>186</v>
      </c>
      <c r="I13" s="201" t="s">
        <v>185</v>
      </c>
      <c r="J13" s="201" t="s">
        <v>11</v>
      </c>
      <c r="K13" s="200" t="s">
        <v>12</v>
      </c>
      <c r="L13" s="200" t="s">
        <v>7</v>
      </c>
      <c r="M13" s="200" t="s">
        <v>8</v>
      </c>
      <c r="N13" s="201" t="s">
        <v>688</v>
      </c>
      <c r="O13" s="201" t="s">
        <v>321</v>
      </c>
      <c r="P13" s="201" t="s">
        <v>322</v>
      </c>
      <c r="Q13" s="201" t="s">
        <v>9</v>
      </c>
      <c r="R13" s="201" t="s">
        <v>10</v>
      </c>
      <c r="S13" s="201" t="s">
        <v>687</v>
      </c>
      <c r="T13" s="201" t="s">
        <v>448</v>
      </c>
      <c r="U13" s="201" t="s">
        <v>13</v>
      </c>
      <c r="V13" s="201" t="s">
        <v>382</v>
      </c>
      <c r="W13" s="201" t="s">
        <v>42</v>
      </c>
      <c r="X13" s="201" t="s">
        <v>14</v>
      </c>
      <c r="Y13" s="201" t="s">
        <v>381</v>
      </c>
      <c r="Z13" s="201" t="s">
        <v>15</v>
      </c>
      <c r="AA13" s="201" t="s">
        <v>16</v>
      </c>
      <c r="AB13" s="201" t="s">
        <v>17</v>
      </c>
      <c r="AC13" s="201" t="s">
        <v>18</v>
      </c>
      <c r="AD13" s="201" t="s">
        <v>19</v>
      </c>
      <c r="AE13" s="201" t="s">
        <v>20</v>
      </c>
      <c r="AF13" s="201" t="s">
        <v>21</v>
      </c>
    </row>
    <row r="14" spans="2:32" ht="29.4" thickBot="1" x14ac:dyDescent="0.35">
      <c r="B14" s="202" t="s">
        <v>22</v>
      </c>
      <c r="C14" s="202"/>
      <c r="D14" s="202"/>
      <c r="E14" s="202"/>
      <c r="F14" s="202"/>
      <c r="G14" s="203" t="s">
        <v>23</v>
      </c>
      <c r="H14" s="203">
        <v>2019</v>
      </c>
      <c r="I14" s="203" t="s">
        <v>26</v>
      </c>
      <c r="J14" s="229" t="s">
        <v>125</v>
      </c>
      <c r="K14" s="204" t="s">
        <v>25</v>
      </c>
      <c r="L14" s="203"/>
      <c r="M14" s="203"/>
      <c r="N14" s="205" t="s">
        <v>653</v>
      </c>
      <c r="O14" s="205" t="s">
        <v>653</v>
      </c>
      <c r="P14" s="205" t="s">
        <v>653</v>
      </c>
      <c r="Q14" s="205" t="s">
        <v>653</v>
      </c>
      <c r="R14" s="205" t="s">
        <v>653</v>
      </c>
      <c r="S14" s="204" t="s">
        <v>658</v>
      </c>
      <c r="T14" s="204" t="s">
        <v>658</v>
      </c>
      <c r="U14" s="204" t="s">
        <v>658</v>
      </c>
      <c r="V14" s="204" t="s">
        <v>658</v>
      </c>
      <c r="W14" s="206" t="s">
        <v>662</v>
      </c>
      <c r="X14" s="206" t="s">
        <v>661</v>
      </c>
      <c r="Y14" s="206" t="s">
        <v>657</v>
      </c>
      <c r="Z14" s="206" t="s">
        <v>657</v>
      </c>
      <c r="AA14" s="206" t="s">
        <v>657</v>
      </c>
      <c r="AB14" s="206" t="s">
        <v>657</v>
      </c>
      <c r="AC14" s="206" t="s">
        <v>657</v>
      </c>
      <c r="AD14" s="206" t="s">
        <v>657</v>
      </c>
      <c r="AE14" s="206" t="s">
        <v>657</v>
      </c>
      <c r="AF14" s="206" t="s">
        <v>657</v>
      </c>
    </row>
    <row r="15" spans="2:32" s="39" customFormat="1" ht="15.75" customHeight="1" x14ac:dyDescent="0.3">
      <c r="B15" s="209" t="s">
        <v>179</v>
      </c>
      <c r="C15" s="208" t="str">
        <f>LOOKUP(B15, TRA_COMM_PRO!$C$6:$C$189, TRA_COMM_PRO!$D$6:$D$189)</f>
        <v>Aviation.Domestic.01.</v>
      </c>
      <c r="D15" s="209" t="s">
        <v>181</v>
      </c>
      <c r="E15" s="209"/>
      <c r="F15" s="209">
        <f>H14</f>
        <v>2019</v>
      </c>
      <c r="G15" s="209"/>
      <c r="H15" s="108">
        <f>$H$14</f>
        <v>2019</v>
      </c>
      <c r="I15" s="138">
        <v>30</v>
      </c>
      <c r="J15" s="65">
        <v>1E-3</v>
      </c>
      <c r="K15" s="141">
        <v>85.92</v>
      </c>
      <c r="L15" s="140"/>
      <c r="M15" s="97">
        <v>0.5</v>
      </c>
      <c r="N15" s="164"/>
      <c r="O15" s="164"/>
      <c r="P15" s="164"/>
      <c r="Q15" s="164"/>
      <c r="R15" s="164"/>
      <c r="S15" s="105">
        <v>1000</v>
      </c>
      <c r="T15" s="97"/>
      <c r="U15" s="97"/>
      <c r="V15" s="139"/>
      <c r="W15" s="139"/>
      <c r="X15" s="139">
        <f>FIXOM_VAROM!D9</f>
        <v>0</v>
      </c>
      <c r="Y15" s="138">
        <f>INVCOST!D9</f>
        <v>7777</v>
      </c>
      <c r="Z15" s="138">
        <f>INVCOST!E9</f>
        <v>7777</v>
      </c>
      <c r="AA15" s="138">
        <f>INVCOST!F9</f>
        <v>7777</v>
      </c>
      <c r="AB15" s="138">
        <f>INVCOST!G9</f>
        <v>7777</v>
      </c>
      <c r="AC15" s="138">
        <f>INVCOST!H9</f>
        <v>7777</v>
      </c>
      <c r="AD15" s="138">
        <f>INVCOST!I9</f>
        <v>7777</v>
      </c>
      <c r="AE15" s="138">
        <f>INVCOST!J9</f>
        <v>7777</v>
      </c>
      <c r="AF15" s="138">
        <f>INVCOST!K9</f>
        <v>7777</v>
      </c>
    </row>
    <row r="16" spans="2:32" s="39" customFormat="1" ht="15.75" customHeight="1" x14ac:dyDescent="0.3">
      <c r="B16" s="209"/>
      <c r="C16" s="209"/>
      <c r="D16" s="209" t="s">
        <v>652</v>
      </c>
      <c r="E16" s="209"/>
      <c r="F16" s="209"/>
      <c r="G16" s="209"/>
      <c r="H16" s="97"/>
      <c r="I16" s="139"/>
      <c r="J16" s="139"/>
      <c r="K16" s="142"/>
      <c r="L16" s="139"/>
      <c r="M16" s="97"/>
      <c r="N16" s="141"/>
      <c r="O16" s="141"/>
      <c r="P16" s="141"/>
      <c r="Q16" s="97"/>
      <c r="R16" s="97"/>
      <c r="S16" s="97"/>
      <c r="T16" s="97"/>
      <c r="U16" s="97"/>
      <c r="V16" s="139"/>
      <c r="W16" s="139"/>
      <c r="X16" s="139"/>
      <c r="Y16" s="139"/>
      <c r="Z16" s="139"/>
      <c r="AA16" s="139"/>
      <c r="AB16" s="139"/>
      <c r="AC16" s="139"/>
      <c r="AD16" s="139"/>
      <c r="AE16" s="97"/>
      <c r="AF16" s="97"/>
    </row>
    <row r="17" spans="2:32" s="39" customFormat="1" ht="15.75" customHeight="1" x14ac:dyDescent="0.3">
      <c r="B17" s="209"/>
      <c r="C17" s="209"/>
      <c r="D17" s="209"/>
      <c r="E17" s="209"/>
      <c r="F17" s="209"/>
      <c r="G17" s="209" t="s">
        <v>182</v>
      </c>
      <c r="H17" s="97"/>
      <c r="I17" s="138"/>
      <c r="J17" s="139"/>
      <c r="K17" s="143"/>
      <c r="L17" s="143"/>
      <c r="M17" s="97"/>
      <c r="N17" s="278">
        <f>LOOKUP($B$15, CEFF!$C$8:$C$147, CEFF!F$8:F$147)</f>
        <v>5.0000000000000001E-3</v>
      </c>
      <c r="O17" s="278">
        <f>LOOKUP($B$15, CEFF!$C$8:$C$147, CEFF!G$8:G$147)</f>
        <v>5.2100000000000002E-3</v>
      </c>
      <c r="P17" s="278">
        <f>LOOKUP($B$15, CEFF!$C$8:$C$147, CEFF!H$8:H$147)</f>
        <v>5.5599999999999998E-3</v>
      </c>
      <c r="Q17" s="278">
        <f>LOOKUP($B$15, CEFF!$C$8:$C$147, CEFF!I$8:I$147)</f>
        <v>5.8799999999999998E-3</v>
      </c>
      <c r="R17" s="278">
        <f>LOOKUP($B$15, CEFF!$C$8:$C$147, CEFF!J$8:J$147)</f>
        <v>6.2500000000000003E-3</v>
      </c>
      <c r="S17" s="97"/>
      <c r="T17" s="97"/>
      <c r="U17" s="97"/>
      <c r="V17" s="139"/>
      <c r="W17" s="139"/>
      <c r="X17" s="139"/>
      <c r="Y17" s="139"/>
      <c r="Z17" s="139"/>
      <c r="AA17" s="139"/>
      <c r="AB17" s="139"/>
      <c r="AC17" s="139"/>
      <c r="AD17" s="139"/>
      <c r="AE17" s="97"/>
      <c r="AF17" s="97"/>
    </row>
    <row r="18" spans="2:32" s="39" customFormat="1" ht="15.75" customHeight="1" x14ac:dyDescent="0.3">
      <c r="B18" s="213"/>
      <c r="C18" s="213"/>
      <c r="D18" s="213"/>
      <c r="E18" s="213"/>
      <c r="F18" s="213"/>
      <c r="G18" s="213" t="s">
        <v>373</v>
      </c>
      <c r="H18" s="172"/>
      <c r="I18" s="173"/>
      <c r="J18" s="174"/>
      <c r="K18" s="175"/>
      <c r="L18" s="175"/>
      <c r="M18" s="172"/>
      <c r="N18" s="282">
        <f>LOOKUP($B$15, CEFF!$C$8:$C$147, CEFF!F$8:F$147)</f>
        <v>5.0000000000000001E-3</v>
      </c>
      <c r="O18" s="282">
        <f>LOOKUP($B$15, CEFF!$C$8:$C$147, CEFF!G$8:G$147)</f>
        <v>5.2100000000000002E-3</v>
      </c>
      <c r="P18" s="282">
        <f>LOOKUP($B$15, CEFF!$C$8:$C$147, CEFF!H$8:H$147)</f>
        <v>5.5599999999999998E-3</v>
      </c>
      <c r="Q18" s="282">
        <f>LOOKUP($B$15, CEFF!$C$8:$C$147, CEFF!I$8:I$147)</f>
        <v>5.8799999999999998E-3</v>
      </c>
      <c r="R18" s="282">
        <f>LOOKUP($B$15, CEFF!$C$8:$C$147, CEFF!J$8:J$147)</f>
        <v>6.2500000000000003E-3</v>
      </c>
      <c r="S18" s="172"/>
      <c r="T18" s="172"/>
      <c r="U18" s="172"/>
      <c r="V18" s="174"/>
      <c r="W18" s="174"/>
      <c r="X18" s="174"/>
      <c r="Y18" s="174"/>
      <c r="Z18" s="174"/>
      <c r="AA18" s="174"/>
      <c r="AB18" s="174"/>
      <c r="AC18" s="174"/>
      <c r="AD18" s="174"/>
      <c r="AE18" s="172"/>
      <c r="AF18" s="172"/>
    </row>
    <row r="19" spans="2:32" s="39" customFormat="1" ht="15.75" customHeight="1" x14ac:dyDescent="0.3">
      <c r="I19" s="58"/>
      <c r="J19" s="38"/>
      <c r="K19" s="47"/>
      <c r="L19" s="47"/>
      <c r="N19" s="36"/>
      <c r="O19" s="36"/>
      <c r="P19" s="36"/>
      <c r="V19" s="38"/>
      <c r="W19" s="38"/>
      <c r="X19" s="38"/>
      <c r="Y19" s="38"/>
      <c r="Z19" s="38"/>
      <c r="AA19" s="38"/>
      <c r="AB19" s="38"/>
      <c r="AC19" s="38"/>
      <c r="AD19" s="38"/>
    </row>
    <row r="20" spans="2:32" ht="15.75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7"/>
  <sheetViews>
    <sheetView zoomScale="75" zoomScaleNormal="75" workbookViewId="0">
      <selection activeCell="K2" sqref="K2"/>
    </sheetView>
  </sheetViews>
  <sheetFormatPr defaultRowHeight="14.4" x14ac:dyDescent="0.3"/>
  <cols>
    <col min="2" max="2" width="22.109375" bestFit="1" customWidth="1"/>
    <col min="3" max="3" width="38.5546875" bestFit="1" customWidth="1"/>
    <col min="4" max="4" width="9.44140625" bestFit="1" customWidth="1"/>
    <col min="5" max="5" width="11.44140625" bestFit="1" customWidth="1"/>
    <col min="6" max="6" width="11.44140625" customWidth="1"/>
    <col min="7" max="7" width="11.109375" bestFit="1" customWidth="1"/>
    <col min="8" max="8" width="9.88671875" bestFit="1" customWidth="1"/>
    <col min="9" max="9" width="6.44140625" customWidth="1"/>
    <col min="10" max="10" width="10.6640625" customWidth="1"/>
    <col min="11" max="11" width="14.33203125" bestFit="1" customWidth="1"/>
    <col min="12" max="13" width="12.109375" bestFit="1" customWidth="1"/>
    <col min="14" max="18" width="11" customWidth="1"/>
    <col min="19" max="22" width="13.6640625" customWidth="1"/>
    <col min="23" max="23" width="10.44140625" customWidth="1"/>
    <col min="24" max="24" width="9.88671875" customWidth="1"/>
    <col min="25" max="32" width="15" customWidth="1"/>
  </cols>
  <sheetData>
    <row r="2" spans="2:32" ht="15.75" customHeight="1" x14ac:dyDescent="0.3"/>
    <row r="3" spans="2:32" ht="15.75" customHeight="1" x14ac:dyDescent="0.3">
      <c r="B3" s="6" t="s">
        <v>635</v>
      </c>
      <c r="C3" s="7"/>
      <c r="D3" s="81"/>
      <c r="E3" s="8"/>
      <c r="F3" s="8"/>
      <c r="G3" s="9" t="s">
        <v>1</v>
      </c>
      <c r="H3" s="9"/>
      <c r="K3" s="4"/>
      <c r="L3" s="39"/>
      <c r="M3" s="39"/>
      <c r="N3" s="39"/>
      <c r="O3" s="39"/>
    </row>
    <row r="4" spans="2:32" x14ac:dyDescent="0.3">
      <c r="B4" s="199" t="s">
        <v>2</v>
      </c>
      <c r="C4" s="199" t="s">
        <v>3</v>
      </c>
      <c r="D4" s="199" t="s">
        <v>4</v>
      </c>
      <c r="E4" s="199" t="s">
        <v>5</v>
      </c>
      <c r="F4" s="199" t="s">
        <v>686</v>
      </c>
      <c r="G4" s="200" t="s">
        <v>6</v>
      </c>
      <c r="H4" s="200" t="s">
        <v>186</v>
      </c>
      <c r="I4" s="201" t="s">
        <v>185</v>
      </c>
      <c r="J4" s="201" t="s">
        <v>11</v>
      </c>
      <c r="K4" s="200" t="s">
        <v>12</v>
      </c>
      <c r="L4" s="200" t="s">
        <v>7</v>
      </c>
      <c r="M4" s="200" t="s">
        <v>8</v>
      </c>
      <c r="N4" s="201" t="s">
        <v>688</v>
      </c>
      <c r="O4" s="201" t="s">
        <v>321</v>
      </c>
      <c r="P4" s="201" t="s">
        <v>322</v>
      </c>
      <c r="Q4" s="201" t="s">
        <v>9</v>
      </c>
      <c r="R4" s="201" t="s">
        <v>10</v>
      </c>
      <c r="S4" s="201" t="s">
        <v>687</v>
      </c>
      <c r="T4" s="201" t="s">
        <v>448</v>
      </c>
      <c r="U4" s="201" t="s">
        <v>13</v>
      </c>
      <c r="V4" s="201" t="s">
        <v>382</v>
      </c>
      <c r="W4" s="201" t="s">
        <v>42</v>
      </c>
      <c r="X4" s="201" t="s">
        <v>14</v>
      </c>
      <c r="Y4" s="201" t="s">
        <v>381</v>
      </c>
      <c r="Z4" s="201" t="s">
        <v>15</v>
      </c>
      <c r="AA4" s="201" t="s">
        <v>16</v>
      </c>
      <c r="AB4" s="201" t="s">
        <v>17</v>
      </c>
      <c r="AC4" s="201" t="s">
        <v>18</v>
      </c>
      <c r="AD4" s="201" t="s">
        <v>19</v>
      </c>
      <c r="AE4" s="201" t="s">
        <v>20</v>
      </c>
      <c r="AF4" s="201" t="s">
        <v>21</v>
      </c>
    </row>
    <row r="5" spans="2:32" ht="29.4" thickBot="1" x14ac:dyDescent="0.35">
      <c r="B5" s="202" t="s">
        <v>22</v>
      </c>
      <c r="C5" s="202"/>
      <c r="D5" s="202"/>
      <c r="E5" s="202"/>
      <c r="F5" s="202"/>
      <c r="G5" s="203" t="s">
        <v>23</v>
      </c>
      <c r="H5" s="203">
        <v>2019</v>
      </c>
      <c r="I5" s="203" t="s">
        <v>26</v>
      </c>
      <c r="J5" s="206" t="s">
        <v>543</v>
      </c>
      <c r="K5" s="204" t="s">
        <v>636</v>
      </c>
      <c r="L5" s="203"/>
      <c r="M5" s="203"/>
      <c r="N5" s="205" t="s">
        <v>653</v>
      </c>
      <c r="O5" s="205" t="s">
        <v>653</v>
      </c>
      <c r="P5" s="205" t="s">
        <v>653</v>
      </c>
      <c r="Q5" s="205" t="s">
        <v>653</v>
      </c>
      <c r="R5" s="205" t="s">
        <v>653</v>
      </c>
      <c r="S5" s="204" t="s">
        <v>658</v>
      </c>
      <c r="T5" s="204" t="s">
        <v>658</v>
      </c>
      <c r="U5" s="204" t="s">
        <v>658</v>
      </c>
      <c r="V5" s="204" t="s">
        <v>658</v>
      </c>
      <c r="W5" s="206" t="s">
        <v>662</v>
      </c>
      <c r="X5" s="206" t="s">
        <v>661</v>
      </c>
      <c r="Y5" s="206" t="s">
        <v>657</v>
      </c>
      <c r="Z5" s="206" t="s">
        <v>657</v>
      </c>
      <c r="AA5" s="206" t="s">
        <v>657</v>
      </c>
      <c r="AB5" s="206" t="s">
        <v>657</v>
      </c>
      <c r="AC5" s="206" t="s">
        <v>657</v>
      </c>
      <c r="AD5" s="206" t="s">
        <v>657</v>
      </c>
      <c r="AE5" s="206" t="s">
        <v>657</v>
      </c>
      <c r="AF5" s="206" t="s">
        <v>657</v>
      </c>
    </row>
    <row r="6" spans="2:32" s="39" customFormat="1" ht="15.75" customHeight="1" x14ac:dyDescent="0.3">
      <c r="B6" s="209" t="s">
        <v>270</v>
      </c>
      <c r="C6" s="208" t="str">
        <f>LOOKUP(B6, TRA_COMM_PRO!$C$6:$C$189, TRA_COMM_PRO!$D$6:$D$189)</f>
        <v>Navigation.Generic.Passenger.01.</v>
      </c>
      <c r="D6" s="209" t="s">
        <v>189</v>
      </c>
      <c r="E6" s="209"/>
      <c r="F6" s="209">
        <f>$H$5</f>
        <v>2019</v>
      </c>
      <c r="G6" s="209"/>
      <c r="H6" s="108">
        <f>H5</f>
        <v>2019</v>
      </c>
      <c r="I6" s="138">
        <v>60</v>
      </c>
      <c r="J6" s="65">
        <v>1E-3</v>
      </c>
      <c r="K6" s="141">
        <v>999</v>
      </c>
      <c r="L6" s="140"/>
      <c r="M6" s="97"/>
      <c r="N6" s="164"/>
      <c r="O6" s="164"/>
      <c r="P6" s="164"/>
      <c r="Q6" s="164"/>
      <c r="R6" s="164"/>
      <c r="S6" s="105">
        <v>10</v>
      </c>
      <c r="T6" s="97"/>
      <c r="U6" s="97"/>
      <c r="V6" s="139"/>
      <c r="W6" s="139"/>
      <c r="X6" s="139"/>
      <c r="Y6" s="40">
        <f>LOOKUP($B6, INVCOST!$C$8:$C$193, INVCOST!D$8:D$193)</f>
        <v>8888</v>
      </c>
      <c r="Z6" s="40">
        <f>LOOKUP($B6, INVCOST!$C$8:$C$193, INVCOST!E$8:E$193)</f>
        <v>8888</v>
      </c>
      <c r="AA6" s="40">
        <f>LOOKUP($B6, INVCOST!$C$8:$C$193, INVCOST!F$8:F$193)</f>
        <v>8888</v>
      </c>
      <c r="AB6" s="40">
        <f>LOOKUP($B6, INVCOST!$C$8:$C$193, INVCOST!G$8:G$193)</f>
        <v>8888</v>
      </c>
      <c r="AC6" s="40">
        <f>LOOKUP($B6, INVCOST!$C$8:$C$193, INVCOST!H$8:H$193)</f>
        <v>8888</v>
      </c>
      <c r="AD6" s="40">
        <f>LOOKUP($B6, INVCOST!$C$8:$C$193, INVCOST!I$8:I$193)</f>
        <v>8888</v>
      </c>
      <c r="AE6" s="40">
        <f>LOOKUP($B6, INVCOST!$C$8:$C$193, INVCOST!J$8:J$193)</f>
        <v>8888</v>
      </c>
      <c r="AF6" s="40">
        <f>LOOKUP($B6, INVCOST!$C$8:$C$193, INVCOST!K$8:K$193)</f>
        <v>8888</v>
      </c>
    </row>
    <row r="7" spans="2:32" s="39" customFormat="1" ht="15.75" customHeight="1" x14ac:dyDescent="0.3">
      <c r="B7" s="209"/>
      <c r="C7" s="209"/>
      <c r="D7" s="209" t="s">
        <v>637</v>
      </c>
      <c r="E7" s="209"/>
      <c r="F7" s="209"/>
      <c r="G7" s="209"/>
      <c r="H7" s="97"/>
      <c r="I7" s="139"/>
      <c r="J7" s="139"/>
      <c r="K7" s="142"/>
      <c r="L7" s="139"/>
      <c r="M7" s="97"/>
      <c r="N7" s="141"/>
      <c r="O7" s="141"/>
      <c r="P7" s="141"/>
      <c r="Q7" s="105"/>
      <c r="R7" s="105"/>
      <c r="S7" s="97"/>
      <c r="T7" s="97"/>
      <c r="U7" s="97"/>
      <c r="V7" s="139"/>
      <c r="W7" s="139"/>
      <c r="X7" s="139"/>
      <c r="Y7" s="139"/>
      <c r="Z7" s="139"/>
      <c r="AA7" s="139"/>
      <c r="AB7" s="139"/>
      <c r="AC7" s="139"/>
      <c r="AD7" s="139"/>
      <c r="AE7" s="97"/>
      <c r="AF7" s="97"/>
    </row>
    <row r="8" spans="2:32" s="39" customFormat="1" ht="15.75" customHeight="1" x14ac:dyDescent="0.3">
      <c r="B8" s="209"/>
      <c r="C8" s="209"/>
      <c r="D8" s="209"/>
      <c r="E8" s="209"/>
      <c r="F8" s="209"/>
      <c r="G8" s="209" t="s">
        <v>640</v>
      </c>
      <c r="H8" s="97"/>
      <c r="I8" s="138"/>
      <c r="J8" s="139"/>
      <c r="K8" s="143"/>
      <c r="L8" s="143"/>
      <c r="M8" s="97"/>
      <c r="N8" s="277">
        <f>LOOKUP($B$6, CEFF!$C$8:$C$156, CEFF!F$8:F$156)</f>
        <v>1.7000000000000001E-4</v>
      </c>
      <c r="O8" s="277">
        <f>LOOKUP($B$6, CEFF!$C$8:$C$156, CEFF!G$8:G$156)</f>
        <v>1.7000000000000001E-4</v>
      </c>
      <c r="P8" s="277">
        <f>LOOKUP($B$6, CEFF!$C$8:$C$156, CEFF!H$8:H$156)</f>
        <v>1.7000000000000001E-4</v>
      </c>
      <c r="Q8" s="277">
        <f>LOOKUP($B$6, CEFF!$C$8:$C$156, CEFF!I$8:I$156)</f>
        <v>1.7000000000000001E-4</v>
      </c>
      <c r="R8" s="277">
        <f>LOOKUP($B$6, CEFF!$C$8:$C$156, CEFF!J$8:J$156)</f>
        <v>1.7000000000000001E-4</v>
      </c>
      <c r="S8" s="97"/>
      <c r="T8" s="97"/>
      <c r="U8" s="97"/>
      <c r="V8" s="139"/>
      <c r="W8" s="139"/>
      <c r="X8" s="139"/>
      <c r="Y8" s="139"/>
      <c r="Z8" s="139"/>
      <c r="AA8" s="139"/>
      <c r="AB8" s="139"/>
      <c r="AC8" s="139"/>
      <c r="AD8" s="139"/>
      <c r="AE8" s="97"/>
      <c r="AF8" s="97"/>
    </row>
    <row r="9" spans="2:32" s="39" customFormat="1" ht="15.75" customHeight="1" x14ac:dyDescent="0.3">
      <c r="B9" s="213"/>
      <c r="C9" s="213"/>
      <c r="D9" s="213"/>
      <c r="E9" s="213"/>
      <c r="F9" s="213"/>
      <c r="G9" s="213" t="s">
        <v>641</v>
      </c>
      <c r="H9" s="172"/>
      <c r="I9" s="173"/>
      <c r="J9" s="174"/>
      <c r="K9" s="175"/>
      <c r="L9" s="175"/>
      <c r="M9" s="172"/>
      <c r="N9" s="281">
        <f>LOOKUP($B$6, CEFF!$C$8:$C$156, CEFF!F$8:F$156)</f>
        <v>1.7000000000000001E-4</v>
      </c>
      <c r="O9" s="281">
        <f>LOOKUP($B$6, CEFF!$C$8:$C$156, CEFF!G$8:G$156)</f>
        <v>1.7000000000000001E-4</v>
      </c>
      <c r="P9" s="281">
        <f>LOOKUP($B$6, CEFF!$C$8:$C$156, CEFF!H$8:H$156)</f>
        <v>1.7000000000000001E-4</v>
      </c>
      <c r="Q9" s="281">
        <f>LOOKUP($B$6, CEFF!$C$8:$C$156, CEFF!I$8:I$156)</f>
        <v>1.7000000000000001E-4</v>
      </c>
      <c r="R9" s="281">
        <f>LOOKUP($B$6, CEFF!$C$8:$C$156, CEFF!J$8:J$156)</f>
        <v>1.7000000000000001E-4</v>
      </c>
      <c r="S9" s="172"/>
      <c r="T9" s="172"/>
      <c r="U9" s="172"/>
      <c r="V9" s="174"/>
      <c r="W9" s="174"/>
      <c r="X9" s="174"/>
      <c r="Y9" s="174"/>
      <c r="Z9" s="174"/>
      <c r="AA9" s="174"/>
      <c r="AB9" s="174"/>
      <c r="AC9" s="174"/>
      <c r="AD9" s="174"/>
      <c r="AE9" s="172"/>
      <c r="AF9" s="172"/>
    </row>
    <row r="10" spans="2:32" s="39" customFormat="1" ht="15.75" customHeight="1" x14ac:dyDescent="0.3">
      <c r="I10" s="58"/>
      <c r="J10" s="38"/>
      <c r="K10" s="47"/>
      <c r="L10" s="47"/>
      <c r="N10" s="36"/>
      <c r="O10" s="36"/>
      <c r="P10" s="36"/>
      <c r="Q10" s="197"/>
      <c r="R10" s="197"/>
      <c r="V10" s="38"/>
      <c r="W10" s="38"/>
      <c r="X10" s="38"/>
      <c r="Y10" s="38"/>
      <c r="Z10" s="38"/>
      <c r="AA10" s="38"/>
      <c r="AB10" s="38"/>
      <c r="AC10" s="38"/>
      <c r="AD10" s="38"/>
    </row>
    <row r="11" spans="2:32" ht="15.75" customHeight="1" x14ac:dyDescent="0.3"/>
    <row r="12" spans="2:32" ht="15.75" customHeight="1" x14ac:dyDescent="0.3">
      <c r="B12" s="6" t="s">
        <v>635</v>
      </c>
      <c r="C12" s="7"/>
      <c r="D12" s="81"/>
      <c r="E12" s="8"/>
      <c r="F12" s="8"/>
      <c r="G12" s="9" t="s">
        <v>1</v>
      </c>
      <c r="H12" s="9"/>
      <c r="K12" s="4"/>
      <c r="L12" s="39"/>
      <c r="M12" s="39"/>
      <c r="N12" s="39"/>
      <c r="O12" s="39"/>
    </row>
    <row r="13" spans="2:32" x14ac:dyDescent="0.3">
      <c r="B13" s="199" t="s">
        <v>2</v>
      </c>
      <c r="C13" s="199" t="s">
        <v>3</v>
      </c>
      <c r="D13" s="199" t="s">
        <v>4</v>
      </c>
      <c r="E13" s="199" t="s">
        <v>5</v>
      </c>
      <c r="F13" s="199" t="s">
        <v>686</v>
      </c>
      <c r="G13" s="200" t="s">
        <v>6</v>
      </c>
      <c r="H13" s="200" t="s">
        <v>186</v>
      </c>
      <c r="I13" s="201" t="s">
        <v>185</v>
      </c>
      <c r="J13" s="201" t="s">
        <v>11</v>
      </c>
      <c r="K13" s="200" t="s">
        <v>12</v>
      </c>
      <c r="L13" s="200" t="s">
        <v>7</v>
      </c>
      <c r="M13" s="200" t="s">
        <v>8</v>
      </c>
      <c r="N13" s="201" t="s">
        <v>688</v>
      </c>
      <c r="O13" s="201" t="s">
        <v>321</v>
      </c>
      <c r="P13" s="201" t="s">
        <v>322</v>
      </c>
      <c r="Q13" s="201" t="s">
        <v>9</v>
      </c>
      <c r="R13" s="201" t="s">
        <v>10</v>
      </c>
      <c r="S13" s="201" t="s">
        <v>687</v>
      </c>
      <c r="T13" s="201" t="s">
        <v>448</v>
      </c>
      <c r="U13" s="201" t="s">
        <v>13</v>
      </c>
      <c r="V13" s="201" t="s">
        <v>382</v>
      </c>
      <c r="W13" s="201" t="s">
        <v>42</v>
      </c>
      <c r="X13" s="201" t="s">
        <v>14</v>
      </c>
      <c r="Y13" s="201" t="s">
        <v>381</v>
      </c>
      <c r="Z13" s="201" t="s">
        <v>15</v>
      </c>
      <c r="AA13" s="201" t="s">
        <v>16</v>
      </c>
      <c r="AB13" s="201" t="s">
        <v>17</v>
      </c>
      <c r="AC13" s="201" t="s">
        <v>18</v>
      </c>
      <c r="AD13" s="201" t="s">
        <v>19</v>
      </c>
      <c r="AE13" s="201" t="s">
        <v>20</v>
      </c>
      <c r="AF13" s="201" t="s">
        <v>21</v>
      </c>
    </row>
    <row r="14" spans="2:32" ht="29.4" thickBot="1" x14ac:dyDescent="0.35">
      <c r="B14" s="202" t="s">
        <v>22</v>
      </c>
      <c r="C14" s="202"/>
      <c r="D14" s="202"/>
      <c r="E14" s="202"/>
      <c r="F14" s="202"/>
      <c r="G14" s="203" t="s">
        <v>23</v>
      </c>
      <c r="H14" s="203">
        <v>2019</v>
      </c>
      <c r="I14" s="203" t="s">
        <v>26</v>
      </c>
      <c r="J14" s="206" t="s">
        <v>543</v>
      </c>
      <c r="K14" s="204" t="s">
        <v>636</v>
      </c>
      <c r="L14" s="203"/>
      <c r="M14" s="203"/>
      <c r="N14" s="205" t="s">
        <v>653</v>
      </c>
      <c r="O14" s="205" t="s">
        <v>653</v>
      </c>
      <c r="P14" s="205" t="s">
        <v>653</v>
      </c>
      <c r="Q14" s="205" t="s">
        <v>653</v>
      </c>
      <c r="R14" s="205" t="s">
        <v>653</v>
      </c>
      <c r="S14" s="204" t="s">
        <v>658</v>
      </c>
      <c r="T14" s="204" t="s">
        <v>658</v>
      </c>
      <c r="U14" s="204" t="s">
        <v>658</v>
      </c>
      <c r="V14" s="204" t="s">
        <v>658</v>
      </c>
      <c r="W14" s="206" t="s">
        <v>662</v>
      </c>
      <c r="X14" s="206" t="s">
        <v>661</v>
      </c>
      <c r="Y14" s="206" t="s">
        <v>657</v>
      </c>
      <c r="Z14" s="206" t="s">
        <v>657</v>
      </c>
      <c r="AA14" s="206" t="s">
        <v>657</v>
      </c>
      <c r="AB14" s="206" t="s">
        <v>657</v>
      </c>
      <c r="AC14" s="206" t="s">
        <v>657</v>
      </c>
      <c r="AD14" s="206" t="s">
        <v>657</v>
      </c>
      <c r="AE14" s="206" t="s">
        <v>657</v>
      </c>
      <c r="AF14" s="206" t="s">
        <v>657</v>
      </c>
    </row>
    <row r="15" spans="2:32" s="39" customFormat="1" ht="15.75" customHeight="1" x14ac:dyDescent="0.3">
      <c r="B15" s="209" t="s">
        <v>187</v>
      </c>
      <c r="C15" s="208" t="str">
        <f>LOOKUP(B15, TRA_COMM_PRO!$C$6:$C$189, TRA_COMM_PRO!$D$6:$D$189)</f>
        <v>Navigation.Generic.Bunker.01.</v>
      </c>
      <c r="D15" s="209" t="s">
        <v>189</v>
      </c>
      <c r="E15" s="209"/>
      <c r="F15" s="209">
        <f>$H$5</f>
        <v>2019</v>
      </c>
      <c r="G15" s="209"/>
      <c r="H15" s="108">
        <f>$H$14</f>
        <v>2019</v>
      </c>
      <c r="I15" s="138">
        <v>60</v>
      </c>
      <c r="J15" s="65">
        <v>1E-3</v>
      </c>
      <c r="K15" s="141">
        <v>20000</v>
      </c>
      <c r="L15" s="140"/>
      <c r="M15" s="97"/>
      <c r="N15" s="164"/>
      <c r="O15" s="164"/>
      <c r="P15" s="164"/>
      <c r="Q15" s="164"/>
      <c r="R15" s="164"/>
      <c r="S15" s="105">
        <v>10</v>
      </c>
      <c r="T15" s="97"/>
      <c r="U15" s="97"/>
      <c r="V15" s="139"/>
      <c r="W15" s="139"/>
      <c r="X15" s="139"/>
      <c r="Y15" s="40">
        <f>LOOKUP($B15, INVCOST!$C$8:$C$193, INVCOST!D$8:D$193)</f>
        <v>8888</v>
      </c>
      <c r="Z15" s="40">
        <f>LOOKUP($B15, INVCOST!$C$8:$C$193, INVCOST!E$8:E$193)</f>
        <v>8888</v>
      </c>
      <c r="AA15" s="40">
        <f>LOOKUP($B15, INVCOST!$C$8:$C$193, INVCOST!F$8:F$193)</f>
        <v>8888</v>
      </c>
      <c r="AB15" s="40">
        <f>LOOKUP($B15, INVCOST!$C$8:$C$193, INVCOST!G$8:G$193)</f>
        <v>8888</v>
      </c>
      <c r="AC15" s="40">
        <f>LOOKUP($B15, INVCOST!$C$8:$C$193, INVCOST!H$8:H$193)</f>
        <v>8888</v>
      </c>
      <c r="AD15" s="40">
        <f>LOOKUP($B15, INVCOST!$C$8:$C$193, INVCOST!I$8:I$193)</f>
        <v>8888</v>
      </c>
      <c r="AE15" s="40">
        <f>LOOKUP($B15, INVCOST!$C$8:$C$193, INVCOST!J$8:J$193)</f>
        <v>8888</v>
      </c>
      <c r="AF15" s="40">
        <f>LOOKUP($B15, INVCOST!$C$8:$C$193, INVCOST!K$8:K$193)</f>
        <v>8888</v>
      </c>
    </row>
    <row r="16" spans="2:32" s="39" customFormat="1" ht="15.75" customHeight="1" x14ac:dyDescent="0.3">
      <c r="B16" s="209"/>
      <c r="C16" s="209"/>
      <c r="D16" s="209" t="s">
        <v>637</v>
      </c>
      <c r="E16" s="209"/>
      <c r="F16" s="209"/>
      <c r="G16" s="209"/>
      <c r="H16" s="97"/>
      <c r="I16" s="139"/>
      <c r="J16" s="139"/>
      <c r="K16" s="142"/>
      <c r="L16" s="139"/>
      <c r="M16" s="97"/>
      <c r="N16" s="141"/>
      <c r="O16" s="141"/>
      <c r="P16" s="141"/>
      <c r="Q16" s="105"/>
      <c r="R16" s="105"/>
      <c r="S16" s="97"/>
      <c r="T16" s="97"/>
      <c r="U16" s="97"/>
      <c r="V16" s="139"/>
      <c r="W16" s="139"/>
      <c r="X16" s="139"/>
      <c r="Y16" s="139"/>
      <c r="Z16" s="139"/>
      <c r="AA16" s="139"/>
      <c r="AB16" s="139"/>
      <c r="AC16" s="139"/>
      <c r="AD16" s="139"/>
      <c r="AE16" s="97"/>
      <c r="AF16" s="97"/>
    </row>
    <row r="17" spans="2:32" s="39" customFormat="1" ht="15.75" customHeight="1" x14ac:dyDescent="0.3">
      <c r="B17" s="209"/>
      <c r="C17" s="209"/>
      <c r="D17" s="209"/>
      <c r="E17" s="209"/>
      <c r="F17" s="209"/>
      <c r="G17" s="209" t="s">
        <v>190</v>
      </c>
      <c r="H17" s="97"/>
      <c r="I17" s="138"/>
      <c r="J17" s="139"/>
      <c r="K17" s="143"/>
      <c r="L17" s="143"/>
      <c r="M17" s="97"/>
      <c r="N17" s="277">
        <f>LOOKUP($B$15, CEFF!$C$8:$C$156, CEFF!F$8:F$156)</f>
        <v>1.7000000000000001E-4</v>
      </c>
      <c r="O17" s="277">
        <f>LOOKUP($B$15, CEFF!$C$8:$C$156, CEFF!G$8:G$156)</f>
        <v>1.7000000000000001E-4</v>
      </c>
      <c r="P17" s="277">
        <f>LOOKUP($B$15, CEFF!$C$8:$C$156, CEFF!H$8:H$156)</f>
        <v>1.7000000000000001E-4</v>
      </c>
      <c r="Q17" s="277">
        <f>LOOKUP($B$15, CEFF!$C$8:$C$156, CEFF!I$8:I$156)</f>
        <v>1.7000000000000001E-4</v>
      </c>
      <c r="R17" s="277">
        <f>LOOKUP($B$15, CEFF!$C$8:$C$156, CEFF!J$8:J$156)</f>
        <v>1.7000000000000001E-4</v>
      </c>
      <c r="S17" s="97"/>
      <c r="T17" s="97"/>
      <c r="U17" s="97"/>
      <c r="V17" s="139"/>
      <c r="W17" s="139"/>
      <c r="X17" s="139"/>
      <c r="Y17" s="139"/>
      <c r="Z17" s="139"/>
      <c r="AA17" s="139"/>
      <c r="AB17" s="139"/>
      <c r="AC17" s="139"/>
      <c r="AD17" s="139"/>
      <c r="AE17" s="97"/>
      <c r="AF17" s="97"/>
    </row>
    <row r="18" spans="2:32" s="39" customFormat="1" ht="15.75" customHeight="1" x14ac:dyDescent="0.3">
      <c r="B18" s="213"/>
      <c r="C18" s="213"/>
      <c r="D18" s="213"/>
      <c r="E18" s="213"/>
      <c r="F18" s="213"/>
      <c r="G18" s="213" t="s">
        <v>383</v>
      </c>
      <c r="H18" s="172"/>
      <c r="I18" s="173"/>
      <c r="J18" s="174"/>
      <c r="K18" s="175"/>
      <c r="L18" s="175"/>
      <c r="M18" s="172"/>
      <c r="N18" s="281">
        <f>LOOKUP($B$15, CEFF!$C$8:$C$156, CEFF!F$8:F$156)</f>
        <v>1.7000000000000001E-4</v>
      </c>
      <c r="O18" s="281">
        <f>LOOKUP($B$15, CEFF!$C$8:$C$156, CEFF!G$8:G$156)</f>
        <v>1.7000000000000001E-4</v>
      </c>
      <c r="P18" s="281">
        <f>LOOKUP($B$15, CEFF!$C$8:$C$156, CEFF!H$8:H$156)</f>
        <v>1.7000000000000001E-4</v>
      </c>
      <c r="Q18" s="281">
        <f>LOOKUP($B$15, CEFF!$C$8:$C$156, CEFF!I$8:I$156)</f>
        <v>1.7000000000000001E-4</v>
      </c>
      <c r="R18" s="281">
        <f>LOOKUP($B$15, CEFF!$C$8:$C$156, CEFF!J$8:J$156)</f>
        <v>1.7000000000000001E-4</v>
      </c>
      <c r="S18" s="172"/>
      <c r="T18" s="172"/>
      <c r="U18" s="172"/>
      <c r="V18" s="174"/>
      <c r="W18" s="174"/>
      <c r="X18" s="174"/>
      <c r="Y18" s="174"/>
      <c r="Z18" s="174"/>
      <c r="AA18" s="174"/>
      <c r="AB18" s="174"/>
      <c r="AC18" s="174"/>
      <c r="AD18" s="174"/>
      <c r="AE18" s="172"/>
      <c r="AF18" s="172"/>
    </row>
    <row r="19" spans="2:32" s="39" customFormat="1" ht="15.75" customHeight="1" x14ac:dyDescent="0.3">
      <c r="B19" s="209" t="s">
        <v>678</v>
      </c>
      <c r="C19" s="208" t="str">
        <f>LOOKUP(B19, TRA_COMM_PRO!$C$6:$C$189, TRA_COMM_PRO!$D$6:$D$189)</f>
        <v>Navigation.Generic.Bunker.Gas.01</v>
      </c>
      <c r="D19" s="209" t="s">
        <v>53</v>
      </c>
      <c r="E19" s="209"/>
      <c r="F19" s="209">
        <f>$H$5</f>
        <v>2019</v>
      </c>
      <c r="G19" s="209"/>
      <c r="H19" s="108">
        <f>$H$14</f>
        <v>2019</v>
      </c>
      <c r="I19" s="138">
        <v>60</v>
      </c>
      <c r="J19" s="65">
        <v>1E-3</v>
      </c>
      <c r="K19" s="141">
        <v>20000</v>
      </c>
      <c r="L19" s="140"/>
      <c r="M19" s="97"/>
      <c r="N19" s="164"/>
      <c r="O19" s="164"/>
      <c r="P19" s="164"/>
      <c r="Q19" s="164"/>
      <c r="R19" s="164"/>
      <c r="S19" s="105">
        <v>10</v>
      </c>
      <c r="T19" s="97"/>
      <c r="U19" s="97"/>
      <c r="V19" s="139"/>
      <c r="W19" s="139"/>
      <c r="X19" s="139"/>
      <c r="Y19" s="40">
        <f>LOOKUP($B19, INVCOST!$C$8:$C$193, INVCOST!D$8:D$193)</f>
        <v>17776</v>
      </c>
      <c r="Z19" s="40">
        <f>LOOKUP($B19, INVCOST!$C$8:$C$193, INVCOST!E$8:E$193)</f>
        <v>17776</v>
      </c>
      <c r="AA19" s="40">
        <f>LOOKUP($B19, INVCOST!$C$8:$C$193, INVCOST!F$8:F$193)</f>
        <v>17776</v>
      </c>
      <c r="AB19" s="40">
        <f>LOOKUP($B19, INVCOST!$C$8:$C$193, INVCOST!G$8:G$193)</f>
        <v>17776</v>
      </c>
      <c r="AC19" s="40">
        <f>LOOKUP($B19, INVCOST!$C$8:$C$193, INVCOST!H$8:H$193)</f>
        <v>17776</v>
      </c>
      <c r="AD19" s="40">
        <f>LOOKUP($B19, INVCOST!$C$8:$C$193, INVCOST!I$8:I$193)</f>
        <v>17776</v>
      </c>
      <c r="AE19" s="40">
        <f>LOOKUP($B19, INVCOST!$C$8:$C$193, INVCOST!J$8:J$193)</f>
        <v>17776</v>
      </c>
      <c r="AF19" s="40">
        <f>LOOKUP($B19, INVCOST!$C$8:$C$193, INVCOST!K$8:K$193)</f>
        <v>17776</v>
      </c>
    </row>
    <row r="20" spans="2:32" s="39" customFormat="1" ht="15.75" customHeight="1" x14ac:dyDescent="0.3">
      <c r="B20" s="209"/>
      <c r="C20" s="209"/>
      <c r="D20" s="209"/>
      <c r="E20" s="209"/>
      <c r="F20" s="209"/>
      <c r="G20" s="209" t="s">
        <v>190</v>
      </c>
      <c r="H20" s="97"/>
      <c r="I20" s="138"/>
      <c r="J20" s="139"/>
      <c r="K20" s="143"/>
      <c r="L20" s="143"/>
      <c r="M20" s="97"/>
      <c r="N20" s="277">
        <f>LOOKUP($B$19, CEFF!$C$8:$C$156, CEFF!F$8:F$156)</f>
        <v>1.7000000000000001E-4</v>
      </c>
      <c r="O20" s="277">
        <f>LOOKUP($B$19, CEFF!$C$8:$C$156, CEFF!G$8:G$156)</f>
        <v>1.7000000000000001E-4</v>
      </c>
      <c r="P20" s="277">
        <f>LOOKUP($B$19, CEFF!$C$8:$C$156, CEFF!H$8:H$156)</f>
        <v>1.7000000000000001E-4</v>
      </c>
      <c r="Q20" s="277">
        <f>LOOKUP($B$19, CEFF!$C$8:$C$156, CEFF!I$8:I$156)</f>
        <v>1.7000000000000001E-4</v>
      </c>
      <c r="R20" s="277">
        <f>LOOKUP($B$19, CEFF!$C$8:$C$156, CEFF!J$8:J$156)</f>
        <v>1.7000000000000001E-4</v>
      </c>
      <c r="S20" s="97"/>
      <c r="T20" s="97"/>
      <c r="U20" s="97"/>
      <c r="V20" s="139"/>
      <c r="W20" s="139"/>
      <c r="X20" s="139"/>
      <c r="Y20" s="139"/>
      <c r="Z20" s="139"/>
      <c r="AA20" s="139"/>
      <c r="AB20" s="139"/>
      <c r="AC20" s="139"/>
      <c r="AD20" s="139"/>
      <c r="AE20" s="97"/>
      <c r="AF20" s="97"/>
    </row>
    <row r="21" spans="2:32" s="39" customFormat="1" ht="15.75" customHeight="1" x14ac:dyDescent="0.3">
      <c r="B21" s="213"/>
      <c r="C21" s="213"/>
      <c r="D21" s="213"/>
      <c r="E21" s="213"/>
      <c r="F21" s="213"/>
      <c r="G21" s="213" t="s">
        <v>383</v>
      </c>
      <c r="H21" s="172"/>
      <c r="I21" s="173"/>
      <c r="J21" s="174"/>
      <c r="K21" s="175"/>
      <c r="L21" s="175"/>
      <c r="M21" s="172"/>
      <c r="N21" s="281">
        <f>LOOKUP($B$19, CEFF!$C$8:$C$156, CEFF!F$8:F$156)</f>
        <v>1.7000000000000001E-4</v>
      </c>
      <c r="O21" s="281">
        <f>LOOKUP($B$19, CEFF!$C$8:$C$156, CEFF!G$8:G$156)</f>
        <v>1.7000000000000001E-4</v>
      </c>
      <c r="P21" s="281">
        <f>LOOKUP($B$19, CEFF!$C$8:$C$156, CEFF!H$8:H$156)</f>
        <v>1.7000000000000001E-4</v>
      </c>
      <c r="Q21" s="281">
        <f>LOOKUP($B$19, CEFF!$C$8:$C$156, CEFF!I$8:I$156)</f>
        <v>1.7000000000000001E-4</v>
      </c>
      <c r="R21" s="281">
        <f>LOOKUP($B$19, CEFF!$C$8:$C$156, CEFF!J$8:J$156)</f>
        <v>1.7000000000000001E-4</v>
      </c>
      <c r="S21" s="172"/>
      <c r="T21" s="172"/>
      <c r="U21" s="172"/>
      <c r="V21" s="174"/>
      <c r="W21" s="174"/>
      <c r="X21" s="174"/>
      <c r="Y21" s="174"/>
      <c r="Z21" s="174"/>
      <c r="AA21" s="174"/>
      <c r="AB21" s="174"/>
      <c r="AC21" s="174"/>
      <c r="AD21" s="174"/>
      <c r="AE21" s="172"/>
      <c r="AF21" s="172"/>
    </row>
    <row r="22" spans="2:32" s="39" customFormat="1" ht="15.75" customHeight="1" x14ac:dyDescent="0.3">
      <c r="B22" s="209" t="s">
        <v>680</v>
      </c>
      <c r="C22" s="208" t="str">
        <f>LOOKUP(B22, TRA_COMM_PRO!$C$6:$C$189, TRA_COMM_PRO!$D$6:$D$189)</f>
        <v>Navigation.Generic.Bunker.Methanol.01</v>
      </c>
      <c r="D22" s="209" t="s">
        <v>582</v>
      </c>
      <c r="E22" s="209"/>
      <c r="F22" s="296">
        <v>2030</v>
      </c>
      <c r="G22" s="209"/>
      <c r="H22" s="296">
        <v>2030</v>
      </c>
      <c r="I22" s="138">
        <v>60</v>
      </c>
      <c r="J22" s="65">
        <v>1E-3</v>
      </c>
      <c r="K22" s="141">
        <v>20000</v>
      </c>
      <c r="L22" s="140"/>
      <c r="M22" s="97"/>
      <c r="N22" s="164"/>
      <c r="O22" s="164"/>
      <c r="P22" s="164"/>
      <c r="Q22" s="164"/>
      <c r="R22" s="164"/>
      <c r="S22" s="105">
        <v>10</v>
      </c>
      <c r="T22" s="97"/>
      <c r="U22" s="97"/>
      <c r="V22" s="139"/>
      <c r="W22" s="139"/>
      <c r="X22" s="139"/>
      <c r="Y22" s="40">
        <f>LOOKUP($B22, INVCOST!$C$8:$C$193, INVCOST!D$8:D$193)</f>
        <v>17776</v>
      </c>
      <c r="Z22" s="40">
        <f>LOOKUP($B22, INVCOST!$C$8:$C$193, INVCOST!E$8:E$193)</f>
        <v>17776</v>
      </c>
      <c r="AA22" s="40">
        <f>LOOKUP($B22, INVCOST!$C$8:$C$193, INVCOST!F$8:F$193)</f>
        <v>17776</v>
      </c>
      <c r="AB22" s="40">
        <f>LOOKUP($B22, INVCOST!$C$8:$C$193, INVCOST!G$8:G$193)</f>
        <v>17776</v>
      </c>
      <c r="AC22" s="40">
        <f>LOOKUP($B22, INVCOST!$C$8:$C$193, INVCOST!H$8:H$193)</f>
        <v>17776</v>
      </c>
      <c r="AD22" s="40">
        <f>LOOKUP($B22, INVCOST!$C$8:$C$193, INVCOST!I$8:I$193)</f>
        <v>17776</v>
      </c>
      <c r="AE22" s="40">
        <f>LOOKUP($B22, INVCOST!$C$8:$C$193, INVCOST!J$8:J$193)</f>
        <v>17776</v>
      </c>
      <c r="AF22" s="40">
        <f>LOOKUP($B22, INVCOST!$C$8:$C$193, INVCOST!K$8:K$193)</f>
        <v>17776</v>
      </c>
    </row>
    <row r="23" spans="2:32" s="39" customFormat="1" ht="15.75" customHeight="1" x14ac:dyDescent="0.3">
      <c r="B23" s="209"/>
      <c r="C23" s="209"/>
      <c r="D23" s="209"/>
      <c r="E23" s="209"/>
      <c r="F23" s="209"/>
      <c r="G23" s="209" t="s">
        <v>190</v>
      </c>
      <c r="H23" s="97"/>
      <c r="I23" s="138"/>
      <c r="J23" s="139"/>
      <c r="K23" s="143"/>
      <c r="L23" s="143"/>
      <c r="M23" s="97"/>
      <c r="N23" s="277">
        <f>LOOKUP($B$22, CEFF!$C$8:$C$156, CEFF!F$8:F$156)</f>
        <v>1.7000000000000001E-4</v>
      </c>
      <c r="O23" s="277">
        <f>LOOKUP($B$22, CEFF!$C$8:$C$156, CEFF!G$8:G$156)</f>
        <v>1.7000000000000001E-4</v>
      </c>
      <c r="P23" s="277">
        <f>LOOKUP($B$22, CEFF!$C$8:$C$156, CEFF!H$8:H$156)</f>
        <v>1.7000000000000001E-4</v>
      </c>
      <c r="Q23" s="277">
        <f>LOOKUP($B$22, CEFF!$C$8:$C$156, CEFF!I$8:I$156)</f>
        <v>1.7000000000000001E-4</v>
      </c>
      <c r="R23" s="277">
        <f>LOOKUP($B$22, CEFF!$C$8:$C$156, CEFF!J$8:J$156)</f>
        <v>1.7000000000000001E-4</v>
      </c>
      <c r="S23" s="97"/>
      <c r="T23" s="97"/>
      <c r="U23" s="97"/>
      <c r="V23" s="139"/>
      <c r="W23" s="139"/>
      <c r="X23" s="139"/>
      <c r="Y23" s="139"/>
      <c r="Z23" s="139"/>
      <c r="AA23" s="139"/>
      <c r="AB23" s="139"/>
      <c r="AC23" s="139"/>
      <c r="AD23" s="139"/>
      <c r="AE23" s="97"/>
      <c r="AF23" s="97"/>
    </row>
    <row r="24" spans="2:32" s="39" customFormat="1" ht="15.75" customHeight="1" x14ac:dyDescent="0.3">
      <c r="B24" s="213"/>
      <c r="C24" s="213"/>
      <c r="D24" s="213"/>
      <c r="E24" s="213"/>
      <c r="F24" s="213"/>
      <c r="G24" s="213" t="s">
        <v>383</v>
      </c>
      <c r="H24" s="172"/>
      <c r="I24" s="173"/>
      <c r="J24" s="174"/>
      <c r="K24" s="175"/>
      <c r="L24" s="175"/>
      <c r="M24" s="172"/>
      <c r="N24" s="281">
        <f>LOOKUP($B$22, CEFF!$C$8:$C$156, CEFF!F$8:F$156)</f>
        <v>1.7000000000000001E-4</v>
      </c>
      <c r="O24" s="281">
        <f>LOOKUP($B$22, CEFF!$C$8:$C$156, CEFF!G$8:G$156)</f>
        <v>1.7000000000000001E-4</v>
      </c>
      <c r="P24" s="281">
        <f>LOOKUP($B$22, CEFF!$C$8:$C$156, CEFF!H$8:H$156)</f>
        <v>1.7000000000000001E-4</v>
      </c>
      <c r="Q24" s="281">
        <f>LOOKUP($B$22, CEFF!$C$8:$C$156, CEFF!I$8:I$156)</f>
        <v>1.7000000000000001E-4</v>
      </c>
      <c r="R24" s="281">
        <f>LOOKUP($B$22, CEFF!$C$8:$C$156, CEFF!J$8:J$156)</f>
        <v>1.7000000000000001E-4</v>
      </c>
      <c r="S24" s="172"/>
      <c r="T24" s="172"/>
      <c r="U24" s="172"/>
      <c r="V24" s="174"/>
      <c r="W24" s="174"/>
      <c r="X24" s="174"/>
      <c r="Y24" s="174"/>
      <c r="Z24" s="174"/>
      <c r="AA24" s="174"/>
      <c r="AB24" s="174"/>
      <c r="AC24" s="174"/>
      <c r="AD24" s="174"/>
      <c r="AE24" s="172"/>
      <c r="AF24" s="172"/>
    </row>
    <row r="25" spans="2:32" s="39" customFormat="1" ht="15.75" customHeight="1" x14ac:dyDescent="0.3">
      <c r="I25" s="58"/>
      <c r="J25" s="38"/>
      <c r="K25" s="47"/>
      <c r="L25" s="47"/>
      <c r="N25" s="36"/>
      <c r="O25" s="36"/>
      <c r="P25" s="36"/>
      <c r="Q25" s="197"/>
      <c r="R25" s="197"/>
      <c r="V25" s="38"/>
      <c r="W25" s="38"/>
      <c r="X25" s="38"/>
      <c r="Y25" s="38"/>
      <c r="Z25" s="38"/>
      <c r="AA25" s="38"/>
      <c r="AB25" s="38"/>
      <c r="AC25" s="38"/>
      <c r="AD25" s="38"/>
    </row>
    <row r="27" spans="2:32" ht="15.75" customHeight="1" x14ac:dyDescent="0.3">
      <c r="B27" s="6" t="s">
        <v>627</v>
      </c>
      <c r="C27" s="7"/>
      <c r="D27" s="81"/>
      <c r="E27" s="8"/>
      <c r="F27" s="8"/>
      <c r="G27" s="9" t="s">
        <v>1</v>
      </c>
      <c r="H27" s="9"/>
      <c r="K27" s="4"/>
      <c r="L27" s="39"/>
      <c r="M27" s="39"/>
      <c r="N27" s="39"/>
      <c r="O27" s="39"/>
    </row>
    <row r="28" spans="2:32" x14ac:dyDescent="0.3">
      <c r="B28" s="199" t="s">
        <v>2</v>
      </c>
      <c r="C28" s="199" t="s">
        <v>3</v>
      </c>
      <c r="D28" s="199" t="s">
        <v>4</v>
      </c>
      <c r="E28" s="199" t="s">
        <v>5</v>
      </c>
      <c r="F28" s="199" t="s">
        <v>686</v>
      </c>
      <c r="G28" s="200" t="s">
        <v>6</v>
      </c>
      <c r="H28" s="200" t="s">
        <v>186</v>
      </c>
      <c r="I28" s="201" t="s">
        <v>185</v>
      </c>
      <c r="J28" s="201" t="s">
        <v>11</v>
      </c>
      <c r="K28" s="200" t="s">
        <v>12</v>
      </c>
      <c r="L28" s="200" t="s">
        <v>7</v>
      </c>
      <c r="M28" s="200" t="s">
        <v>8</v>
      </c>
      <c r="N28" s="201" t="s">
        <v>688</v>
      </c>
      <c r="O28" s="201" t="s">
        <v>321</v>
      </c>
      <c r="P28" s="201" t="s">
        <v>322</v>
      </c>
      <c r="Q28" s="201" t="s">
        <v>9</v>
      </c>
      <c r="R28" s="201" t="s">
        <v>10</v>
      </c>
      <c r="S28" s="201" t="s">
        <v>687</v>
      </c>
      <c r="T28" s="201" t="s">
        <v>448</v>
      </c>
      <c r="U28" s="201" t="s">
        <v>13</v>
      </c>
      <c r="V28" s="201" t="s">
        <v>382</v>
      </c>
      <c r="W28" s="201" t="s">
        <v>42</v>
      </c>
      <c r="X28" s="201" t="s">
        <v>14</v>
      </c>
      <c r="Y28" s="201" t="s">
        <v>381</v>
      </c>
      <c r="Z28" s="201" t="s">
        <v>15</v>
      </c>
      <c r="AA28" s="201" t="s">
        <v>16</v>
      </c>
      <c r="AB28" s="201" t="s">
        <v>17</v>
      </c>
      <c r="AC28" s="201" t="s">
        <v>18</v>
      </c>
      <c r="AD28" s="201" t="s">
        <v>19</v>
      </c>
      <c r="AE28" s="201" t="s">
        <v>20</v>
      </c>
      <c r="AF28" s="201" t="s">
        <v>21</v>
      </c>
    </row>
    <row r="29" spans="2:32" ht="29.4" thickBot="1" x14ac:dyDescent="0.35">
      <c r="B29" s="202" t="s">
        <v>22</v>
      </c>
      <c r="C29" s="202"/>
      <c r="D29" s="202"/>
      <c r="E29" s="202"/>
      <c r="F29" s="202"/>
      <c r="G29" s="203" t="s">
        <v>23</v>
      </c>
      <c r="H29" s="203">
        <v>2019</v>
      </c>
      <c r="I29" s="203" t="s">
        <v>26</v>
      </c>
      <c r="J29" s="206" t="s">
        <v>543</v>
      </c>
      <c r="K29" s="204" t="s">
        <v>25</v>
      </c>
      <c r="L29" s="203"/>
      <c r="M29" s="203"/>
      <c r="N29" s="205" t="s">
        <v>653</v>
      </c>
      <c r="O29" s="205" t="s">
        <v>653</v>
      </c>
      <c r="P29" s="205" t="s">
        <v>653</v>
      </c>
      <c r="Q29" s="205" t="s">
        <v>653</v>
      </c>
      <c r="R29" s="205" t="s">
        <v>653</v>
      </c>
      <c r="S29" s="204" t="s">
        <v>658</v>
      </c>
      <c r="T29" s="204" t="s">
        <v>658</v>
      </c>
      <c r="U29" s="204" t="s">
        <v>658</v>
      </c>
      <c r="V29" s="204" t="s">
        <v>658</v>
      </c>
      <c r="W29" s="206" t="s">
        <v>662</v>
      </c>
      <c r="X29" s="206" t="s">
        <v>661</v>
      </c>
      <c r="Y29" s="206" t="s">
        <v>657</v>
      </c>
      <c r="Z29" s="206" t="s">
        <v>657</v>
      </c>
      <c r="AA29" s="206" t="s">
        <v>657</v>
      </c>
      <c r="AB29" s="206" t="s">
        <v>657</v>
      </c>
      <c r="AC29" s="206" t="s">
        <v>657</v>
      </c>
      <c r="AD29" s="206" t="s">
        <v>657</v>
      </c>
      <c r="AE29" s="206" t="s">
        <v>657</v>
      </c>
      <c r="AF29" s="206" t="s">
        <v>657</v>
      </c>
    </row>
    <row r="30" spans="2:32" s="39" customFormat="1" ht="15.75" customHeight="1" x14ac:dyDescent="0.3">
      <c r="B30" s="209" t="s">
        <v>272</v>
      </c>
      <c r="C30" s="208" t="str">
        <f>LOOKUP(B30, TRA_COMM_PRO!$C$6:$C$189, TRA_COMM_PRO!$D$6:$D$189)</f>
        <v>Navigation.Local.Ferry.DST.01.</v>
      </c>
      <c r="D30" s="209" t="s">
        <v>48</v>
      </c>
      <c r="E30" s="209"/>
      <c r="F30" s="209">
        <f>$H$5</f>
        <v>2019</v>
      </c>
      <c r="G30" s="209"/>
      <c r="H30" s="108">
        <f>$H$29</f>
        <v>2019</v>
      </c>
      <c r="I30" s="138">
        <v>40</v>
      </c>
      <c r="J30" s="65">
        <v>1E-3</v>
      </c>
      <c r="K30" s="141">
        <v>52</v>
      </c>
      <c r="L30" s="140"/>
      <c r="M30" s="97"/>
      <c r="N30" s="43"/>
      <c r="O30" s="43"/>
      <c r="P30" s="43"/>
      <c r="Q30" s="43"/>
      <c r="R30" s="43"/>
      <c r="S30" s="105">
        <v>88</v>
      </c>
      <c r="T30" s="97"/>
      <c r="U30" s="97"/>
      <c r="V30" s="139"/>
      <c r="W30" s="139"/>
      <c r="X30" s="139"/>
      <c r="Y30" s="40">
        <f>LOOKUP($B30, INVCOST!$C$8:$C$193, INVCOST!D$8:D$193)</f>
        <v>5000</v>
      </c>
      <c r="Z30" s="40">
        <f>LOOKUP($B30, INVCOST!$C$8:$C$193, INVCOST!E$8:E$193)</f>
        <v>5000</v>
      </c>
      <c r="AA30" s="40">
        <f>LOOKUP($B30, INVCOST!$C$8:$C$193, INVCOST!F$8:F$193)</f>
        <v>5000</v>
      </c>
      <c r="AB30" s="40">
        <f>LOOKUP($B30, INVCOST!$C$8:$C$193, INVCOST!G$8:G$193)</f>
        <v>5000</v>
      </c>
      <c r="AC30" s="40">
        <f>LOOKUP($B30, INVCOST!$C$8:$C$193, INVCOST!H$8:H$193)</f>
        <v>5000</v>
      </c>
      <c r="AD30" s="40">
        <f>LOOKUP($B30, INVCOST!$C$8:$C$193, INVCOST!I$8:I$193)</f>
        <v>5000</v>
      </c>
      <c r="AE30" s="40">
        <f>LOOKUP($B30, INVCOST!$C$8:$C$193, INVCOST!J$8:J$193)</f>
        <v>5000</v>
      </c>
      <c r="AF30" s="40">
        <f>LOOKUP($B30, INVCOST!$C$8:$C$193, INVCOST!K$8:K$193)</f>
        <v>5000</v>
      </c>
    </row>
    <row r="31" spans="2:32" s="39" customFormat="1" ht="15.75" customHeight="1" x14ac:dyDescent="0.3">
      <c r="B31" s="209"/>
      <c r="C31" s="209"/>
      <c r="D31" s="209" t="s">
        <v>44</v>
      </c>
      <c r="E31" s="209"/>
      <c r="F31" s="209"/>
      <c r="G31" s="209"/>
      <c r="H31" s="97"/>
      <c r="I31" s="139"/>
      <c r="J31" s="139"/>
      <c r="K31" s="142"/>
      <c r="L31" s="139"/>
      <c r="M31" s="97"/>
      <c r="N31" s="141"/>
      <c r="O31" s="141"/>
      <c r="P31" s="141"/>
      <c r="Q31" s="105"/>
      <c r="R31" s="105"/>
      <c r="S31" s="97"/>
      <c r="T31" s="97"/>
      <c r="U31" s="97"/>
      <c r="V31" s="139"/>
      <c r="W31" s="139"/>
      <c r="X31" s="139"/>
      <c r="Y31" s="139"/>
      <c r="Z31" s="139"/>
      <c r="AA31" s="139"/>
      <c r="AB31" s="139"/>
      <c r="AC31" s="139"/>
      <c r="AD31" s="139"/>
      <c r="AE31" s="97"/>
      <c r="AF31" s="97"/>
    </row>
    <row r="32" spans="2:32" s="39" customFormat="1" ht="15.75" customHeight="1" x14ac:dyDescent="0.3">
      <c r="B32" s="209"/>
      <c r="C32" s="209"/>
      <c r="D32" s="209"/>
      <c r="E32" s="209"/>
      <c r="F32" s="209"/>
      <c r="G32" s="209" t="s">
        <v>291</v>
      </c>
      <c r="H32" s="97"/>
      <c r="I32" s="138"/>
      <c r="J32" s="139"/>
      <c r="K32" s="143"/>
      <c r="L32" s="143"/>
      <c r="M32" s="97"/>
      <c r="N32" s="263">
        <f>LOOKUP($B$30, CEFF!$C$163:$C$330, CEFF!F$163:F$330)</f>
        <v>2.1999999999999999E-2</v>
      </c>
      <c r="O32" s="263">
        <f>LOOKUP($B$30, CEFF!$C$163:$C$330, CEFF!G$163:G$330)</f>
        <v>2.1999999999999999E-2</v>
      </c>
      <c r="P32" s="263">
        <f>LOOKUP($B$30, CEFF!$C$163:$C$330, CEFF!H$163:H$330)</f>
        <v>2.1999999999999999E-2</v>
      </c>
      <c r="Q32" s="263">
        <f>LOOKUP($B$30, CEFF!$C$163:$C$330, CEFF!I$163:I$330)</f>
        <v>2.1999999999999999E-2</v>
      </c>
      <c r="R32" s="263">
        <f>LOOKUP($B$30, CEFF!$C$163:$C$330, CEFF!J$163:J$330)</f>
        <v>2.1999999999999999E-2</v>
      </c>
      <c r="S32" s="97"/>
      <c r="T32" s="97"/>
      <c r="U32" s="97"/>
      <c r="V32" s="139"/>
      <c r="W32" s="139"/>
      <c r="X32" s="139"/>
      <c r="Y32" s="139"/>
      <c r="Z32" s="139"/>
      <c r="AA32" s="139"/>
      <c r="AB32" s="139"/>
      <c r="AC32" s="139"/>
      <c r="AD32" s="139"/>
      <c r="AE32" s="97"/>
      <c r="AF32" s="97"/>
    </row>
    <row r="33" spans="2:32" s="39" customFormat="1" ht="15.75" customHeight="1" x14ac:dyDescent="0.3">
      <c r="B33" s="210"/>
      <c r="C33" s="210"/>
      <c r="D33" s="210"/>
      <c r="E33" s="210"/>
      <c r="F33" s="210"/>
      <c r="G33" s="210" t="s">
        <v>384</v>
      </c>
      <c r="H33" s="109"/>
      <c r="I33" s="169"/>
      <c r="J33" s="170"/>
      <c r="K33" s="171"/>
      <c r="L33" s="171"/>
      <c r="M33" s="109"/>
      <c r="N33" s="287">
        <f>LOOKUP($B$30, CEFF!$C$163:$C$330, CEFF!F$163:F$330)</f>
        <v>2.1999999999999999E-2</v>
      </c>
      <c r="O33" s="287">
        <f>LOOKUP($B$30, CEFF!$C$163:$C$330, CEFF!G$163:G$330)</f>
        <v>2.1999999999999999E-2</v>
      </c>
      <c r="P33" s="287">
        <f>LOOKUP($B$30, CEFF!$C$163:$C$330, CEFF!H$163:H$330)</f>
        <v>2.1999999999999999E-2</v>
      </c>
      <c r="Q33" s="287">
        <f>LOOKUP($B$30, CEFF!$C$163:$C$330, CEFF!I$163:I$330)</f>
        <v>2.1999999999999999E-2</v>
      </c>
      <c r="R33" s="287">
        <f>LOOKUP($B$30, CEFF!$C$163:$C$330, CEFF!J$163:J$330)</f>
        <v>2.1999999999999999E-2</v>
      </c>
      <c r="S33" s="109"/>
      <c r="T33" s="109"/>
      <c r="U33" s="109"/>
      <c r="V33" s="170"/>
      <c r="W33" s="170"/>
      <c r="X33" s="170"/>
      <c r="Y33" s="170"/>
      <c r="Z33" s="170"/>
      <c r="AA33" s="170"/>
      <c r="AB33" s="170"/>
      <c r="AC33" s="170"/>
      <c r="AD33" s="170"/>
      <c r="AE33" s="109"/>
      <c r="AF33" s="109"/>
    </row>
    <row r="34" spans="2:32" s="39" customFormat="1" ht="15.75" customHeight="1" x14ac:dyDescent="0.3">
      <c r="B34" s="209" t="s">
        <v>274</v>
      </c>
      <c r="C34" s="208" t="str">
        <f>LOOKUP(B34, TRA_COMM_PRO!$C$6:$C$189, TRA_COMM_PRO!$D$6:$D$189)</f>
        <v>Navigation.Local.Ferry.ELC.01.</v>
      </c>
      <c r="D34" s="209" t="s">
        <v>27</v>
      </c>
      <c r="E34" s="209"/>
      <c r="F34" s="209">
        <f>$H$5</f>
        <v>2019</v>
      </c>
      <c r="G34" s="209"/>
      <c r="H34" s="108">
        <f>$H$29</f>
        <v>2019</v>
      </c>
      <c r="I34" s="138">
        <v>40</v>
      </c>
      <c r="J34" s="65">
        <v>1E-3</v>
      </c>
      <c r="K34" s="141">
        <v>52</v>
      </c>
      <c r="L34" s="140"/>
      <c r="M34" s="97"/>
      <c r="N34" s="288"/>
      <c r="O34" s="288"/>
      <c r="P34" s="288"/>
      <c r="Q34" s="288"/>
      <c r="R34" s="288"/>
      <c r="S34" s="105">
        <v>88</v>
      </c>
      <c r="T34" s="97"/>
      <c r="U34" s="97"/>
      <c r="V34" s="139"/>
      <c r="W34" s="139"/>
      <c r="X34" s="139"/>
      <c r="Y34" s="40">
        <f>LOOKUP($B34, INVCOST!$C$8:$C$193, INVCOST!D$8:D$193)</f>
        <v>7500</v>
      </c>
      <c r="Z34" s="40">
        <f>LOOKUP($B34, INVCOST!$C$8:$C$193, INVCOST!E$8:E$193)</f>
        <v>7500</v>
      </c>
      <c r="AA34" s="40">
        <f>LOOKUP($B34, INVCOST!$C$8:$C$193, INVCOST!F$8:F$193)</f>
        <v>7500</v>
      </c>
      <c r="AB34" s="40">
        <f>LOOKUP($B34, INVCOST!$C$8:$C$193, INVCOST!G$8:G$193)</f>
        <v>7500</v>
      </c>
      <c r="AC34" s="40">
        <f>LOOKUP($B34, INVCOST!$C$8:$C$193, INVCOST!H$8:H$193)</f>
        <v>7500</v>
      </c>
      <c r="AD34" s="40">
        <f>LOOKUP($B34, INVCOST!$C$8:$C$193, INVCOST!I$8:I$193)</f>
        <v>7500</v>
      </c>
      <c r="AE34" s="40">
        <f>LOOKUP($B34, INVCOST!$C$8:$C$193, INVCOST!J$8:J$193)</f>
        <v>7500</v>
      </c>
      <c r="AF34" s="40">
        <f>LOOKUP($B34, INVCOST!$C$8:$C$193, INVCOST!K$8:K$193)</f>
        <v>7500</v>
      </c>
    </row>
    <row r="35" spans="2:32" s="39" customFormat="1" ht="15.75" customHeight="1" x14ac:dyDescent="0.3">
      <c r="B35" s="209"/>
      <c r="C35" s="209"/>
      <c r="D35" s="209"/>
      <c r="E35" s="209"/>
      <c r="F35" s="209"/>
      <c r="G35" s="209" t="s">
        <v>291</v>
      </c>
      <c r="H35" s="97"/>
      <c r="I35" s="138"/>
      <c r="J35" s="139"/>
      <c r="K35" s="143"/>
      <c r="L35" s="143"/>
      <c r="M35" s="97"/>
      <c r="N35" s="263">
        <f>LOOKUP($B$34, CEFF!$C$163:$C$330, CEFF!F$163:F$330)</f>
        <v>2.1999999999999999E-2</v>
      </c>
      <c r="O35" s="263">
        <f>LOOKUP($B$34, CEFF!$C$163:$C$330, CEFF!G$163:G$330)</f>
        <v>2.1999999999999999E-2</v>
      </c>
      <c r="P35" s="263">
        <f>LOOKUP($B$34, CEFF!$C$163:$C$330, CEFF!H$163:H$330)</f>
        <v>2.1999999999999999E-2</v>
      </c>
      <c r="Q35" s="263">
        <f>LOOKUP($B$34, CEFF!$C$163:$C$330, CEFF!I$163:I$330)</f>
        <v>2.1999999999999999E-2</v>
      </c>
      <c r="R35" s="263">
        <f>LOOKUP($B$34, CEFF!$C$163:$C$330, CEFF!J$163:J$330)</f>
        <v>2.1999999999999999E-2</v>
      </c>
      <c r="S35" s="97"/>
      <c r="T35" s="97"/>
      <c r="U35" s="97"/>
      <c r="V35" s="139"/>
      <c r="W35" s="139"/>
      <c r="X35" s="139"/>
      <c r="Y35" s="139"/>
      <c r="Z35" s="139"/>
      <c r="AA35" s="139"/>
      <c r="AB35" s="139"/>
      <c r="AC35" s="139"/>
      <c r="AD35" s="139"/>
      <c r="AE35" s="97"/>
      <c r="AF35" s="97"/>
    </row>
    <row r="36" spans="2:32" s="39" customFormat="1" ht="15.75" customHeight="1" x14ac:dyDescent="0.3">
      <c r="B36" s="210"/>
      <c r="C36" s="210"/>
      <c r="D36" s="210"/>
      <c r="E36" s="210"/>
      <c r="F36" s="210"/>
      <c r="G36" s="210" t="s">
        <v>384</v>
      </c>
      <c r="H36" s="109"/>
      <c r="I36" s="169"/>
      <c r="J36" s="170"/>
      <c r="K36" s="171"/>
      <c r="L36" s="171"/>
      <c r="M36" s="109"/>
      <c r="N36" s="287">
        <f>LOOKUP($B$34, CEFF!$C$163:$C$330, CEFF!F$163:F$330)</f>
        <v>2.1999999999999999E-2</v>
      </c>
      <c r="O36" s="287">
        <f>LOOKUP($B$34, CEFF!$C$163:$C$330, CEFF!G$163:G$330)</f>
        <v>2.1999999999999999E-2</v>
      </c>
      <c r="P36" s="287">
        <f>LOOKUP($B$34, CEFF!$C$163:$C$330, CEFF!H$163:H$330)</f>
        <v>2.1999999999999999E-2</v>
      </c>
      <c r="Q36" s="287">
        <f>LOOKUP($B$34, CEFF!$C$163:$C$330, CEFF!I$163:I$330)</f>
        <v>2.1999999999999999E-2</v>
      </c>
      <c r="R36" s="287">
        <f>LOOKUP($B$34, CEFF!$C$163:$C$330, CEFF!J$163:J$330)</f>
        <v>2.1999999999999999E-2</v>
      </c>
      <c r="S36" s="109"/>
      <c r="T36" s="109"/>
      <c r="U36" s="109"/>
      <c r="V36" s="170"/>
      <c r="W36" s="170"/>
      <c r="X36" s="170"/>
      <c r="Y36" s="170"/>
      <c r="Z36" s="170"/>
      <c r="AA36" s="170"/>
      <c r="AB36" s="170"/>
      <c r="AC36" s="170"/>
      <c r="AD36" s="170"/>
      <c r="AE36" s="109"/>
      <c r="AF36" s="109"/>
    </row>
    <row r="37" spans="2:32" s="39" customFormat="1" ht="15.75" customHeight="1" x14ac:dyDescent="0.3">
      <c r="B37" s="209" t="s">
        <v>276</v>
      </c>
      <c r="C37" s="208" t="str">
        <f>LOOKUP(B37, TRA_COMM_PRO!$C$6:$C$189, TRA_COMM_PRO!$D$6:$D$189)</f>
        <v>Navigation.Local.Ferry.GAS.01.</v>
      </c>
      <c r="D37" s="209" t="s">
        <v>54</v>
      </c>
      <c r="E37" s="209"/>
      <c r="F37" s="209">
        <f>$H$5</f>
        <v>2019</v>
      </c>
      <c r="G37" s="209"/>
      <c r="H37" s="108">
        <f>$H$29</f>
        <v>2019</v>
      </c>
      <c r="I37" s="138">
        <v>40</v>
      </c>
      <c r="J37" s="65">
        <v>1E-3</v>
      </c>
      <c r="K37" s="141">
        <v>52</v>
      </c>
      <c r="L37" s="140"/>
      <c r="M37" s="97"/>
      <c r="N37" s="288"/>
      <c r="O37" s="288"/>
      <c r="P37" s="288"/>
      <c r="Q37" s="288"/>
      <c r="R37" s="288"/>
      <c r="S37" s="105">
        <v>88</v>
      </c>
      <c r="T37" s="97"/>
      <c r="U37" s="97"/>
      <c r="V37" s="139"/>
      <c r="W37" s="139"/>
      <c r="X37" s="139"/>
      <c r="Y37" s="40">
        <f>LOOKUP($B37, INVCOST!$C$8:$C$193, INVCOST!D$8:D$193)</f>
        <v>6500</v>
      </c>
      <c r="Z37" s="40">
        <f>LOOKUP($B37, INVCOST!$C$8:$C$193, INVCOST!E$8:E$193)</f>
        <v>6500</v>
      </c>
      <c r="AA37" s="40">
        <f>LOOKUP($B37, INVCOST!$C$8:$C$193, INVCOST!F$8:F$193)</f>
        <v>6500</v>
      </c>
      <c r="AB37" s="40">
        <f>LOOKUP($B37, INVCOST!$C$8:$C$193, INVCOST!G$8:G$193)</f>
        <v>6500</v>
      </c>
      <c r="AC37" s="40">
        <f>LOOKUP($B37, INVCOST!$C$8:$C$193, INVCOST!H$8:H$193)</f>
        <v>6500</v>
      </c>
      <c r="AD37" s="40">
        <f>LOOKUP($B37, INVCOST!$C$8:$C$193, INVCOST!I$8:I$193)</f>
        <v>6500</v>
      </c>
      <c r="AE37" s="40">
        <f>LOOKUP($B37, INVCOST!$C$8:$C$193, INVCOST!J$8:J$193)</f>
        <v>6500</v>
      </c>
      <c r="AF37" s="40">
        <f>LOOKUP($B37, INVCOST!$C$8:$C$193, INVCOST!K$8:K$193)</f>
        <v>6500</v>
      </c>
    </row>
    <row r="38" spans="2:32" s="39" customFormat="1" ht="15.75" customHeight="1" x14ac:dyDescent="0.3">
      <c r="B38" s="209"/>
      <c r="C38" s="208"/>
      <c r="D38" s="209" t="s">
        <v>53</v>
      </c>
      <c r="E38" s="209"/>
      <c r="F38" s="209"/>
      <c r="G38" s="209"/>
      <c r="H38" s="108"/>
      <c r="I38" s="138"/>
      <c r="J38" s="65"/>
      <c r="K38" s="141"/>
      <c r="L38" s="140"/>
      <c r="M38" s="97"/>
      <c r="N38" s="43"/>
      <c r="O38" s="43"/>
      <c r="P38" s="43"/>
      <c r="Q38" s="43"/>
      <c r="R38" s="43"/>
      <c r="S38" s="105"/>
      <c r="T38" s="97"/>
      <c r="U38" s="97"/>
      <c r="V38" s="139"/>
      <c r="W38" s="139"/>
      <c r="X38" s="139"/>
      <c r="Y38" s="138"/>
      <c r="Z38" s="138"/>
      <c r="AA38" s="138"/>
      <c r="AB38" s="138"/>
      <c r="AC38" s="138"/>
      <c r="AD38" s="138"/>
      <c r="AE38" s="138"/>
      <c r="AF38" s="138"/>
    </row>
    <row r="39" spans="2:32" s="39" customFormat="1" ht="15.75" customHeight="1" x14ac:dyDescent="0.3">
      <c r="B39" s="209"/>
      <c r="C39" s="209"/>
      <c r="D39" s="209"/>
      <c r="E39" s="209"/>
      <c r="F39" s="209"/>
      <c r="G39" s="209" t="s">
        <v>291</v>
      </c>
      <c r="H39" s="97"/>
      <c r="I39" s="138"/>
      <c r="J39" s="139"/>
      <c r="K39" s="143"/>
      <c r="L39" s="143"/>
      <c r="M39" s="97"/>
      <c r="N39" s="263">
        <f>LOOKUP($B$37, CEFF!$C$163:$C$330, CEFF!F$163:F$330)</f>
        <v>2.1999999999999999E-2</v>
      </c>
      <c r="O39" s="263">
        <f>LOOKUP($B$37, CEFF!$C$163:$C$330, CEFF!G$163:G$330)</f>
        <v>2.1999999999999999E-2</v>
      </c>
      <c r="P39" s="263">
        <f>LOOKUP($B$37, CEFF!$C$163:$C$330, CEFF!H$163:H$330)</f>
        <v>2.1999999999999999E-2</v>
      </c>
      <c r="Q39" s="263">
        <f>LOOKUP($B$37, CEFF!$C$163:$C$330, CEFF!I$163:I$330)</f>
        <v>2.1999999999999999E-2</v>
      </c>
      <c r="R39" s="263">
        <f>LOOKUP($B$37, CEFF!$C$163:$C$330, CEFF!J$163:J$330)</f>
        <v>2.1999999999999999E-2</v>
      </c>
      <c r="S39" s="97"/>
      <c r="T39" s="97"/>
      <c r="U39" s="97"/>
      <c r="V39" s="139"/>
      <c r="W39" s="139"/>
      <c r="X39" s="139"/>
      <c r="Y39" s="139"/>
      <c r="Z39" s="139"/>
      <c r="AA39" s="139"/>
      <c r="AB39" s="139"/>
      <c r="AC39" s="139"/>
      <c r="AD39" s="139"/>
      <c r="AE39" s="97"/>
      <c r="AF39" s="97"/>
    </row>
    <row r="40" spans="2:32" s="39" customFormat="1" ht="15.75" customHeight="1" x14ac:dyDescent="0.3">
      <c r="B40" s="210"/>
      <c r="C40" s="210"/>
      <c r="D40" s="210"/>
      <c r="E40" s="210"/>
      <c r="F40" s="210"/>
      <c r="G40" s="210" t="s">
        <v>384</v>
      </c>
      <c r="H40" s="109"/>
      <c r="I40" s="169"/>
      <c r="J40" s="170"/>
      <c r="K40" s="171"/>
      <c r="L40" s="171"/>
      <c r="M40" s="109"/>
      <c r="N40" s="287">
        <f>LOOKUP($B$37, CEFF!$C$163:$C$330, CEFF!F$163:F$330)</f>
        <v>2.1999999999999999E-2</v>
      </c>
      <c r="O40" s="287">
        <f>LOOKUP($B$37, CEFF!$C$163:$C$330, CEFF!G$163:G$330)</f>
        <v>2.1999999999999999E-2</v>
      </c>
      <c r="P40" s="287">
        <f>LOOKUP($B$37, CEFF!$C$163:$C$330, CEFF!H$163:H$330)</f>
        <v>2.1999999999999999E-2</v>
      </c>
      <c r="Q40" s="287">
        <f>LOOKUP($B$37, CEFF!$C$163:$C$330, CEFF!I$163:I$330)</f>
        <v>2.1999999999999999E-2</v>
      </c>
      <c r="R40" s="287">
        <f>LOOKUP($B$37, CEFF!$C$163:$C$330, CEFF!J$163:J$330)</f>
        <v>2.1999999999999999E-2</v>
      </c>
      <c r="S40" s="109"/>
      <c r="T40" s="109"/>
      <c r="U40" s="109"/>
      <c r="V40" s="170"/>
      <c r="W40" s="170"/>
      <c r="X40" s="170"/>
      <c r="Y40" s="170"/>
      <c r="Z40" s="170"/>
      <c r="AA40" s="170"/>
      <c r="AB40" s="170"/>
      <c r="AC40" s="170"/>
      <c r="AD40" s="170"/>
      <c r="AE40" s="109"/>
      <c r="AF40" s="109"/>
    </row>
    <row r="41" spans="2:32" s="39" customFormat="1" ht="15.75" customHeight="1" x14ac:dyDescent="0.3">
      <c r="B41" s="209" t="s">
        <v>595</v>
      </c>
      <c r="C41" s="208" t="str">
        <f>LOOKUP(B41, TRA_COMM_PRO!$C$6:$C$189, TRA_COMM_PRO!$D$6:$D$189)</f>
        <v>Navigation.Local.Ferry.MTH.01.</v>
      </c>
      <c r="D41" s="209" t="s">
        <v>582</v>
      </c>
      <c r="E41" s="209"/>
      <c r="F41" s="296">
        <v>2030</v>
      </c>
      <c r="G41" s="209"/>
      <c r="H41" s="297">
        <v>2030</v>
      </c>
      <c r="I41" s="138">
        <v>40</v>
      </c>
      <c r="J41" s="65">
        <v>1E-3</v>
      </c>
      <c r="K41" s="141">
        <v>52</v>
      </c>
      <c r="L41" s="140"/>
      <c r="M41" s="97"/>
      <c r="N41" s="288"/>
      <c r="O41" s="288"/>
      <c r="P41" s="288"/>
      <c r="Q41" s="288"/>
      <c r="R41" s="288"/>
      <c r="S41" s="105">
        <v>88</v>
      </c>
      <c r="T41" s="97"/>
      <c r="U41" s="97"/>
      <c r="V41" s="139"/>
      <c r="W41" s="139"/>
      <c r="X41" s="139"/>
      <c r="Y41" s="40">
        <f>LOOKUP($B41, INVCOST!$C$8:$C$193, INVCOST!D$8:D$193)</f>
        <v>6500</v>
      </c>
      <c r="Z41" s="40">
        <f>LOOKUP($B41, INVCOST!$C$8:$C$193, INVCOST!E$8:E$193)</f>
        <v>6500</v>
      </c>
      <c r="AA41" s="40">
        <f>LOOKUP($B41, INVCOST!$C$8:$C$193, INVCOST!F$8:F$193)</f>
        <v>6500</v>
      </c>
      <c r="AB41" s="40">
        <f>LOOKUP($B41, INVCOST!$C$8:$C$193, INVCOST!G$8:G$193)</f>
        <v>6500</v>
      </c>
      <c r="AC41" s="40">
        <f>LOOKUP($B41, INVCOST!$C$8:$C$193, INVCOST!H$8:H$193)</f>
        <v>6500</v>
      </c>
      <c r="AD41" s="40">
        <f>LOOKUP($B41, INVCOST!$C$8:$C$193, INVCOST!I$8:I$193)</f>
        <v>6500</v>
      </c>
      <c r="AE41" s="40">
        <f>LOOKUP($B41, INVCOST!$C$8:$C$193, INVCOST!J$8:J$193)</f>
        <v>6500</v>
      </c>
      <c r="AF41" s="40">
        <f>LOOKUP($B41, INVCOST!$C$8:$C$193, INVCOST!K$8:K$193)</f>
        <v>6500</v>
      </c>
    </row>
    <row r="42" spans="2:32" s="39" customFormat="1" ht="15.75" customHeight="1" x14ac:dyDescent="0.3">
      <c r="B42" s="209"/>
      <c r="C42" s="209"/>
      <c r="D42" s="209"/>
      <c r="E42" s="209"/>
      <c r="F42" s="209"/>
      <c r="G42" s="209" t="s">
        <v>291</v>
      </c>
      <c r="H42" s="97"/>
      <c r="I42" s="138"/>
      <c r="J42" s="139"/>
      <c r="K42" s="143"/>
      <c r="L42" s="143"/>
      <c r="M42" s="97"/>
      <c r="N42" s="263">
        <f>LOOKUP($B$41, CEFF!$C$163:$C$330, CEFF!F$163:F$330)</f>
        <v>2.1999999999999999E-2</v>
      </c>
      <c r="O42" s="263">
        <f>LOOKUP($B$41, CEFF!$C$163:$C$330, CEFF!G$163:G$330)</f>
        <v>2.1999999999999999E-2</v>
      </c>
      <c r="P42" s="263">
        <f>LOOKUP($B$41, CEFF!$C$163:$C$330, CEFF!H$163:H$330)</f>
        <v>2.1999999999999999E-2</v>
      </c>
      <c r="Q42" s="263">
        <f>LOOKUP($B$41, CEFF!$C$163:$C$330, CEFF!I$163:I$330)</f>
        <v>2.1999999999999999E-2</v>
      </c>
      <c r="R42" s="263">
        <f>LOOKUP($B$41, CEFF!$C$163:$C$330, CEFF!J$163:J$330)</f>
        <v>2.1999999999999999E-2</v>
      </c>
      <c r="S42" s="97"/>
      <c r="T42" s="97"/>
      <c r="U42" s="97"/>
      <c r="V42" s="139"/>
      <c r="W42" s="139"/>
      <c r="X42" s="139"/>
      <c r="Y42" s="139"/>
      <c r="Z42" s="139"/>
      <c r="AA42" s="139"/>
      <c r="AB42" s="139"/>
      <c r="AC42" s="139"/>
      <c r="AD42" s="139"/>
      <c r="AE42" s="97"/>
      <c r="AF42" s="97"/>
    </row>
    <row r="43" spans="2:32" s="39" customFormat="1" ht="15.75" customHeight="1" x14ac:dyDescent="0.3">
      <c r="B43" s="213"/>
      <c r="C43" s="213"/>
      <c r="D43" s="213"/>
      <c r="E43" s="213"/>
      <c r="F43" s="213"/>
      <c r="G43" s="213" t="s">
        <v>384</v>
      </c>
      <c r="H43" s="172"/>
      <c r="I43" s="173"/>
      <c r="J43" s="174"/>
      <c r="K43" s="175"/>
      <c r="L43" s="175"/>
      <c r="M43" s="172"/>
      <c r="N43" s="265">
        <f>LOOKUP($B$41, CEFF!$C$163:$C$330, CEFF!F$163:F$330)</f>
        <v>2.1999999999999999E-2</v>
      </c>
      <c r="O43" s="265">
        <f>LOOKUP($B$41, CEFF!$C$163:$C$330, CEFF!G$163:G$330)</f>
        <v>2.1999999999999999E-2</v>
      </c>
      <c r="P43" s="265">
        <f>LOOKUP($B$41, CEFF!$C$163:$C$330, CEFF!H$163:H$330)</f>
        <v>2.1999999999999999E-2</v>
      </c>
      <c r="Q43" s="265">
        <f>LOOKUP($B$41, CEFF!$C$163:$C$330, CEFF!I$163:I$330)</f>
        <v>2.1999999999999999E-2</v>
      </c>
      <c r="R43" s="265">
        <f>LOOKUP($B$41, CEFF!$C$163:$C$330, CEFF!J$163:J$330)</f>
        <v>2.1999999999999999E-2</v>
      </c>
      <c r="S43" s="172"/>
      <c r="T43" s="172"/>
      <c r="U43" s="172"/>
      <c r="V43" s="174"/>
      <c r="W43" s="174"/>
      <c r="X43" s="174"/>
      <c r="Y43" s="174"/>
      <c r="Z43" s="174"/>
      <c r="AA43" s="174"/>
      <c r="AB43" s="174"/>
      <c r="AC43" s="174"/>
      <c r="AD43" s="174"/>
      <c r="AE43" s="172"/>
      <c r="AF43" s="172"/>
    </row>
    <row r="44" spans="2:32" s="39" customFormat="1" ht="15.75" customHeight="1" x14ac:dyDescent="0.3">
      <c r="I44" s="58"/>
      <c r="J44" s="38"/>
      <c r="K44" s="47"/>
      <c r="L44" s="47"/>
      <c r="N44" s="36"/>
      <c r="O44" s="36"/>
      <c r="P44" s="36"/>
      <c r="V44" s="38"/>
      <c r="W44" s="38"/>
      <c r="X44" s="38"/>
      <c r="Y44" s="38"/>
      <c r="Z44" s="38"/>
      <c r="AA44" s="38"/>
      <c r="AB44" s="38"/>
      <c r="AC44" s="38"/>
      <c r="AD44" s="38"/>
    </row>
    <row r="45" spans="2:32" s="39" customFormat="1" ht="15.75" customHeight="1" x14ac:dyDescent="0.3">
      <c r="I45" s="58"/>
      <c r="J45" s="38"/>
      <c r="K45" s="47"/>
      <c r="L45" s="47"/>
      <c r="N45" s="36"/>
      <c r="O45" s="36"/>
      <c r="P45" s="36"/>
      <c r="V45" s="38"/>
      <c r="W45" s="38"/>
      <c r="X45" s="38"/>
      <c r="Y45" s="38"/>
      <c r="Z45" s="38"/>
      <c r="AA45" s="38"/>
      <c r="AB45" s="38"/>
      <c r="AC45" s="38"/>
      <c r="AD45" s="38"/>
    </row>
    <row r="46" spans="2:32" s="39" customFormat="1" x14ac:dyDescent="0.3">
      <c r="H46" s="58"/>
      <c r="I46" s="58"/>
      <c r="J46" s="102"/>
      <c r="K46" s="102"/>
      <c r="L46" s="102"/>
      <c r="M46" s="38"/>
      <c r="N46" s="37"/>
      <c r="O46" s="38"/>
      <c r="P46" s="36"/>
      <c r="Q46" s="36"/>
      <c r="R46" s="36"/>
      <c r="S46" s="36"/>
      <c r="T46" s="36"/>
      <c r="U46" s="36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2:32" s="39" customFormat="1" x14ac:dyDescent="0.3">
      <c r="H47" s="58"/>
      <c r="I47" s="58"/>
      <c r="J47" s="102"/>
      <c r="K47" s="102"/>
      <c r="L47" s="102"/>
      <c r="M47" s="38"/>
      <c r="N47" s="37"/>
      <c r="O47" s="38"/>
      <c r="P47" s="36"/>
      <c r="Q47" s="36"/>
      <c r="R47" s="36"/>
      <c r="S47" s="36"/>
      <c r="T47" s="36"/>
      <c r="U47" s="36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K193"/>
  <sheetViews>
    <sheetView tabSelected="1" zoomScale="75" zoomScaleNormal="75" workbookViewId="0">
      <selection activeCell="N27" sqref="N27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3" width="14.44140625" bestFit="1" customWidth="1"/>
    <col min="4" max="4" width="41.44140625" bestFit="1" customWidth="1"/>
    <col min="5" max="5" width="17" customWidth="1"/>
    <col min="6" max="6" width="10.33203125" bestFit="1" customWidth="1"/>
    <col min="7" max="7" width="10.88671875" bestFit="1" customWidth="1"/>
    <col min="8" max="8" width="6.44140625" bestFit="1" customWidth="1"/>
    <col min="9" max="9" width="8.109375" bestFit="1" customWidth="1"/>
  </cols>
  <sheetData>
    <row r="4" spans="2:11" x14ac:dyDescent="0.3">
      <c r="B4" s="83" t="s">
        <v>191</v>
      </c>
      <c r="C4" s="82"/>
      <c r="D4" s="82"/>
      <c r="E4" s="82"/>
      <c r="F4" s="82"/>
      <c r="H4" s="82"/>
      <c r="I4" s="82"/>
      <c r="J4" s="82"/>
      <c r="K4" s="82"/>
    </row>
    <row r="5" spans="2:11" x14ac:dyDescent="0.3">
      <c r="B5" s="6" t="s">
        <v>192</v>
      </c>
      <c r="C5" s="6" t="s">
        <v>2</v>
      </c>
      <c r="D5" s="6" t="s">
        <v>193</v>
      </c>
      <c r="E5" s="6" t="s">
        <v>194</v>
      </c>
      <c r="F5" s="6" t="s">
        <v>195</v>
      </c>
      <c r="G5" s="6" t="s">
        <v>196</v>
      </c>
      <c r="H5" s="6" t="s">
        <v>197</v>
      </c>
      <c r="I5" s="6" t="s">
        <v>198</v>
      </c>
      <c r="K5" s="84"/>
    </row>
    <row r="6" spans="2:11" x14ac:dyDescent="0.3">
      <c r="B6" s="211" t="s">
        <v>199</v>
      </c>
      <c r="C6" s="211" t="s">
        <v>183</v>
      </c>
      <c r="D6" s="211" t="s">
        <v>184</v>
      </c>
      <c r="E6" s="269" t="s">
        <v>659</v>
      </c>
      <c r="F6" s="98" t="s">
        <v>656</v>
      </c>
      <c r="G6" s="99" t="s">
        <v>200</v>
      </c>
      <c r="H6" s="98"/>
      <c r="I6" s="99" t="s">
        <v>201</v>
      </c>
    </row>
    <row r="7" spans="2:11" x14ac:dyDescent="0.3">
      <c r="B7" s="211" t="s">
        <v>199</v>
      </c>
      <c r="C7" s="211" t="s">
        <v>179</v>
      </c>
      <c r="D7" s="211" t="s">
        <v>180</v>
      </c>
      <c r="E7" s="98" t="s">
        <v>659</v>
      </c>
      <c r="F7" s="98" t="s">
        <v>656</v>
      </c>
      <c r="G7" s="99" t="s">
        <v>200</v>
      </c>
      <c r="H7" s="98"/>
      <c r="I7" s="99" t="s">
        <v>201</v>
      </c>
      <c r="K7" s="85"/>
    </row>
    <row r="8" spans="2:11" s="96" customFormat="1" x14ac:dyDescent="0.3">
      <c r="B8" s="211" t="s">
        <v>199</v>
      </c>
      <c r="C8" s="211" t="s">
        <v>87</v>
      </c>
      <c r="D8" s="211" t="s">
        <v>88</v>
      </c>
      <c r="E8" s="98" t="s">
        <v>659</v>
      </c>
      <c r="F8" s="98" t="s">
        <v>656</v>
      </c>
      <c r="G8" s="99" t="s">
        <v>200</v>
      </c>
      <c r="H8" s="98"/>
      <c r="I8" s="99" t="s">
        <v>201</v>
      </c>
    </row>
    <row r="9" spans="2:11" x14ac:dyDescent="0.3">
      <c r="B9" s="211" t="s">
        <v>199</v>
      </c>
      <c r="C9" s="211" t="s">
        <v>90</v>
      </c>
      <c r="D9" s="211" t="s">
        <v>91</v>
      </c>
      <c r="E9" s="98" t="s">
        <v>659</v>
      </c>
      <c r="F9" s="98" t="s">
        <v>656</v>
      </c>
      <c r="G9" s="99" t="s">
        <v>200</v>
      </c>
      <c r="H9" s="98"/>
      <c r="I9" s="99" t="s">
        <v>201</v>
      </c>
      <c r="K9" s="85"/>
    </row>
    <row r="10" spans="2:11" s="39" customFormat="1" x14ac:dyDescent="0.3">
      <c r="B10" s="211" t="s">
        <v>199</v>
      </c>
      <c r="C10" s="211" t="s">
        <v>92</v>
      </c>
      <c r="D10" s="211" t="s">
        <v>93</v>
      </c>
      <c r="E10" s="98" t="s">
        <v>659</v>
      </c>
      <c r="F10" s="98" t="s">
        <v>656</v>
      </c>
      <c r="G10" s="99" t="s">
        <v>200</v>
      </c>
      <c r="H10" s="98"/>
      <c r="I10" s="99" t="s">
        <v>201</v>
      </c>
      <c r="K10" s="85"/>
    </row>
    <row r="11" spans="2:11" x14ac:dyDescent="0.3">
      <c r="B11" s="211" t="s">
        <v>199</v>
      </c>
      <c r="C11" s="211" t="s">
        <v>94</v>
      </c>
      <c r="D11" s="211" t="s">
        <v>95</v>
      </c>
      <c r="E11" s="98" t="s">
        <v>659</v>
      </c>
      <c r="F11" s="98" t="s">
        <v>656</v>
      </c>
      <c r="G11" s="99" t="s">
        <v>200</v>
      </c>
      <c r="H11" s="98"/>
      <c r="I11" s="99" t="s">
        <v>201</v>
      </c>
      <c r="K11" s="85"/>
    </row>
    <row r="12" spans="2:11" x14ac:dyDescent="0.3">
      <c r="B12" s="211" t="s">
        <v>199</v>
      </c>
      <c r="C12" s="211" t="s">
        <v>96</v>
      </c>
      <c r="D12" s="211" t="s">
        <v>97</v>
      </c>
      <c r="E12" s="98" t="s">
        <v>659</v>
      </c>
      <c r="F12" s="98" t="s">
        <v>656</v>
      </c>
      <c r="G12" s="99" t="s">
        <v>200</v>
      </c>
      <c r="H12" s="98"/>
      <c r="I12" s="99" t="s">
        <v>201</v>
      </c>
      <c r="K12" s="85"/>
    </row>
    <row r="13" spans="2:11" x14ac:dyDescent="0.3">
      <c r="B13" s="211" t="s">
        <v>199</v>
      </c>
      <c r="C13" s="211" t="s">
        <v>98</v>
      </c>
      <c r="D13" s="211" t="s">
        <v>99</v>
      </c>
      <c r="E13" s="98" t="s">
        <v>659</v>
      </c>
      <c r="F13" s="98" t="s">
        <v>656</v>
      </c>
      <c r="G13" s="99" t="s">
        <v>200</v>
      </c>
      <c r="H13" s="98"/>
      <c r="I13" s="99" t="s">
        <v>201</v>
      </c>
      <c r="K13" s="85"/>
    </row>
    <row r="14" spans="2:11" x14ac:dyDescent="0.3">
      <c r="B14" s="211" t="s">
        <v>199</v>
      </c>
      <c r="C14" s="211" t="s">
        <v>100</v>
      </c>
      <c r="D14" s="211" t="s">
        <v>101</v>
      </c>
      <c r="E14" s="98" t="s">
        <v>659</v>
      </c>
      <c r="F14" s="98" t="s">
        <v>656</v>
      </c>
      <c r="G14" s="99" t="s">
        <v>200</v>
      </c>
      <c r="H14" s="98"/>
      <c r="I14" s="99" t="s">
        <v>201</v>
      </c>
      <c r="K14" s="85"/>
    </row>
    <row r="15" spans="2:11" x14ac:dyDescent="0.3">
      <c r="B15" s="211" t="s">
        <v>199</v>
      </c>
      <c r="C15" s="211" t="s">
        <v>342</v>
      </c>
      <c r="D15" s="211" t="s">
        <v>341</v>
      </c>
      <c r="E15" s="98" t="s">
        <v>659</v>
      </c>
      <c r="F15" s="98" t="s">
        <v>656</v>
      </c>
      <c r="G15" s="99" t="s">
        <v>200</v>
      </c>
      <c r="H15" s="98"/>
      <c r="I15" s="99" t="s">
        <v>201</v>
      </c>
      <c r="K15" s="85"/>
    </row>
    <row r="16" spans="2:11" x14ac:dyDescent="0.3">
      <c r="B16" s="211" t="s">
        <v>199</v>
      </c>
      <c r="C16" s="211" t="s">
        <v>404</v>
      </c>
      <c r="D16" s="211" t="s">
        <v>498</v>
      </c>
      <c r="E16" s="98" t="s">
        <v>659</v>
      </c>
      <c r="F16" s="98" t="s">
        <v>656</v>
      </c>
      <c r="G16" s="99" t="s">
        <v>200</v>
      </c>
      <c r="H16" s="98"/>
      <c r="I16" s="99" t="s">
        <v>201</v>
      </c>
      <c r="K16" s="85"/>
    </row>
    <row r="17" spans="2:11" x14ac:dyDescent="0.3">
      <c r="B17" s="211" t="s">
        <v>199</v>
      </c>
      <c r="C17" s="211" t="s">
        <v>102</v>
      </c>
      <c r="D17" s="211" t="s">
        <v>103</v>
      </c>
      <c r="E17" s="98" t="s">
        <v>659</v>
      </c>
      <c r="F17" s="98" t="s">
        <v>656</v>
      </c>
      <c r="G17" s="99" t="s">
        <v>200</v>
      </c>
      <c r="H17" s="98"/>
      <c r="I17" s="99" t="s">
        <v>201</v>
      </c>
      <c r="K17" s="85"/>
    </row>
    <row r="18" spans="2:11" x14ac:dyDescent="0.3">
      <c r="B18" s="211" t="s">
        <v>199</v>
      </c>
      <c r="C18" s="211" t="s">
        <v>588</v>
      </c>
      <c r="D18" s="211" t="s">
        <v>597</v>
      </c>
      <c r="E18" s="98" t="s">
        <v>659</v>
      </c>
      <c r="F18" s="98" t="s">
        <v>656</v>
      </c>
      <c r="G18" s="99" t="s">
        <v>200</v>
      </c>
      <c r="H18" s="98"/>
      <c r="I18" s="99" t="s">
        <v>201</v>
      </c>
      <c r="K18" s="85"/>
    </row>
    <row r="19" spans="2:11" x14ac:dyDescent="0.3">
      <c r="B19" s="211" t="s">
        <v>199</v>
      </c>
      <c r="C19" s="211" t="s">
        <v>405</v>
      </c>
      <c r="D19" s="211" t="s">
        <v>499</v>
      </c>
      <c r="E19" s="98" t="s">
        <v>659</v>
      </c>
      <c r="F19" s="98" t="s">
        <v>656</v>
      </c>
      <c r="G19" s="99" t="s">
        <v>200</v>
      </c>
      <c r="H19" s="98"/>
      <c r="I19" s="99" t="s">
        <v>201</v>
      </c>
      <c r="K19" s="85"/>
    </row>
    <row r="20" spans="2:11" x14ac:dyDescent="0.3">
      <c r="B20" s="211" t="s">
        <v>199</v>
      </c>
      <c r="C20" s="211" t="s">
        <v>406</v>
      </c>
      <c r="D20" s="211" t="s">
        <v>500</v>
      </c>
      <c r="E20" s="98" t="s">
        <v>659</v>
      </c>
      <c r="F20" s="98" t="s">
        <v>656</v>
      </c>
      <c r="G20" s="99" t="s">
        <v>200</v>
      </c>
      <c r="H20" s="98"/>
      <c r="I20" s="99" t="s">
        <v>201</v>
      </c>
      <c r="K20" s="85"/>
    </row>
    <row r="21" spans="2:11" x14ac:dyDescent="0.3">
      <c r="B21" s="211" t="s">
        <v>199</v>
      </c>
      <c r="C21" s="211" t="s">
        <v>66</v>
      </c>
      <c r="D21" s="211" t="s">
        <v>67</v>
      </c>
      <c r="E21" s="98" t="s">
        <v>659</v>
      </c>
      <c r="F21" s="98" t="s">
        <v>656</v>
      </c>
      <c r="G21" s="99" t="s">
        <v>200</v>
      </c>
      <c r="H21" s="98"/>
      <c r="I21" s="99" t="s">
        <v>201</v>
      </c>
      <c r="K21" s="85"/>
    </row>
    <row r="22" spans="2:11" x14ac:dyDescent="0.3">
      <c r="B22" s="211" t="s">
        <v>199</v>
      </c>
      <c r="C22" s="211" t="s">
        <v>69</v>
      </c>
      <c r="D22" s="211" t="s">
        <v>70</v>
      </c>
      <c r="E22" s="98" t="s">
        <v>659</v>
      </c>
      <c r="F22" s="98" t="s">
        <v>656</v>
      </c>
      <c r="G22" s="99" t="s">
        <v>200</v>
      </c>
      <c r="H22" s="98"/>
      <c r="I22" s="99" t="s">
        <v>201</v>
      </c>
      <c r="K22" s="85"/>
    </row>
    <row r="23" spans="2:11" x14ac:dyDescent="0.3">
      <c r="B23" s="211" t="s">
        <v>199</v>
      </c>
      <c r="C23" s="211" t="s">
        <v>72</v>
      </c>
      <c r="D23" s="211" t="s">
        <v>73</v>
      </c>
      <c r="E23" s="98" t="s">
        <v>659</v>
      </c>
      <c r="F23" s="98" t="s">
        <v>656</v>
      </c>
      <c r="G23" s="99" t="s">
        <v>200</v>
      </c>
      <c r="H23" s="98"/>
      <c r="I23" s="99" t="s">
        <v>201</v>
      </c>
      <c r="K23" s="85"/>
    </row>
    <row r="24" spans="2:11" x14ac:dyDescent="0.3">
      <c r="B24" s="211" t="s">
        <v>199</v>
      </c>
      <c r="C24" s="211" t="s">
        <v>74</v>
      </c>
      <c r="D24" s="211" t="s">
        <v>75</v>
      </c>
      <c r="E24" s="98" t="s">
        <v>659</v>
      </c>
      <c r="F24" s="98" t="s">
        <v>656</v>
      </c>
      <c r="G24" s="99" t="s">
        <v>200</v>
      </c>
      <c r="H24" s="98"/>
      <c r="I24" s="99" t="s">
        <v>201</v>
      </c>
      <c r="K24" s="85"/>
    </row>
    <row r="25" spans="2:11" x14ac:dyDescent="0.3">
      <c r="B25" s="211" t="s">
        <v>199</v>
      </c>
      <c r="C25" s="211" t="s">
        <v>76</v>
      </c>
      <c r="D25" s="211" t="s">
        <v>77</v>
      </c>
      <c r="E25" s="98" t="s">
        <v>659</v>
      </c>
      <c r="F25" s="98" t="s">
        <v>656</v>
      </c>
      <c r="G25" s="99" t="s">
        <v>200</v>
      </c>
      <c r="H25" s="98"/>
      <c r="I25" s="99" t="s">
        <v>201</v>
      </c>
      <c r="K25" s="85"/>
    </row>
    <row r="26" spans="2:11" x14ac:dyDescent="0.3">
      <c r="B26" s="211" t="s">
        <v>199</v>
      </c>
      <c r="C26" s="211" t="s">
        <v>78</v>
      </c>
      <c r="D26" s="211" t="s">
        <v>79</v>
      </c>
      <c r="E26" s="98" t="s">
        <v>659</v>
      </c>
      <c r="F26" s="98" t="s">
        <v>656</v>
      </c>
      <c r="G26" s="99" t="s">
        <v>200</v>
      </c>
      <c r="H26" s="98"/>
      <c r="I26" s="99" t="s">
        <v>201</v>
      </c>
      <c r="K26" s="85"/>
    </row>
    <row r="27" spans="2:11" x14ac:dyDescent="0.3">
      <c r="B27" s="211" t="s">
        <v>199</v>
      </c>
      <c r="C27" s="211" t="s">
        <v>80</v>
      </c>
      <c r="D27" s="211" t="s">
        <v>81</v>
      </c>
      <c r="E27" s="98" t="s">
        <v>659</v>
      </c>
      <c r="F27" s="98" t="s">
        <v>656</v>
      </c>
      <c r="G27" s="99" t="s">
        <v>200</v>
      </c>
      <c r="H27" s="98"/>
      <c r="I27" s="99" t="s">
        <v>201</v>
      </c>
      <c r="K27" s="85"/>
    </row>
    <row r="28" spans="2:11" x14ac:dyDescent="0.3">
      <c r="B28" s="211" t="s">
        <v>199</v>
      </c>
      <c r="C28" s="211" t="s">
        <v>82</v>
      </c>
      <c r="D28" s="211" t="s">
        <v>83</v>
      </c>
      <c r="E28" s="98" t="s">
        <v>659</v>
      </c>
      <c r="F28" s="98" t="s">
        <v>656</v>
      </c>
      <c r="G28" s="99" t="s">
        <v>200</v>
      </c>
      <c r="H28" s="98"/>
      <c r="I28" s="99" t="s">
        <v>201</v>
      </c>
      <c r="K28" s="85"/>
    </row>
    <row r="29" spans="2:11" x14ac:dyDescent="0.3">
      <c r="B29" s="211" t="s">
        <v>199</v>
      </c>
      <c r="C29" s="211" t="s">
        <v>338</v>
      </c>
      <c r="D29" s="211" t="s">
        <v>337</v>
      </c>
      <c r="E29" s="98" t="s">
        <v>659</v>
      </c>
      <c r="F29" s="98" t="s">
        <v>656</v>
      </c>
      <c r="G29" s="99" t="s">
        <v>200</v>
      </c>
      <c r="H29" s="98"/>
      <c r="I29" s="99" t="s">
        <v>201</v>
      </c>
      <c r="K29" s="85"/>
    </row>
    <row r="30" spans="2:11" x14ac:dyDescent="0.3">
      <c r="B30" s="211" t="s">
        <v>199</v>
      </c>
      <c r="C30" s="211" t="s">
        <v>375</v>
      </c>
      <c r="D30" s="211" t="s">
        <v>376</v>
      </c>
      <c r="E30" s="98" t="s">
        <v>659</v>
      </c>
      <c r="F30" s="98" t="s">
        <v>656</v>
      </c>
      <c r="G30" s="99" t="s">
        <v>200</v>
      </c>
      <c r="H30" s="98"/>
      <c r="I30" s="99" t="s">
        <v>201</v>
      </c>
      <c r="K30" s="85"/>
    </row>
    <row r="31" spans="2:11" x14ac:dyDescent="0.3">
      <c r="B31" s="211" t="s">
        <v>199</v>
      </c>
      <c r="C31" s="211" t="s">
        <v>84</v>
      </c>
      <c r="D31" s="211" t="s">
        <v>377</v>
      </c>
      <c r="E31" s="98" t="s">
        <v>659</v>
      </c>
      <c r="F31" s="98" t="s">
        <v>656</v>
      </c>
      <c r="G31" s="99" t="s">
        <v>200</v>
      </c>
      <c r="H31" s="98"/>
      <c r="I31" s="99" t="s">
        <v>201</v>
      </c>
      <c r="K31" s="85"/>
    </row>
    <row r="32" spans="2:11" x14ac:dyDescent="0.3">
      <c r="B32" s="211" t="s">
        <v>199</v>
      </c>
      <c r="C32" s="211" t="s">
        <v>587</v>
      </c>
      <c r="D32" s="211" t="s">
        <v>598</v>
      </c>
      <c r="E32" s="98" t="s">
        <v>659</v>
      </c>
      <c r="F32" s="98" t="s">
        <v>656</v>
      </c>
      <c r="G32" s="99" t="s">
        <v>200</v>
      </c>
      <c r="H32" s="98"/>
      <c r="I32" s="99" t="s">
        <v>201</v>
      </c>
      <c r="K32" s="85"/>
    </row>
    <row r="33" spans="2:11" x14ac:dyDescent="0.3">
      <c r="B33" s="211" t="s">
        <v>199</v>
      </c>
      <c r="C33" s="211" t="s">
        <v>340</v>
      </c>
      <c r="D33" s="211" t="s">
        <v>339</v>
      </c>
      <c r="E33" s="98" t="s">
        <v>659</v>
      </c>
      <c r="F33" s="98" t="s">
        <v>656</v>
      </c>
      <c r="G33" s="99" t="s">
        <v>200</v>
      </c>
      <c r="H33" s="98"/>
      <c r="I33" s="99" t="s">
        <v>201</v>
      </c>
      <c r="K33" s="85"/>
    </row>
    <row r="34" spans="2:11" x14ac:dyDescent="0.3">
      <c r="B34" s="211" t="s">
        <v>199</v>
      </c>
      <c r="C34" s="211" t="s">
        <v>378</v>
      </c>
      <c r="D34" s="211" t="s">
        <v>379</v>
      </c>
      <c r="E34" s="98" t="s">
        <v>659</v>
      </c>
      <c r="F34" s="98" t="s">
        <v>656</v>
      </c>
      <c r="G34" s="99" t="s">
        <v>200</v>
      </c>
      <c r="H34" s="98"/>
      <c r="I34" s="99" t="s">
        <v>201</v>
      </c>
      <c r="K34" s="85"/>
    </row>
    <row r="35" spans="2:11" ht="12.75" customHeight="1" x14ac:dyDescent="0.3">
      <c r="B35" s="211" t="s">
        <v>199</v>
      </c>
      <c r="C35" s="211" t="s">
        <v>47</v>
      </c>
      <c r="D35" s="211" t="s">
        <v>323</v>
      </c>
      <c r="E35" s="98" t="s">
        <v>659</v>
      </c>
      <c r="F35" s="98" t="s">
        <v>656</v>
      </c>
      <c r="G35" s="99" t="s">
        <v>200</v>
      </c>
      <c r="H35" s="98"/>
      <c r="I35" s="99" t="s">
        <v>201</v>
      </c>
      <c r="K35" s="85"/>
    </row>
    <row r="36" spans="2:11" x14ac:dyDescent="0.3">
      <c r="B36" s="211" t="s">
        <v>199</v>
      </c>
      <c r="C36" s="211" t="s">
        <v>561</v>
      </c>
      <c r="D36" s="211" t="s">
        <v>393</v>
      </c>
      <c r="E36" s="98" t="s">
        <v>659</v>
      </c>
      <c r="F36" s="98" t="s">
        <v>656</v>
      </c>
      <c r="G36" s="99" t="s">
        <v>200</v>
      </c>
      <c r="H36" s="98"/>
      <c r="I36" s="99" t="s">
        <v>201</v>
      </c>
      <c r="K36" s="85"/>
    </row>
    <row r="37" spans="2:11" x14ac:dyDescent="0.3">
      <c r="B37" s="211" t="s">
        <v>199</v>
      </c>
      <c r="C37" s="211" t="s">
        <v>214</v>
      </c>
      <c r="D37" s="211" t="s">
        <v>215</v>
      </c>
      <c r="E37" s="98" t="s">
        <v>659</v>
      </c>
      <c r="F37" s="98" t="s">
        <v>656</v>
      </c>
      <c r="G37" s="99" t="s">
        <v>200</v>
      </c>
      <c r="H37" s="98"/>
      <c r="I37" s="99" t="s">
        <v>201</v>
      </c>
      <c r="K37" s="85"/>
    </row>
    <row r="38" spans="2:11" x14ac:dyDescent="0.3">
      <c r="B38" s="211" t="s">
        <v>199</v>
      </c>
      <c r="C38" s="211" t="s">
        <v>49</v>
      </c>
      <c r="D38" s="211" t="s">
        <v>324</v>
      </c>
      <c r="E38" s="98" t="s">
        <v>659</v>
      </c>
      <c r="F38" s="98" t="s">
        <v>656</v>
      </c>
      <c r="G38" s="99" t="s">
        <v>200</v>
      </c>
      <c r="H38" s="98"/>
      <c r="I38" s="99" t="s">
        <v>201</v>
      </c>
      <c r="K38" s="85"/>
    </row>
    <row r="39" spans="2:11" x14ac:dyDescent="0.3">
      <c r="B39" s="211" t="s">
        <v>199</v>
      </c>
      <c r="C39" s="211" t="s">
        <v>562</v>
      </c>
      <c r="D39" s="211" t="s">
        <v>394</v>
      </c>
      <c r="E39" s="98" t="s">
        <v>659</v>
      </c>
      <c r="F39" s="98" t="s">
        <v>656</v>
      </c>
      <c r="G39" s="99" t="s">
        <v>200</v>
      </c>
      <c r="H39" s="98"/>
      <c r="I39" s="99" t="s">
        <v>201</v>
      </c>
      <c r="K39" s="85"/>
    </row>
    <row r="40" spans="2:11" x14ac:dyDescent="0.3">
      <c r="B40" s="211" t="s">
        <v>199</v>
      </c>
      <c r="C40" s="211" t="s">
        <v>216</v>
      </c>
      <c r="D40" s="211" t="s">
        <v>217</v>
      </c>
      <c r="E40" s="98" t="s">
        <v>659</v>
      </c>
      <c r="F40" s="98" t="s">
        <v>656</v>
      </c>
      <c r="G40" s="99" t="s">
        <v>200</v>
      </c>
      <c r="H40" s="98"/>
      <c r="I40" s="99" t="s">
        <v>201</v>
      </c>
      <c r="K40" s="85"/>
    </row>
    <row r="41" spans="2:11" x14ac:dyDescent="0.3">
      <c r="B41" s="211" t="s">
        <v>199</v>
      </c>
      <c r="C41" s="211" t="s">
        <v>50</v>
      </c>
      <c r="D41" s="211" t="s">
        <v>325</v>
      </c>
      <c r="E41" s="98" t="s">
        <v>659</v>
      </c>
      <c r="F41" s="98" t="s">
        <v>656</v>
      </c>
      <c r="G41" s="99" t="s">
        <v>200</v>
      </c>
      <c r="H41" s="98"/>
      <c r="I41" s="99" t="s">
        <v>201</v>
      </c>
      <c r="K41" s="85"/>
    </row>
    <row r="42" spans="2:11" x14ac:dyDescent="0.3">
      <c r="B42" s="211" t="s">
        <v>199</v>
      </c>
      <c r="C42" s="211" t="s">
        <v>563</v>
      </c>
      <c r="D42" s="211" t="s">
        <v>395</v>
      </c>
      <c r="E42" s="98" t="s">
        <v>659</v>
      </c>
      <c r="F42" s="98" t="s">
        <v>656</v>
      </c>
      <c r="G42" s="99" t="s">
        <v>200</v>
      </c>
      <c r="H42" s="98"/>
      <c r="I42" s="99" t="s">
        <v>201</v>
      </c>
      <c r="K42" s="85"/>
    </row>
    <row r="43" spans="2:11" x14ac:dyDescent="0.3">
      <c r="B43" s="211" t="s">
        <v>199</v>
      </c>
      <c r="C43" s="211" t="s">
        <v>218</v>
      </c>
      <c r="D43" s="211" t="s">
        <v>219</v>
      </c>
      <c r="E43" s="98" t="s">
        <v>659</v>
      </c>
      <c r="F43" s="98" t="s">
        <v>656</v>
      </c>
      <c r="G43" s="99" t="s">
        <v>200</v>
      </c>
      <c r="H43" s="98"/>
      <c r="I43" s="99" t="s">
        <v>201</v>
      </c>
      <c r="K43" s="85"/>
    </row>
    <row r="44" spans="2:11" x14ac:dyDescent="0.3">
      <c r="B44" s="211" t="s">
        <v>199</v>
      </c>
      <c r="C44" s="211" t="s">
        <v>52</v>
      </c>
      <c r="D44" s="211" t="s">
        <v>326</v>
      </c>
      <c r="E44" s="98" t="s">
        <v>659</v>
      </c>
      <c r="F44" s="98" t="s">
        <v>656</v>
      </c>
      <c r="G44" s="99" t="s">
        <v>200</v>
      </c>
      <c r="H44" s="98"/>
      <c r="I44" s="99" t="s">
        <v>201</v>
      </c>
      <c r="K44" s="85"/>
    </row>
    <row r="45" spans="2:11" x14ac:dyDescent="0.3">
      <c r="B45" s="211" t="s">
        <v>199</v>
      </c>
      <c r="C45" s="211" t="s">
        <v>564</v>
      </c>
      <c r="D45" s="211" t="s">
        <v>396</v>
      </c>
      <c r="E45" s="98" t="s">
        <v>659</v>
      </c>
      <c r="F45" s="98" t="s">
        <v>656</v>
      </c>
      <c r="G45" s="99" t="s">
        <v>200</v>
      </c>
      <c r="H45" s="98"/>
      <c r="I45" s="99" t="s">
        <v>201</v>
      </c>
      <c r="K45" s="85"/>
    </row>
    <row r="46" spans="2:11" x14ac:dyDescent="0.3">
      <c r="B46" s="211" t="s">
        <v>199</v>
      </c>
      <c r="C46" s="211" t="s">
        <v>220</v>
      </c>
      <c r="D46" s="211" t="s">
        <v>221</v>
      </c>
      <c r="E46" s="98" t="s">
        <v>659</v>
      </c>
      <c r="F46" s="98" t="s">
        <v>656</v>
      </c>
      <c r="G46" s="99" t="s">
        <v>200</v>
      </c>
      <c r="H46" s="98"/>
      <c r="I46" s="99" t="s">
        <v>201</v>
      </c>
      <c r="K46" s="85"/>
    </row>
    <row r="47" spans="2:11" x14ac:dyDescent="0.3">
      <c r="B47" s="211" t="s">
        <v>199</v>
      </c>
      <c r="C47" s="211" t="s">
        <v>55</v>
      </c>
      <c r="D47" s="211" t="s">
        <v>327</v>
      </c>
      <c r="E47" s="98" t="s">
        <v>659</v>
      </c>
      <c r="F47" s="98" t="s">
        <v>656</v>
      </c>
      <c r="G47" s="99" t="s">
        <v>200</v>
      </c>
      <c r="H47" s="98"/>
      <c r="I47" s="99" t="s">
        <v>201</v>
      </c>
      <c r="K47" s="85"/>
    </row>
    <row r="48" spans="2:11" ht="12.75" customHeight="1" x14ac:dyDescent="0.3">
      <c r="B48" s="211" t="s">
        <v>199</v>
      </c>
      <c r="C48" s="211" t="s">
        <v>565</v>
      </c>
      <c r="D48" s="211" t="s">
        <v>397</v>
      </c>
      <c r="E48" s="98" t="s">
        <v>659</v>
      </c>
      <c r="F48" s="98" t="s">
        <v>656</v>
      </c>
      <c r="G48" s="99" t="s">
        <v>200</v>
      </c>
      <c r="H48" s="98"/>
      <c r="I48" s="99" t="s">
        <v>201</v>
      </c>
      <c r="K48" s="85"/>
    </row>
    <row r="49" spans="2:11" x14ac:dyDescent="0.3">
      <c r="B49" s="211" t="s">
        <v>199</v>
      </c>
      <c r="C49" s="211" t="s">
        <v>222</v>
      </c>
      <c r="D49" s="211" t="s">
        <v>223</v>
      </c>
      <c r="E49" s="98" t="s">
        <v>659</v>
      </c>
      <c r="F49" s="98" t="s">
        <v>656</v>
      </c>
      <c r="G49" s="99" t="s">
        <v>200</v>
      </c>
      <c r="H49" s="98"/>
      <c r="I49" s="99" t="s">
        <v>201</v>
      </c>
      <c r="K49" s="85"/>
    </row>
    <row r="50" spans="2:11" x14ac:dyDescent="0.3">
      <c r="B50" s="211" t="s">
        <v>199</v>
      </c>
      <c r="C50" s="211" t="s">
        <v>56</v>
      </c>
      <c r="D50" s="211" t="s">
        <v>328</v>
      </c>
      <c r="E50" s="98" t="s">
        <v>659</v>
      </c>
      <c r="F50" s="98" t="s">
        <v>656</v>
      </c>
      <c r="G50" s="99" t="s">
        <v>200</v>
      </c>
      <c r="H50" s="98"/>
      <c r="I50" s="99" t="s">
        <v>201</v>
      </c>
      <c r="K50" s="85"/>
    </row>
    <row r="51" spans="2:11" x14ac:dyDescent="0.3">
      <c r="B51" s="211" t="s">
        <v>199</v>
      </c>
      <c r="C51" s="211" t="s">
        <v>566</v>
      </c>
      <c r="D51" s="211" t="s">
        <v>398</v>
      </c>
      <c r="E51" s="98" t="s">
        <v>659</v>
      </c>
      <c r="F51" s="98" t="s">
        <v>656</v>
      </c>
      <c r="G51" s="99" t="s">
        <v>200</v>
      </c>
      <c r="H51" s="98"/>
      <c r="I51" s="99" t="s">
        <v>201</v>
      </c>
      <c r="K51" s="85"/>
    </row>
    <row r="52" spans="2:11" x14ac:dyDescent="0.3">
      <c r="B52" s="211" t="s">
        <v>199</v>
      </c>
      <c r="C52" s="211" t="s">
        <v>224</v>
      </c>
      <c r="D52" s="211" t="s">
        <v>225</v>
      </c>
      <c r="E52" s="98" t="s">
        <v>659</v>
      </c>
      <c r="F52" s="98" t="s">
        <v>656</v>
      </c>
      <c r="G52" s="99" t="s">
        <v>200</v>
      </c>
      <c r="H52" s="98"/>
      <c r="I52" s="99" t="s">
        <v>201</v>
      </c>
      <c r="K52" s="85"/>
    </row>
    <row r="53" spans="2:11" x14ac:dyDescent="0.3">
      <c r="B53" s="211" t="s">
        <v>199</v>
      </c>
      <c r="C53" s="211" t="s">
        <v>58</v>
      </c>
      <c r="D53" s="211" t="s">
        <v>329</v>
      </c>
      <c r="E53" s="98" t="s">
        <v>659</v>
      </c>
      <c r="F53" s="98" t="s">
        <v>656</v>
      </c>
      <c r="G53" s="99" t="s">
        <v>200</v>
      </c>
      <c r="H53" s="98"/>
      <c r="I53" s="99" t="s">
        <v>201</v>
      </c>
      <c r="K53" s="85"/>
    </row>
    <row r="54" spans="2:11" x14ac:dyDescent="0.3">
      <c r="B54" s="211" t="s">
        <v>199</v>
      </c>
      <c r="C54" s="211" t="s">
        <v>567</v>
      </c>
      <c r="D54" s="211" t="s">
        <v>399</v>
      </c>
      <c r="E54" s="98" t="s">
        <v>659</v>
      </c>
      <c r="F54" s="98" t="s">
        <v>656</v>
      </c>
      <c r="G54" s="99" t="s">
        <v>200</v>
      </c>
      <c r="H54" s="98"/>
      <c r="I54" s="99" t="s">
        <v>201</v>
      </c>
      <c r="K54" s="85"/>
    </row>
    <row r="55" spans="2:11" x14ac:dyDescent="0.3">
      <c r="B55" s="211" t="s">
        <v>199</v>
      </c>
      <c r="C55" s="211" t="s">
        <v>226</v>
      </c>
      <c r="D55" s="211" t="s">
        <v>227</v>
      </c>
      <c r="E55" s="98" t="s">
        <v>659</v>
      </c>
      <c r="F55" s="98" t="s">
        <v>656</v>
      </c>
      <c r="G55" s="99" t="s">
        <v>200</v>
      </c>
      <c r="H55" s="98"/>
      <c r="I55" s="99" t="s">
        <v>201</v>
      </c>
      <c r="K55" s="85"/>
    </row>
    <row r="56" spans="2:11" x14ac:dyDescent="0.3">
      <c r="B56" s="211" t="s">
        <v>199</v>
      </c>
      <c r="C56" s="211" t="s">
        <v>59</v>
      </c>
      <c r="D56" s="211" t="s">
        <v>330</v>
      </c>
      <c r="E56" s="98" t="s">
        <v>659</v>
      </c>
      <c r="F56" s="98" t="s">
        <v>656</v>
      </c>
      <c r="G56" s="99" t="s">
        <v>200</v>
      </c>
      <c r="H56" s="98"/>
      <c r="I56" s="99" t="s">
        <v>201</v>
      </c>
      <c r="K56" s="85"/>
    </row>
    <row r="57" spans="2:11" x14ac:dyDescent="0.3">
      <c r="B57" s="211" t="s">
        <v>199</v>
      </c>
      <c r="C57" s="211" t="s">
        <v>568</v>
      </c>
      <c r="D57" s="211" t="s">
        <v>400</v>
      </c>
      <c r="E57" s="98" t="s">
        <v>659</v>
      </c>
      <c r="F57" s="98" t="s">
        <v>656</v>
      </c>
      <c r="G57" s="99" t="s">
        <v>200</v>
      </c>
      <c r="H57" s="98"/>
      <c r="I57" s="99" t="s">
        <v>201</v>
      </c>
      <c r="K57" s="85"/>
    </row>
    <row r="58" spans="2:11" x14ac:dyDescent="0.3">
      <c r="B58" s="211" t="s">
        <v>199</v>
      </c>
      <c r="C58" s="211" t="s">
        <v>228</v>
      </c>
      <c r="D58" s="211" t="s">
        <v>229</v>
      </c>
      <c r="E58" s="98" t="s">
        <v>659</v>
      </c>
      <c r="F58" s="98" t="s">
        <v>656</v>
      </c>
      <c r="G58" s="99" t="s">
        <v>200</v>
      </c>
      <c r="H58" s="98"/>
      <c r="I58" s="99" t="s">
        <v>201</v>
      </c>
      <c r="K58" s="85"/>
    </row>
    <row r="59" spans="2:11" x14ac:dyDescent="0.3">
      <c r="B59" s="211" t="s">
        <v>199</v>
      </c>
      <c r="C59" s="211" t="s">
        <v>60</v>
      </c>
      <c r="D59" s="211" t="s">
        <v>61</v>
      </c>
      <c r="E59" s="98" t="s">
        <v>659</v>
      </c>
      <c r="F59" s="98" t="s">
        <v>656</v>
      </c>
      <c r="G59" s="99" t="s">
        <v>200</v>
      </c>
      <c r="H59" s="98"/>
      <c r="I59" s="99" t="s">
        <v>201</v>
      </c>
      <c r="K59" s="85"/>
    </row>
    <row r="60" spans="2:11" x14ac:dyDescent="0.3">
      <c r="B60" s="211" t="s">
        <v>199</v>
      </c>
      <c r="C60" s="211" t="s">
        <v>569</v>
      </c>
      <c r="D60" s="211" t="s">
        <v>401</v>
      </c>
      <c r="E60" s="98" t="s">
        <v>659</v>
      </c>
      <c r="F60" s="98" t="s">
        <v>656</v>
      </c>
      <c r="G60" s="99" t="s">
        <v>200</v>
      </c>
      <c r="H60" s="98"/>
      <c r="I60" s="99" t="s">
        <v>201</v>
      </c>
      <c r="K60" s="85"/>
    </row>
    <row r="61" spans="2:11" x14ac:dyDescent="0.3">
      <c r="B61" s="211" t="s">
        <v>199</v>
      </c>
      <c r="C61" s="211" t="s">
        <v>230</v>
      </c>
      <c r="D61" s="211" t="s">
        <v>231</v>
      </c>
      <c r="E61" s="98" t="s">
        <v>659</v>
      </c>
      <c r="F61" s="98" t="s">
        <v>656</v>
      </c>
      <c r="G61" s="99" t="s">
        <v>200</v>
      </c>
      <c r="H61" s="98"/>
      <c r="I61" s="99" t="s">
        <v>201</v>
      </c>
      <c r="K61" s="85"/>
    </row>
    <row r="62" spans="2:11" x14ac:dyDescent="0.3">
      <c r="B62" s="211" t="s">
        <v>199</v>
      </c>
      <c r="C62" s="211" t="s">
        <v>583</v>
      </c>
      <c r="D62" s="211" t="s">
        <v>599</v>
      </c>
      <c r="E62" s="98" t="s">
        <v>659</v>
      </c>
      <c r="F62" s="98" t="s">
        <v>656</v>
      </c>
      <c r="G62" s="99" t="s">
        <v>200</v>
      </c>
      <c r="H62" s="98"/>
      <c r="I62" s="99" t="s">
        <v>201</v>
      </c>
      <c r="K62" s="85"/>
    </row>
    <row r="63" spans="2:11" x14ac:dyDescent="0.3">
      <c r="B63" s="211" t="s">
        <v>199</v>
      </c>
      <c r="C63" s="211" t="s">
        <v>586</v>
      </c>
      <c r="D63" s="211" t="s">
        <v>600</v>
      </c>
      <c r="E63" s="98" t="s">
        <v>659</v>
      </c>
      <c r="F63" s="98" t="s">
        <v>656</v>
      </c>
      <c r="G63" s="99" t="s">
        <v>200</v>
      </c>
      <c r="H63" s="98"/>
      <c r="I63" s="99" t="s">
        <v>201</v>
      </c>
      <c r="K63" s="85"/>
    </row>
    <row r="64" spans="2:11" x14ac:dyDescent="0.3">
      <c r="B64" s="211" t="s">
        <v>199</v>
      </c>
      <c r="C64" s="211" t="s">
        <v>584</v>
      </c>
      <c r="D64" s="211" t="s">
        <v>585</v>
      </c>
      <c r="E64" s="98" t="s">
        <v>659</v>
      </c>
      <c r="F64" s="98" t="s">
        <v>656</v>
      </c>
      <c r="G64" s="99" t="s">
        <v>200</v>
      </c>
      <c r="H64" s="98"/>
      <c r="I64" s="99" t="s">
        <v>201</v>
      </c>
      <c r="K64" s="85"/>
    </row>
    <row r="65" spans="2:11" x14ac:dyDescent="0.3">
      <c r="B65" s="211" t="s">
        <v>199</v>
      </c>
      <c r="C65" s="211" t="s">
        <v>63</v>
      </c>
      <c r="D65" s="211" t="s">
        <v>331</v>
      </c>
      <c r="E65" s="98" t="s">
        <v>659</v>
      </c>
      <c r="F65" s="98" t="s">
        <v>656</v>
      </c>
      <c r="G65" s="99" t="s">
        <v>200</v>
      </c>
      <c r="H65" s="98"/>
      <c r="I65" s="99" t="s">
        <v>201</v>
      </c>
      <c r="K65" s="85"/>
    </row>
    <row r="66" spans="2:11" x14ac:dyDescent="0.3">
      <c r="B66" s="211" t="s">
        <v>199</v>
      </c>
      <c r="C66" s="211" t="s">
        <v>570</v>
      </c>
      <c r="D66" s="211" t="s">
        <v>402</v>
      </c>
      <c r="E66" s="98" t="s">
        <v>659</v>
      </c>
      <c r="F66" s="98" t="s">
        <v>656</v>
      </c>
      <c r="G66" s="99" t="s">
        <v>200</v>
      </c>
      <c r="H66" s="98"/>
      <c r="I66" s="99" t="s">
        <v>201</v>
      </c>
      <c r="K66" s="85"/>
    </row>
    <row r="67" spans="2:11" x14ac:dyDescent="0.3">
      <c r="B67" s="211" t="s">
        <v>199</v>
      </c>
      <c r="C67" s="211" t="s">
        <v>232</v>
      </c>
      <c r="D67" s="211" t="s">
        <v>233</v>
      </c>
      <c r="E67" s="98" t="s">
        <v>659</v>
      </c>
      <c r="F67" s="98" t="s">
        <v>656</v>
      </c>
      <c r="G67" s="99" t="s">
        <v>200</v>
      </c>
      <c r="H67" s="98"/>
      <c r="I67" s="99" t="s">
        <v>201</v>
      </c>
      <c r="K67" s="85"/>
    </row>
    <row r="68" spans="2:11" x14ac:dyDescent="0.3">
      <c r="B68" s="211" t="s">
        <v>199</v>
      </c>
      <c r="C68" s="211" t="s">
        <v>64</v>
      </c>
      <c r="D68" s="211" t="s">
        <v>332</v>
      </c>
      <c r="E68" s="98" t="s">
        <v>659</v>
      </c>
      <c r="F68" s="98" t="s">
        <v>656</v>
      </c>
      <c r="G68" s="99" t="s">
        <v>200</v>
      </c>
      <c r="H68" s="98"/>
      <c r="I68" s="99" t="s">
        <v>201</v>
      </c>
      <c r="K68" s="85"/>
    </row>
    <row r="69" spans="2:11" x14ac:dyDescent="0.3">
      <c r="B69" s="211" t="s">
        <v>199</v>
      </c>
      <c r="C69" s="211" t="s">
        <v>571</v>
      </c>
      <c r="D69" s="211" t="s">
        <v>403</v>
      </c>
      <c r="E69" s="98" t="s">
        <v>659</v>
      </c>
      <c r="F69" s="98" t="s">
        <v>656</v>
      </c>
      <c r="G69" s="99" t="s">
        <v>200</v>
      </c>
      <c r="H69" s="98"/>
      <c r="I69" s="99" t="s">
        <v>201</v>
      </c>
      <c r="K69" s="85"/>
    </row>
    <row r="70" spans="2:11" x14ac:dyDescent="0.3">
      <c r="B70" s="211" t="s">
        <v>199</v>
      </c>
      <c r="C70" s="211" t="s">
        <v>234</v>
      </c>
      <c r="D70" s="211" t="s">
        <v>235</v>
      </c>
      <c r="E70" s="98" t="s">
        <v>659</v>
      </c>
      <c r="F70" s="98" t="s">
        <v>656</v>
      </c>
      <c r="G70" s="99" t="s">
        <v>200</v>
      </c>
      <c r="H70" s="98"/>
      <c r="I70" s="99" t="s">
        <v>201</v>
      </c>
      <c r="K70" s="85"/>
    </row>
    <row r="71" spans="2:11" x14ac:dyDescent="0.3">
      <c r="B71" s="211" t="s">
        <v>199</v>
      </c>
      <c r="C71" s="211" t="s">
        <v>132</v>
      </c>
      <c r="D71" s="211" t="s">
        <v>133</v>
      </c>
      <c r="E71" s="98" t="s">
        <v>659</v>
      </c>
      <c r="F71" s="98" t="s">
        <v>656</v>
      </c>
      <c r="G71" s="99" t="s">
        <v>200</v>
      </c>
      <c r="H71" s="98"/>
      <c r="I71" s="99" t="s">
        <v>201</v>
      </c>
      <c r="K71" s="85"/>
    </row>
    <row r="72" spans="2:11" x14ac:dyDescent="0.3">
      <c r="B72" s="211" t="s">
        <v>199</v>
      </c>
      <c r="C72" s="211" t="s">
        <v>236</v>
      </c>
      <c r="D72" s="211" t="s">
        <v>237</v>
      </c>
      <c r="E72" s="98" t="s">
        <v>659</v>
      </c>
      <c r="F72" s="98" t="s">
        <v>656</v>
      </c>
      <c r="G72" s="99" t="s">
        <v>200</v>
      </c>
      <c r="H72" s="98"/>
      <c r="I72" s="99" t="s">
        <v>201</v>
      </c>
      <c r="K72" s="85"/>
    </row>
    <row r="73" spans="2:11" x14ac:dyDescent="0.3">
      <c r="B73" s="211" t="s">
        <v>199</v>
      </c>
      <c r="C73" s="211" t="s">
        <v>134</v>
      </c>
      <c r="D73" s="211" t="s">
        <v>135</v>
      </c>
      <c r="E73" s="98" t="s">
        <v>659</v>
      </c>
      <c r="F73" s="98" t="s">
        <v>656</v>
      </c>
      <c r="G73" s="99" t="s">
        <v>200</v>
      </c>
      <c r="H73" s="98"/>
      <c r="I73" s="99" t="s">
        <v>201</v>
      </c>
      <c r="K73" s="85"/>
    </row>
    <row r="74" spans="2:11" x14ac:dyDescent="0.3">
      <c r="B74" s="211" t="s">
        <v>199</v>
      </c>
      <c r="C74" s="211" t="s">
        <v>238</v>
      </c>
      <c r="D74" s="211" t="s">
        <v>239</v>
      </c>
      <c r="E74" s="98" t="s">
        <v>659</v>
      </c>
      <c r="F74" s="98" t="s">
        <v>656</v>
      </c>
      <c r="G74" s="99" t="s">
        <v>200</v>
      </c>
      <c r="H74" s="98"/>
      <c r="I74" s="99" t="s">
        <v>201</v>
      </c>
      <c r="K74" s="85"/>
    </row>
    <row r="75" spans="2:11" x14ac:dyDescent="0.3">
      <c r="B75" s="211" t="s">
        <v>199</v>
      </c>
      <c r="C75" s="211" t="s">
        <v>136</v>
      </c>
      <c r="D75" s="211" t="s">
        <v>137</v>
      </c>
      <c r="E75" s="98" t="s">
        <v>659</v>
      </c>
      <c r="F75" s="98" t="s">
        <v>656</v>
      </c>
      <c r="G75" s="99" t="s">
        <v>200</v>
      </c>
      <c r="H75" s="98"/>
      <c r="I75" s="99" t="s">
        <v>201</v>
      </c>
      <c r="K75" s="85"/>
    </row>
    <row r="76" spans="2:11" x14ac:dyDescent="0.3">
      <c r="B76" s="211" t="s">
        <v>199</v>
      </c>
      <c r="C76" s="211" t="s">
        <v>240</v>
      </c>
      <c r="D76" s="211" t="s">
        <v>241</v>
      </c>
      <c r="E76" s="98" t="s">
        <v>659</v>
      </c>
      <c r="F76" s="98" t="s">
        <v>656</v>
      </c>
      <c r="G76" s="99" t="s">
        <v>200</v>
      </c>
      <c r="H76" s="98"/>
      <c r="I76" s="99" t="s">
        <v>201</v>
      </c>
      <c r="K76" s="85"/>
    </row>
    <row r="77" spans="2:11" x14ac:dyDescent="0.3">
      <c r="B77" s="211" t="s">
        <v>199</v>
      </c>
      <c r="C77" s="211" t="s">
        <v>138</v>
      </c>
      <c r="D77" s="211" t="s">
        <v>139</v>
      </c>
      <c r="E77" s="98" t="s">
        <v>659</v>
      </c>
      <c r="F77" s="98" t="s">
        <v>656</v>
      </c>
      <c r="G77" s="99" t="s">
        <v>200</v>
      </c>
      <c r="H77" s="98"/>
      <c r="I77" s="99" t="s">
        <v>201</v>
      </c>
      <c r="K77" s="85"/>
    </row>
    <row r="78" spans="2:11" x14ac:dyDescent="0.3">
      <c r="B78" s="211" t="s">
        <v>199</v>
      </c>
      <c r="C78" s="211" t="s">
        <v>242</v>
      </c>
      <c r="D78" s="211" t="s">
        <v>243</v>
      </c>
      <c r="E78" s="98" t="s">
        <v>659</v>
      </c>
      <c r="F78" s="98" t="s">
        <v>656</v>
      </c>
      <c r="G78" s="99" t="s">
        <v>200</v>
      </c>
      <c r="H78" s="98"/>
      <c r="I78" s="99" t="s">
        <v>201</v>
      </c>
      <c r="K78" s="85"/>
    </row>
    <row r="79" spans="2:11" x14ac:dyDescent="0.3">
      <c r="B79" s="211" t="s">
        <v>199</v>
      </c>
      <c r="C79" s="211" t="s">
        <v>140</v>
      </c>
      <c r="D79" s="211" t="s">
        <v>141</v>
      </c>
      <c r="E79" s="98" t="s">
        <v>659</v>
      </c>
      <c r="F79" s="98" t="s">
        <v>656</v>
      </c>
      <c r="G79" s="99" t="s">
        <v>200</v>
      </c>
      <c r="H79" s="98"/>
      <c r="I79" s="99" t="s">
        <v>201</v>
      </c>
      <c r="K79" s="85"/>
    </row>
    <row r="80" spans="2:11" x14ac:dyDescent="0.3">
      <c r="B80" s="211" t="s">
        <v>199</v>
      </c>
      <c r="C80" s="211" t="s">
        <v>244</v>
      </c>
      <c r="D80" s="211" t="s">
        <v>245</v>
      </c>
      <c r="E80" s="98" t="s">
        <v>659</v>
      </c>
      <c r="F80" s="98" t="s">
        <v>656</v>
      </c>
      <c r="G80" s="99" t="s">
        <v>200</v>
      </c>
      <c r="H80" s="98"/>
      <c r="I80" s="99" t="s">
        <v>201</v>
      </c>
      <c r="K80" s="85"/>
    </row>
    <row r="81" spans="2:11" ht="15" customHeight="1" x14ac:dyDescent="0.3">
      <c r="B81" s="211" t="s">
        <v>199</v>
      </c>
      <c r="C81" s="211" t="s">
        <v>142</v>
      </c>
      <c r="D81" s="211" t="s">
        <v>143</v>
      </c>
      <c r="E81" s="98" t="s">
        <v>659</v>
      </c>
      <c r="F81" s="98" t="s">
        <v>656</v>
      </c>
      <c r="G81" s="99" t="s">
        <v>200</v>
      </c>
      <c r="H81" s="98"/>
      <c r="I81" s="99" t="s">
        <v>201</v>
      </c>
      <c r="K81" s="85"/>
    </row>
    <row r="82" spans="2:11" x14ac:dyDescent="0.3">
      <c r="B82" s="211" t="s">
        <v>199</v>
      </c>
      <c r="C82" s="211" t="s">
        <v>246</v>
      </c>
      <c r="D82" s="211" t="s">
        <v>247</v>
      </c>
      <c r="E82" s="98" t="s">
        <v>659</v>
      </c>
      <c r="F82" s="98" t="s">
        <v>656</v>
      </c>
      <c r="G82" s="99" t="s">
        <v>200</v>
      </c>
      <c r="H82" s="98"/>
      <c r="I82" s="99" t="s">
        <v>201</v>
      </c>
      <c r="K82" s="85"/>
    </row>
    <row r="83" spans="2:11" x14ac:dyDescent="0.3">
      <c r="B83" s="211" t="s">
        <v>199</v>
      </c>
      <c r="C83" s="211" t="s">
        <v>144</v>
      </c>
      <c r="D83" s="211" t="s">
        <v>145</v>
      </c>
      <c r="E83" s="98" t="s">
        <v>659</v>
      </c>
      <c r="F83" s="98" t="s">
        <v>656</v>
      </c>
      <c r="G83" s="99" t="s">
        <v>200</v>
      </c>
      <c r="H83" s="98"/>
      <c r="I83" s="99" t="s">
        <v>201</v>
      </c>
      <c r="K83" s="85"/>
    </row>
    <row r="84" spans="2:11" x14ac:dyDescent="0.3">
      <c r="B84" s="211" t="s">
        <v>199</v>
      </c>
      <c r="C84" s="211" t="s">
        <v>248</v>
      </c>
      <c r="D84" s="211" t="s">
        <v>249</v>
      </c>
      <c r="E84" s="98" t="s">
        <v>659</v>
      </c>
      <c r="F84" s="98" t="s">
        <v>656</v>
      </c>
      <c r="G84" s="99" t="s">
        <v>200</v>
      </c>
      <c r="H84" s="98"/>
      <c r="I84" s="99" t="s">
        <v>201</v>
      </c>
      <c r="K84" s="85"/>
    </row>
    <row r="85" spans="2:11" x14ac:dyDescent="0.3">
      <c r="B85" s="211" t="s">
        <v>199</v>
      </c>
      <c r="C85" s="211" t="s">
        <v>146</v>
      </c>
      <c r="D85" s="211" t="s">
        <v>147</v>
      </c>
      <c r="E85" s="98" t="s">
        <v>659</v>
      </c>
      <c r="F85" s="98" t="s">
        <v>656</v>
      </c>
      <c r="G85" s="99" t="s">
        <v>200</v>
      </c>
      <c r="H85" s="98"/>
      <c r="I85" s="99" t="s">
        <v>201</v>
      </c>
      <c r="K85" s="85"/>
    </row>
    <row r="86" spans="2:11" x14ac:dyDescent="0.3">
      <c r="B86" s="211" t="s">
        <v>199</v>
      </c>
      <c r="C86" s="211" t="s">
        <v>250</v>
      </c>
      <c r="D86" s="211" t="s">
        <v>251</v>
      </c>
      <c r="E86" s="98" t="s">
        <v>659</v>
      </c>
      <c r="F86" s="98" t="s">
        <v>656</v>
      </c>
      <c r="G86" s="99" t="s">
        <v>200</v>
      </c>
      <c r="H86" s="98"/>
      <c r="I86" s="99" t="s">
        <v>201</v>
      </c>
      <c r="K86" s="85"/>
    </row>
    <row r="87" spans="2:11" x14ac:dyDescent="0.3">
      <c r="B87" s="211" t="s">
        <v>199</v>
      </c>
      <c r="C87" s="211" t="s">
        <v>149</v>
      </c>
      <c r="D87" s="211" t="s">
        <v>150</v>
      </c>
      <c r="E87" s="98" t="s">
        <v>659</v>
      </c>
      <c r="F87" s="98" t="s">
        <v>656</v>
      </c>
      <c r="G87" s="99" t="s">
        <v>200</v>
      </c>
      <c r="H87" s="98"/>
      <c r="I87" s="99" t="s">
        <v>201</v>
      </c>
      <c r="K87" s="85"/>
    </row>
    <row r="88" spans="2:11" x14ac:dyDescent="0.3">
      <c r="B88" s="211" t="s">
        <v>199</v>
      </c>
      <c r="C88" s="211" t="s">
        <v>297</v>
      </c>
      <c r="D88" s="211" t="s">
        <v>502</v>
      </c>
      <c r="E88" s="98" t="s">
        <v>659</v>
      </c>
      <c r="F88" s="98" t="s">
        <v>656</v>
      </c>
      <c r="G88" s="99" t="s">
        <v>200</v>
      </c>
      <c r="H88" s="98"/>
      <c r="I88" s="99" t="s">
        <v>201</v>
      </c>
      <c r="K88" s="85"/>
    </row>
    <row r="89" spans="2:11" x14ac:dyDescent="0.3">
      <c r="B89" s="211" t="s">
        <v>199</v>
      </c>
      <c r="C89" s="211" t="s">
        <v>151</v>
      </c>
      <c r="D89" s="211" t="s">
        <v>202</v>
      </c>
      <c r="E89" s="98" t="s">
        <v>659</v>
      </c>
      <c r="F89" s="98" t="s">
        <v>656</v>
      </c>
      <c r="G89" s="99" t="s">
        <v>200</v>
      </c>
      <c r="H89" s="98"/>
      <c r="I89" s="99" t="s">
        <v>201</v>
      </c>
      <c r="K89" s="85"/>
    </row>
    <row r="90" spans="2:11" x14ac:dyDescent="0.3">
      <c r="B90" s="211" t="s">
        <v>199</v>
      </c>
      <c r="C90" s="211" t="s">
        <v>298</v>
      </c>
      <c r="D90" s="211" t="s">
        <v>501</v>
      </c>
      <c r="E90" s="98" t="s">
        <v>659</v>
      </c>
      <c r="F90" s="98" t="s">
        <v>656</v>
      </c>
      <c r="G90" s="99" t="s">
        <v>200</v>
      </c>
      <c r="H90" s="98"/>
      <c r="I90" s="99" t="s">
        <v>201</v>
      </c>
      <c r="K90" s="85"/>
    </row>
    <row r="91" spans="2:11" x14ac:dyDescent="0.3">
      <c r="B91" s="211" t="s">
        <v>199</v>
      </c>
      <c r="C91" s="211" t="s">
        <v>148</v>
      </c>
      <c r="D91" s="211" t="s">
        <v>203</v>
      </c>
      <c r="E91" s="98" t="s">
        <v>659</v>
      </c>
      <c r="F91" s="98" t="s">
        <v>656</v>
      </c>
      <c r="G91" s="99" t="s">
        <v>200</v>
      </c>
      <c r="H91" s="98"/>
      <c r="I91" s="99" t="s">
        <v>201</v>
      </c>
      <c r="K91" s="85"/>
    </row>
    <row r="92" spans="2:11" x14ac:dyDescent="0.3">
      <c r="B92" s="211" t="s">
        <v>199</v>
      </c>
      <c r="C92" s="211" t="s">
        <v>252</v>
      </c>
      <c r="D92" s="211" t="s">
        <v>203</v>
      </c>
      <c r="E92" s="98" t="s">
        <v>659</v>
      </c>
      <c r="F92" s="98" t="s">
        <v>656</v>
      </c>
      <c r="G92" s="99" t="s">
        <v>200</v>
      </c>
      <c r="H92" s="98"/>
      <c r="I92" s="99" t="s">
        <v>201</v>
      </c>
      <c r="K92" s="85"/>
    </row>
    <row r="93" spans="2:11" x14ac:dyDescent="0.3">
      <c r="B93" s="211" t="s">
        <v>199</v>
      </c>
      <c r="C93" s="211" t="s">
        <v>592</v>
      </c>
      <c r="D93" s="211" t="s">
        <v>601</v>
      </c>
      <c r="E93" s="98" t="s">
        <v>659</v>
      </c>
      <c r="F93" s="98" t="s">
        <v>656</v>
      </c>
      <c r="G93" s="99" t="s">
        <v>200</v>
      </c>
      <c r="H93" s="98"/>
      <c r="I93" s="99" t="s">
        <v>201</v>
      </c>
      <c r="K93" s="85"/>
    </row>
    <row r="94" spans="2:11" x14ac:dyDescent="0.3">
      <c r="B94" s="211" t="s">
        <v>199</v>
      </c>
      <c r="C94" s="211" t="s">
        <v>593</v>
      </c>
      <c r="D94" s="211" t="s">
        <v>602</v>
      </c>
      <c r="E94" s="98" t="s">
        <v>659</v>
      </c>
      <c r="F94" s="98" t="s">
        <v>656</v>
      </c>
      <c r="G94" s="99" t="s">
        <v>200</v>
      </c>
      <c r="H94" s="98"/>
      <c r="I94" s="99" t="s">
        <v>201</v>
      </c>
      <c r="K94" s="85"/>
    </row>
    <row r="95" spans="2:11" x14ac:dyDescent="0.3">
      <c r="B95" s="211" t="s">
        <v>199</v>
      </c>
      <c r="C95" s="211" t="s">
        <v>152</v>
      </c>
      <c r="D95" s="211" t="s">
        <v>153</v>
      </c>
      <c r="E95" s="98" t="s">
        <v>659</v>
      </c>
      <c r="F95" s="98" t="s">
        <v>656</v>
      </c>
      <c r="G95" s="99" t="s">
        <v>200</v>
      </c>
      <c r="H95" s="98"/>
      <c r="I95" s="99" t="s">
        <v>201</v>
      </c>
      <c r="K95" s="85"/>
    </row>
    <row r="96" spans="2:11" x14ac:dyDescent="0.3">
      <c r="B96" s="211" t="s">
        <v>199</v>
      </c>
      <c r="C96" s="211" t="s">
        <v>299</v>
      </c>
      <c r="D96" s="211" t="s">
        <v>503</v>
      </c>
      <c r="E96" s="98" t="s">
        <v>659</v>
      </c>
      <c r="F96" s="98" t="s">
        <v>656</v>
      </c>
      <c r="G96" s="99" t="s">
        <v>200</v>
      </c>
      <c r="H96" s="98"/>
      <c r="I96" s="99" t="s">
        <v>201</v>
      </c>
      <c r="K96" s="85"/>
    </row>
    <row r="97" spans="2:11" x14ac:dyDescent="0.3">
      <c r="B97" s="211" t="s">
        <v>199</v>
      </c>
      <c r="C97" s="211" t="s">
        <v>154</v>
      </c>
      <c r="D97" s="211" t="s">
        <v>504</v>
      </c>
      <c r="E97" s="98" t="s">
        <v>659</v>
      </c>
      <c r="F97" s="98" t="s">
        <v>656</v>
      </c>
      <c r="G97" s="99" t="s">
        <v>200</v>
      </c>
      <c r="H97" s="98"/>
      <c r="I97" s="99" t="s">
        <v>201</v>
      </c>
      <c r="K97" s="85"/>
    </row>
    <row r="98" spans="2:11" x14ac:dyDescent="0.3">
      <c r="B98" s="211" t="s">
        <v>199</v>
      </c>
      <c r="C98" s="211" t="s">
        <v>300</v>
      </c>
      <c r="D98" s="211" t="s">
        <v>505</v>
      </c>
      <c r="E98" s="98" t="s">
        <v>659</v>
      </c>
      <c r="F98" s="98" t="s">
        <v>656</v>
      </c>
      <c r="G98" s="99" t="s">
        <v>200</v>
      </c>
      <c r="H98" s="98"/>
      <c r="I98" s="99" t="s">
        <v>201</v>
      </c>
      <c r="K98" s="85"/>
    </row>
    <row r="99" spans="2:11" x14ac:dyDescent="0.3">
      <c r="B99" s="211" t="s">
        <v>199</v>
      </c>
      <c r="C99" s="211" t="s">
        <v>345</v>
      </c>
      <c r="D99" s="211" t="s">
        <v>355</v>
      </c>
      <c r="E99" s="98" t="s">
        <v>659</v>
      </c>
      <c r="F99" s="98" t="s">
        <v>656</v>
      </c>
      <c r="G99" s="99" t="s">
        <v>200</v>
      </c>
      <c r="H99" s="98"/>
      <c r="I99" s="99" t="s">
        <v>201</v>
      </c>
      <c r="K99" s="85"/>
    </row>
    <row r="100" spans="2:11" x14ac:dyDescent="0.3">
      <c r="B100" s="211" t="s">
        <v>199</v>
      </c>
      <c r="C100" s="211" t="s">
        <v>427</v>
      </c>
      <c r="D100" s="211" t="s">
        <v>506</v>
      </c>
      <c r="E100" s="98" t="s">
        <v>659</v>
      </c>
      <c r="F100" s="98" t="s">
        <v>656</v>
      </c>
      <c r="G100" s="99" t="s">
        <v>200</v>
      </c>
      <c r="H100" s="98"/>
      <c r="I100" s="99" t="s">
        <v>201</v>
      </c>
      <c r="K100" s="85"/>
    </row>
    <row r="101" spans="2:11" x14ac:dyDescent="0.3">
      <c r="B101" s="211" t="s">
        <v>199</v>
      </c>
      <c r="C101" s="211" t="s">
        <v>346</v>
      </c>
      <c r="D101" s="211" t="s">
        <v>356</v>
      </c>
      <c r="E101" s="98" t="s">
        <v>659</v>
      </c>
      <c r="F101" s="98" t="s">
        <v>656</v>
      </c>
      <c r="G101" s="99" t="s">
        <v>200</v>
      </c>
      <c r="H101" s="98"/>
      <c r="I101" s="99" t="s">
        <v>201</v>
      </c>
      <c r="K101" s="85"/>
    </row>
    <row r="102" spans="2:11" x14ac:dyDescent="0.3">
      <c r="B102" s="211" t="s">
        <v>199</v>
      </c>
      <c r="C102" s="211" t="s">
        <v>428</v>
      </c>
      <c r="D102" s="211" t="s">
        <v>507</v>
      </c>
      <c r="E102" s="98" t="s">
        <v>659</v>
      </c>
      <c r="F102" s="98" t="s">
        <v>656</v>
      </c>
      <c r="G102" s="99" t="s">
        <v>200</v>
      </c>
      <c r="H102" s="98"/>
      <c r="I102" s="99" t="s">
        <v>201</v>
      </c>
      <c r="K102" s="85"/>
    </row>
    <row r="103" spans="2:11" x14ac:dyDescent="0.3">
      <c r="B103" s="211" t="s">
        <v>199</v>
      </c>
      <c r="C103" s="211" t="s">
        <v>347</v>
      </c>
      <c r="D103" s="211" t="s">
        <v>357</v>
      </c>
      <c r="E103" s="98" t="s">
        <v>659</v>
      </c>
      <c r="F103" s="98" t="s">
        <v>656</v>
      </c>
      <c r="G103" s="99" t="s">
        <v>200</v>
      </c>
      <c r="H103" s="98"/>
      <c r="I103" s="99" t="s">
        <v>201</v>
      </c>
      <c r="K103" s="85"/>
    </row>
    <row r="104" spans="2:11" x14ac:dyDescent="0.3">
      <c r="B104" s="211" t="s">
        <v>199</v>
      </c>
      <c r="C104" s="211" t="s">
        <v>429</v>
      </c>
      <c r="D104" s="211" t="s">
        <v>508</v>
      </c>
      <c r="E104" s="98" t="s">
        <v>659</v>
      </c>
      <c r="F104" s="98" t="s">
        <v>656</v>
      </c>
      <c r="G104" s="99" t="s">
        <v>200</v>
      </c>
      <c r="H104" s="98"/>
      <c r="I104" s="99" t="s">
        <v>201</v>
      </c>
      <c r="K104" s="85"/>
    </row>
    <row r="105" spans="2:11" x14ac:dyDescent="0.3">
      <c r="B105" s="211" t="s">
        <v>199</v>
      </c>
      <c r="C105" s="211" t="s">
        <v>348</v>
      </c>
      <c r="D105" s="211" t="s">
        <v>358</v>
      </c>
      <c r="E105" s="98" t="s">
        <v>659</v>
      </c>
      <c r="F105" s="98" t="s">
        <v>656</v>
      </c>
      <c r="G105" s="99" t="s">
        <v>200</v>
      </c>
      <c r="H105" s="98"/>
      <c r="I105" s="99" t="s">
        <v>201</v>
      </c>
      <c r="K105" s="85"/>
    </row>
    <row r="106" spans="2:11" x14ac:dyDescent="0.3">
      <c r="B106" s="211" t="s">
        <v>199</v>
      </c>
      <c r="C106" s="211" t="s">
        <v>430</v>
      </c>
      <c r="D106" s="211" t="s">
        <v>509</v>
      </c>
      <c r="E106" s="98" t="s">
        <v>659</v>
      </c>
      <c r="F106" s="98" t="s">
        <v>656</v>
      </c>
      <c r="G106" s="99" t="s">
        <v>200</v>
      </c>
      <c r="H106" s="98"/>
      <c r="I106" s="99" t="s">
        <v>201</v>
      </c>
      <c r="K106" s="85"/>
    </row>
    <row r="107" spans="2:11" x14ac:dyDescent="0.3">
      <c r="B107" s="211" t="s">
        <v>199</v>
      </c>
      <c r="C107" s="211" t="s">
        <v>349</v>
      </c>
      <c r="D107" s="211" t="s">
        <v>359</v>
      </c>
      <c r="E107" s="98" t="s">
        <v>659</v>
      </c>
      <c r="F107" s="98" t="s">
        <v>656</v>
      </c>
      <c r="G107" s="99" t="s">
        <v>200</v>
      </c>
      <c r="H107" s="98"/>
      <c r="I107" s="99" t="s">
        <v>201</v>
      </c>
      <c r="K107" s="85"/>
    </row>
    <row r="108" spans="2:11" x14ac:dyDescent="0.3">
      <c r="B108" s="211" t="s">
        <v>199</v>
      </c>
      <c r="C108" s="211" t="s">
        <v>431</v>
      </c>
      <c r="D108" s="211" t="s">
        <v>510</v>
      </c>
      <c r="E108" s="98" t="s">
        <v>659</v>
      </c>
      <c r="F108" s="98" t="s">
        <v>656</v>
      </c>
      <c r="G108" s="99" t="s">
        <v>200</v>
      </c>
      <c r="H108" s="98"/>
      <c r="I108" s="99" t="s">
        <v>201</v>
      </c>
      <c r="K108" s="85"/>
    </row>
    <row r="109" spans="2:11" x14ac:dyDescent="0.3">
      <c r="B109" s="211" t="s">
        <v>199</v>
      </c>
      <c r="C109" s="211" t="s">
        <v>350</v>
      </c>
      <c r="D109" s="211" t="s">
        <v>360</v>
      </c>
      <c r="E109" s="98" t="s">
        <v>659</v>
      </c>
      <c r="F109" s="98" t="s">
        <v>656</v>
      </c>
      <c r="G109" s="99" t="s">
        <v>200</v>
      </c>
      <c r="H109" s="98"/>
      <c r="I109" s="99" t="s">
        <v>201</v>
      </c>
      <c r="K109" s="85"/>
    </row>
    <row r="110" spans="2:11" x14ac:dyDescent="0.3">
      <c r="B110" s="211" t="s">
        <v>199</v>
      </c>
      <c r="C110" s="211" t="s">
        <v>432</v>
      </c>
      <c r="D110" s="211" t="s">
        <v>511</v>
      </c>
      <c r="E110" s="98" t="s">
        <v>659</v>
      </c>
      <c r="F110" s="98" t="s">
        <v>656</v>
      </c>
      <c r="G110" s="99" t="s">
        <v>200</v>
      </c>
      <c r="H110" s="98"/>
      <c r="I110" s="99" t="s">
        <v>201</v>
      </c>
      <c r="K110" s="85"/>
    </row>
    <row r="111" spans="2:11" x14ac:dyDescent="0.3">
      <c r="B111" s="211" t="s">
        <v>199</v>
      </c>
      <c r="C111" s="211" t="s">
        <v>351</v>
      </c>
      <c r="D111" s="211" t="s">
        <v>361</v>
      </c>
      <c r="E111" s="98" t="s">
        <v>659</v>
      </c>
      <c r="F111" s="98" t="s">
        <v>656</v>
      </c>
      <c r="G111" s="99" t="s">
        <v>200</v>
      </c>
      <c r="H111" s="98"/>
      <c r="I111" s="99" t="s">
        <v>201</v>
      </c>
      <c r="K111" s="85"/>
    </row>
    <row r="112" spans="2:11" x14ac:dyDescent="0.3">
      <c r="B112" s="211" t="s">
        <v>199</v>
      </c>
      <c r="C112" s="211" t="s">
        <v>433</v>
      </c>
      <c r="D112" s="211" t="s">
        <v>512</v>
      </c>
      <c r="E112" s="98" t="s">
        <v>659</v>
      </c>
      <c r="F112" s="98" t="s">
        <v>656</v>
      </c>
      <c r="G112" s="99" t="s">
        <v>200</v>
      </c>
      <c r="H112" s="98"/>
      <c r="I112" s="99" t="s">
        <v>201</v>
      </c>
      <c r="K112" s="85"/>
    </row>
    <row r="113" spans="2:11" x14ac:dyDescent="0.3">
      <c r="B113" s="211" t="s">
        <v>199</v>
      </c>
      <c r="C113" s="211" t="s">
        <v>353</v>
      </c>
      <c r="D113" s="211" t="s">
        <v>363</v>
      </c>
      <c r="E113" s="98" t="s">
        <v>659</v>
      </c>
      <c r="F113" s="98" t="s">
        <v>656</v>
      </c>
      <c r="G113" s="99" t="s">
        <v>200</v>
      </c>
      <c r="H113" s="98"/>
      <c r="I113" s="99" t="s">
        <v>201</v>
      </c>
      <c r="K113" s="85"/>
    </row>
    <row r="114" spans="2:11" x14ac:dyDescent="0.3">
      <c r="B114" s="211" t="s">
        <v>199</v>
      </c>
      <c r="C114" s="211" t="s">
        <v>436</v>
      </c>
      <c r="D114" s="211" t="s">
        <v>513</v>
      </c>
      <c r="E114" s="98" t="s">
        <v>659</v>
      </c>
      <c r="F114" s="98" t="s">
        <v>656</v>
      </c>
      <c r="G114" s="99" t="s">
        <v>200</v>
      </c>
      <c r="H114" s="98"/>
      <c r="I114" s="99" t="s">
        <v>201</v>
      </c>
      <c r="K114" s="85"/>
    </row>
    <row r="115" spans="2:11" x14ac:dyDescent="0.3">
      <c r="B115" s="211" t="s">
        <v>199</v>
      </c>
      <c r="C115" s="211" t="s">
        <v>352</v>
      </c>
      <c r="D115" s="211" t="s">
        <v>362</v>
      </c>
      <c r="E115" s="98" t="s">
        <v>659</v>
      </c>
      <c r="F115" s="98" t="s">
        <v>656</v>
      </c>
      <c r="G115" s="99" t="s">
        <v>200</v>
      </c>
      <c r="H115" s="98"/>
      <c r="I115" s="99" t="s">
        <v>201</v>
      </c>
      <c r="K115" s="85"/>
    </row>
    <row r="116" spans="2:11" x14ac:dyDescent="0.3">
      <c r="B116" s="211" t="s">
        <v>199</v>
      </c>
      <c r="C116" s="211" t="s">
        <v>434</v>
      </c>
      <c r="D116" s="211" t="s">
        <v>514</v>
      </c>
      <c r="E116" s="98" t="s">
        <v>659</v>
      </c>
      <c r="F116" s="98" t="s">
        <v>656</v>
      </c>
      <c r="G116" s="99" t="s">
        <v>200</v>
      </c>
      <c r="H116" s="98"/>
      <c r="I116" s="99" t="s">
        <v>201</v>
      </c>
      <c r="K116" s="85"/>
    </row>
    <row r="117" spans="2:11" x14ac:dyDescent="0.3">
      <c r="B117" s="211" t="s">
        <v>199</v>
      </c>
      <c r="C117" s="211" t="s">
        <v>408</v>
      </c>
      <c r="D117" s="211" t="s">
        <v>515</v>
      </c>
      <c r="E117" s="98" t="s">
        <v>659</v>
      </c>
      <c r="F117" s="98" t="s">
        <v>656</v>
      </c>
      <c r="G117" s="99" t="s">
        <v>200</v>
      </c>
      <c r="H117" s="98"/>
      <c r="I117" s="99" t="s">
        <v>201</v>
      </c>
      <c r="K117" s="85"/>
    </row>
    <row r="118" spans="2:11" x14ac:dyDescent="0.3">
      <c r="B118" s="211" t="s">
        <v>199</v>
      </c>
      <c r="C118" s="211" t="s">
        <v>435</v>
      </c>
      <c r="D118" s="211" t="s">
        <v>516</v>
      </c>
      <c r="E118" s="98" t="s">
        <v>659</v>
      </c>
      <c r="F118" s="98" t="s">
        <v>656</v>
      </c>
      <c r="G118" s="99" t="s">
        <v>200</v>
      </c>
      <c r="H118" s="98"/>
      <c r="I118" s="99" t="s">
        <v>201</v>
      </c>
      <c r="K118" s="85"/>
    </row>
    <row r="119" spans="2:11" x14ac:dyDescent="0.3">
      <c r="B119" s="211" t="s">
        <v>199</v>
      </c>
      <c r="C119" s="211" t="s">
        <v>410</v>
      </c>
      <c r="D119" s="211" t="s">
        <v>518</v>
      </c>
      <c r="E119" s="98" t="s">
        <v>659</v>
      </c>
      <c r="F119" s="98" t="s">
        <v>656</v>
      </c>
      <c r="G119" s="99" t="s">
        <v>200</v>
      </c>
      <c r="H119" s="98"/>
      <c r="I119" s="99" t="s">
        <v>201</v>
      </c>
      <c r="K119" s="85"/>
    </row>
    <row r="120" spans="2:11" x14ac:dyDescent="0.3">
      <c r="B120" s="211" t="s">
        <v>199</v>
      </c>
      <c r="C120" s="211" t="s">
        <v>437</v>
      </c>
      <c r="D120" s="211" t="s">
        <v>519</v>
      </c>
      <c r="E120" s="98" t="s">
        <v>659</v>
      </c>
      <c r="F120" s="98" t="s">
        <v>656</v>
      </c>
      <c r="G120" s="99" t="s">
        <v>200</v>
      </c>
      <c r="H120" s="98"/>
      <c r="I120" s="99" t="s">
        <v>201</v>
      </c>
      <c r="K120" s="85"/>
    </row>
    <row r="121" spans="2:11" x14ac:dyDescent="0.3">
      <c r="B121" s="211" t="s">
        <v>199</v>
      </c>
      <c r="C121" s="211" t="s">
        <v>594</v>
      </c>
      <c r="D121" s="211" t="s">
        <v>603</v>
      </c>
      <c r="E121" s="98" t="s">
        <v>659</v>
      </c>
      <c r="F121" s="98" t="s">
        <v>656</v>
      </c>
      <c r="G121" s="99" t="s">
        <v>200</v>
      </c>
      <c r="H121" s="98"/>
      <c r="I121" s="99" t="s">
        <v>201</v>
      </c>
      <c r="K121" s="85"/>
    </row>
    <row r="122" spans="2:11" x14ac:dyDescent="0.3">
      <c r="B122" s="211" t="s">
        <v>199</v>
      </c>
      <c r="C122" s="211" t="s">
        <v>589</v>
      </c>
      <c r="D122" s="211" t="s">
        <v>604</v>
      </c>
      <c r="E122" s="98" t="s">
        <v>659</v>
      </c>
      <c r="F122" s="98" t="s">
        <v>656</v>
      </c>
      <c r="G122" s="99" t="s">
        <v>200</v>
      </c>
      <c r="H122" s="98"/>
      <c r="I122" s="99" t="s">
        <v>201</v>
      </c>
      <c r="K122" s="85"/>
    </row>
    <row r="123" spans="2:11" x14ac:dyDescent="0.3">
      <c r="B123" s="211" t="s">
        <v>199</v>
      </c>
      <c r="C123" s="211" t="s">
        <v>407</v>
      </c>
      <c r="D123" s="211" t="s">
        <v>520</v>
      </c>
      <c r="E123" s="98" t="s">
        <v>659</v>
      </c>
      <c r="F123" s="98" t="s">
        <v>656</v>
      </c>
      <c r="G123" s="99" t="s">
        <v>200</v>
      </c>
      <c r="H123" s="98"/>
      <c r="I123" s="99" t="s">
        <v>201</v>
      </c>
      <c r="K123" s="85"/>
    </row>
    <row r="124" spans="2:11" x14ac:dyDescent="0.3">
      <c r="B124" s="211" t="s">
        <v>199</v>
      </c>
      <c r="C124" s="211" t="s">
        <v>439</v>
      </c>
      <c r="D124" s="211" t="s">
        <v>521</v>
      </c>
      <c r="E124" s="98" t="s">
        <v>659</v>
      </c>
      <c r="F124" s="98" t="s">
        <v>656</v>
      </c>
      <c r="G124" s="99" t="s">
        <v>200</v>
      </c>
      <c r="H124" s="98"/>
      <c r="I124" s="99" t="s">
        <v>201</v>
      </c>
      <c r="K124" s="85"/>
    </row>
    <row r="125" spans="2:11" x14ac:dyDescent="0.3">
      <c r="B125" s="211" t="s">
        <v>199</v>
      </c>
      <c r="C125" s="211" t="s">
        <v>409</v>
      </c>
      <c r="D125" s="211" t="s">
        <v>522</v>
      </c>
      <c r="E125" s="98" t="s">
        <v>659</v>
      </c>
      <c r="F125" s="98" t="s">
        <v>656</v>
      </c>
      <c r="G125" s="99" t="s">
        <v>200</v>
      </c>
      <c r="H125" s="98"/>
      <c r="I125" s="99" t="s">
        <v>201</v>
      </c>
      <c r="K125" s="85"/>
    </row>
    <row r="126" spans="2:11" x14ac:dyDescent="0.3">
      <c r="B126" s="211" t="s">
        <v>199</v>
      </c>
      <c r="C126" s="211" t="s">
        <v>440</v>
      </c>
      <c r="D126" s="211" t="s">
        <v>523</v>
      </c>
      <c r="E126" s="98" t="s">
        <v>659</v>
      </c>
      <c r="F126" s="98" t="s">
        <v>656</v>
      </c>
      <c r="G126" s="99" t="s">
        <v>200</v>
      </c>
      <c r="H126" s="98"/>
      <c r="I126" s="99" t="s">
        <v>201</v>
      </c>
      <c r="K126" s="85"/>
    </row>
    <row r="127" spans="2:11" x14ac:dyDescent="0.3">
      <c r="B127" s="211" t="s">
        <v>199</v>
      </c>
      <c r="C127" s="211" t="s">
        <v>155</v>
      </c>
      <c r="D127" s="211" t="s">
        <v>156</v>
      </c>
      <c r="E127" s="98" t="s">
        <v>659</v>
      </c>
      <c r="F127" s="98" t="s">
        <v>656</v>
      </c>
      <c r="G127" s="99" t="s">
        <v>200</v>
      </c>
      <c r="H127" s="98"/>
      <c r="I127" s="99" t="s">
        <v>201</v>
      </c>
      <c r="K127" s="85"/>
    </row>
    <row r="128" spans="2:11" x14ac:dyDescent="0.3">
      <c r="B128" s="211" t="s">
        <v>199</v>
      </c>
      <c r="C128" s="211" t="s">
        <v>253</v>
      </c>
      <c r="D128" s="211" t="s">
        <v>254</v>
      </c>
      <c r="E128" s="98" t="s">
        <v>659</v>
      </c>
      <c r="F128" s="98" t="s">
        <v>656</v>
      </c>
      <c r="G128" s="99" t="s">
        <v>200</v>
      </c>
      <c r="H128" s="98"/>
      <c r="I128" s="99" t="s">
        <v>201</v>
      </c>
      <c r="K128" s="85"/>
    </row>
    <row r="129" spans="2:11" x14ac:dyDescent="0.3">
      <c r="B129" s="211" t="s">
        <v>199</v>
      </c>
      <c r="C129" s="211" t="s">
        <v>157</v>
      </c>
      <c r="D129" s="211" t="s">
        <v>158</v>
      </c>
      <c r="E129" s="98" t="s">
        <v>659</v>
      </c>
      <c r="F129" s="98" t="s">
        <v>656</v>
      </c>
      <c r="G129" s="99" t="s">
        <v>200</v>
      </c>
      <c r="H129" s="98"/>
      <c r="I129" s="99" t="s">
        <v>201</v>
      </c>
      <c r="K129" s="85"/>
    </row>
    <row r="130" spans="2:11" x14ac:dyDescent="0.3">
      <c r="B130" s="211" t="s">
        <v>199</v>
      </c>
      <c r="C130" s="211" t="s">
        <v>255</v>
      </c>
      <c r="D130" s="211" t="s">
        <v>256</v>
      </c>
      <c r="E130" s="98" t="s">
        <v>659</v>
      </c>
      <c r="F130" s="98" t="s">
        <v>656</v>
      </c>
      <c r="G130" s="99" t="s">
        <v>200</v>
      </c>
      <c r="H130" s="98"/>
      <c r="I130" s="99" t="s">
        <v>201</v>
      </c>
      <c r="K130" s="85"/>
    </row>
    <row r="131" spans="2:11" x14ac:dyDescent="0.3">
      <c r="B131" s="211" t="s">
        <v>199</v>
      </c>
      <c r="C131" s="211" t="s">
        <v>159</v>
      </c>
      <c r="D131" s="211" t="s">
        <v>160</v>
      </c>
      <c r="E131" s="98" t="s">
        <v>659</v>
      </c>
      <c r="F131" s="98" t="s">
        <v>656</v>
      </c>
      <c r="G131" s="99" t="s">
        <v>200</v>
      </c>
      <c r="H131" s="98"/>
      <c r="I131" s="99" t="s">
        <v>201</v>
      </c>
      <c r="K131" s="85"/>
    </row>
    <row r="132" spans="2:11" x14ac:dyDescent="0.3">
      <c r="B132" s="211" t="s">
        <v>199</v>
      </c>
      <c r="C132" s="211" t="s">
        <v>257</v>
      </c>
      <c r="D132" s="211" t="s">
        <v>258</v>
      </c>
      <c r="E132" s="98" t="s">
        <v>659</v>
      </c>
      <c r="F132" s="98" t="s">
        <v>656</v>
      </c>
      <c r="G132" s="99" t="s">
        <v>200</v>
      </c>
      <c r="H132" s="98"/>
      <c r="I132" s="99" t="s">
        <v>201</v>
      </c>
      <c r="K132" s="85"/>
    </row>
    <row r="133" spans="2:11" x14ac:dyDescent="0.3">
      <c r="B133" s="211" t="s">
        <v>199</v>
      </c>
      <c r="C133" s="211" t="s">
        <v>162</v>
      </c>
      <c r="D133" s="211" t="s">
        <v>163</v>
      </c>
      <c r="E133" s="98" t="s">
        <v>659</v>
      </c>
      <c r="F133" s="98" t="s">
        <v>656</v>
      </c>
      <c r="G133" s="99" t="s">
        <v>200</v>
      </c>
      <c r="H133" s="98"/>
      <c r="I133" s="99" t="s">
        <v>201</v>
      </c>
      <c r="K133" s="85"/>
    </row>
    <row r="134" spans="2:11" x14ac:dyDescent="0.3">
      <c r="B134" s="211" t="s">
        <v>199</v>
      </c>
      <c r="C134" s="211" t="s">
        <v>260</v>
      </c>
      <c r="D134" s="211" t="s">
        <v>261</v>
      </c>
      <c r="E134" s="98" t="s">
        <v>659</v>
      </c>
      <c r="F134" s="98" t="s">
        <v>656</v>
      </c>
      <c r="G134" s="99" t="s">
        <v>200</v>
      </c>
      <c r="H134" s="98"/>
      <c r="I134" s="99" t="s">
        <v>201</v>
      </c>
      <c r="K134" s="85"/>
    </row>
    <row r="135" spans="2:11" x14ac:dyDescent="0.3">
      <c r="B135" s="211" t="s">
        <v>199</v>
      </c>
      <c r="C135" s="211" t="s">
        <v>164</v>
      </c>
      <c r="D135" s="211" t="s">
        <v>165</v>
      </c>
      <c r="E135" s="98" t="s">
        <v>659</v>
      </c>
      <c r="F135" s="98" t="s">
        <v>656</v>
      </c>
      <c r="G135" s="99" t="s">
        <v>200</v>
      </c>
      <c r="H135" s="98"/>
      <c r="I135" s="99" t="s">
        <v>201</v>
      </c>
      <c r="K135" s="85"/>
    </row>
    <row r="136" spans="2:11" x14ac:dyDescent="0.3">
      <c r="B136" s="211" t="s">
        <v>199</v>
      </c>
      <c r="C136" s="211" t="s">
        <v>262</v>
      </c>
      <c r="D136" s="211" t="s">
        <v>263</v>
      </c>
      <c r="E136" s="98" t="s">
        <v>659</v>
      </c>
      <c r="F136" s="98" t="s">
        <v>656</v>
      </c>
      <c r="G136" s="99" t="s">
        <v>200</v>
      </c>
      <c r="H136" s="98"/>
      <c r="I136" s="99" t="s">
        <v>201</v>
      </c>
      <c r="K136" s="85"/>
    </row>
    <row r="137" spans="2:11" x14ac:dyDescent="0.3">
      <c r="B137" s="211" t="s">
        <v>199</v>
      </c>
      <c r="C137" s="211" t="s">
        <v>166</v>
      </c>
      <c r="D137" s="211" t="s">
        <v>167</v>
      </c>
      <c r="E137" s="98" t="s">
        <v>659</v>
      </c>
      <c r="F137" s="98" t="s">
        <v>656</v>
      </c>
      <c r="G137" s="99" t="s">
        <v>200</v>
      </c>
      <c r="H137" s="98"/>
      <c r="I137" s="99" t="s">
        <v>201</v>
      </c>
      <c r="K137" s="85"/>
    </row>
    <row r="138" spans="2:11" x14ac:dyDescent="0.3">
      <c r="B138" s="211" t="s">
        <v>199</v>
      </c>
      <c r="C138" s="211" t="s">
        <v>264</v>
      </c>
      <c r="D138" s="211" t="s">
        <v>265</v>
      </c>
      <c r="E138" s="98" t="s">
        <v>659</v>
      </c>
      <c r="F138" s="98" t="s">
        <v>656</v>
      </c>
      <c r="G138" s="99" t="s">
        <v>200</v>
      </c>
      <c r="H138" s="98"/>
      <c r="I138" s="99" t="s">
        <v>201</v>
      </c>
      <c r="K138" s="85"/>
    </row>
    <row r="139" spans="2:11" x14ac:dyDescent="0.3">
      <c r="B139" s="211" t="s">
        <v>199</v>
      </c>
      <c r="C139" s="211" t="s">
        <v>168</v>
      </c>
      <c r="D139" s="211" t="s">
        <v>169</v>
      </c>
      <c r="E139" s="98" t="s">
        <v>659</v>
      </c>
      <c r="F139" s="98" t="s">
        <v>656</v>
      </c>
      <c r="G139" s="99" t="s">
        <v>200</v>
      </c>
      <c r="H139" s="98"/>
      <c r="I139" s="99" t="s">
        <v>201</v>
      </c>
      <c r="K139" s="85"/>
    </row>
    <row r="140" spans="2:11" x14ac:dyDescent="0.3">
      <c r="B140" s="211" t="s">
        <v>199</v>
      </c>
      <c r="C140" s="211" t="s">
        <v>266</v>
      </c>
      <c r="D140" s="211" t="s">
        <v>267</v>
      </c>
      <c r="E140" s="98" t="s">
        <v>659</v>
      </c>
      <c r="F140" s="98" t="s">
        <v>656</v>
      </c>
      <c r="G140" s="99" t="s">
        <v>200</v>
      </c>
      <c r="H140" s="98"/>
      <c r="I140" s="99" t="s">
        <v>201</v>
      </c>
      <c r="K140" s="85"/>
    </row>
    <row r="141" spans="2:11" x14ac:dyDescent="0.3">
      <c r="B141" s="211" t="s">
        <v>199</v>
      </c>
      <c r="C141" s="211" t="s">
        <v>344</v>
      </c>
      <c r="D141" s="211" t="s">
        <v>343</v>
      </c>
      <c r="E141" s="98" t="s">
        <v>659</v>
      </c>
      <c r="F141" s="98" t="s">
        <v>656</v>
      </c>
      <c r="G141" s="99" t="s">
        <v>200</v>
      </c>
      <c r="H141" s="98"/>
      <c r="I141" s="99" t="s">
        <v>201</v>
      </c>
      <c r="K141" s="85"/>
    </row>
    <row r="142" spans="2:11" x14ac:dyDescent="0.3">
      <c r="B142" s="211" t="s">
        <v>199</v>
      </c>
      <c r="C142" s="211" t="s">
        <v>421</v>
      </c>
      <c r="D142" s="211" t="s">
        <v>524</v>
      </c>
      <c r="E142" s="98" t="s">
        <v>659</v>
      </c>
      <c r="F142" s="98" t="s">
        <v>656</v>
      </c>
      <c r="G142" s="99" t="s">
        <v>200</v>
      </c>
      <c r="H142" s="98"/>
      <c r="I142" s="99" t="s">
        <v>201</v>
      </c>
      <c r="K142" s="85"/>
    </row>
    <row r="143" spans="2:11" x14ac:dyDescent="0.3">
      <c r="B143" s="211" t="s">
        <v>199</v>
      </c>
      <c r="C143" s="211" t="s">
        <v>411</v>
      </c>
      <c r="D143" s="211" t="s">
        <v>525</v>
      </c>
      <c r="E143" s="98" t="s">
        <v>659</v>
      </c>
      <c r="F143" s="98" t="s">
        <v>656</v>
      </c>
      <c r="G143" s="99" t="s">
        <v>200</v>
      </c>
      <c r="H143" s="98"/>
      <c r="I143" s="99" t="s">
        <v>201</v>
      </c>
      <c r="K143" s="85"/>
    </row>
    <row r="144" spans="2:11" x14ac:dyDescent="0.3">
      <c r="B144" s="211" t="s">
        <v>199</v>
      </c>
      <c r="C144" s="211" t="s">
        <v>422</v>
      </c>
      <c r="D144" s="211" t="s">
        <v>526</v>
      </c>
      <c r="E144" s="98" t="s">
        <v>659</v>
      </c>
      <c r="F144" s="98" t="s">
        <v>656</v>
      </c>
      <c r="G144" s="99" t="s">
        <v>200</v>
      </c>
      <c r="H144" s="98"/>
      <c r="I144" s="99" t="s">
        <v>201</v>
      </c>
      <c r="K144" s="85"/>
    </row>
    <row r="145" spans="2:11" x14ac:dyDescent="0.3">
      <c r="B145" s="211" t="s">
        <v>199</v>
      </c>
      <c r="C145" s="211" t="s">
        <v>412</v>
      </c>
      <c r="D145" s="211" t="s">
        <v>527</v>
      </c>
      <c r="E145" s="98" t="s">
        <v>659</v>
      </c>
      <c r="F145" s="98" t="s">
        <v>656</v>
      </c>
      <c r="G145" s="99" t="s">
        <v>200</v>
      </c>
      <c r="H145" s="98"/>
      <c r="I145" s="99" t="s">
        <v>201</v>
      </c>
      <c r="K145" s="85"/>
    </row>
    <row r="146" spans="2:11" x14ac:dyDescent="0.3">
      <c r="B146" s="211" t="s">
        <v>199</v>
      </c>
      <c r="C146" s="211" t="s">
        <v>423</v>
      </c>
      <c r="D146" s="211" t="s">
        <v>528</v>
      </c>
      <c r="E146" s="98" t="s">
        <v>659</v>
      </c>
      <c r="F146" s="98" t="s">
        <v>656</v>
      </c>
      <c r="G146" s="99" t="s">
        <v>200</v>
      </c>
      <c r="H146" s="98"/>
      <c r="I146" s="99" t="s">
        <v>201</v>
      </c>
      <c r="K146" s="85"/>
    </row>
    <row r="147" spans="2:11" x14ac:dyDescent="0.3">
      <c r="B147" s="211" t="s">
        <v>199</v>
      </c>
      <c r="C147" s="211" t="s">
        <v>590</v>
      </c>
      <c r="D147" s="211" t="s">
        <v>605</v>
      </c>
      <c r="E147" s="98" t="s">
        <v>659</v>
      </c>
      <c r="F147" s="98" t="s">
        <v>656</v>
      </c>
      <c r="G147" s="99" t="s">
        <v>200</v>
      </c>
      <c r="H147" s="98"/>
      <c r="I147" s="99" t="s">
        <v>201</v>
      </c>
      <c r="K147" s="85"/>
    </row>
    <row r="148" spans="2:11" x14ac:dyDescent="0.3">
      <c r="B148" s="211" t="s">
        <v>199</v>
      </c>
      <c r="C148" s="211" t="s">
        <v>591</v>
      </c>
      <c r="D148" s="211" t="s">
        <v>606</v>
      </c>
      <c r="E148" s="98" t="s">
        <v>659</v>
      </c>
      <c r="F148" s="98" t="s">
        <v>656</v>
      </c>
      <c r="G148" s="99" t="s">
        <v>200</v>
      </c>
      <c r="H148" s="98"/>
      <c r="I148" s="99" t="s">
        <v>201</v>
      </c>
      <c r="K148" s="85"/>
    </row>
    <row r="149" spans="2:11" x14ac:dyDescent="0.3">
      <c r="B149" s="211" t="s">
        <v>199</v>
      </c>
      <c r="C149" s="211" t="s">
        <v>413</v>
      </c>
      <c r="D149" s="211" t="s">
        <v>529</v>
      </c>
      <c r="E149" s="98" t="s">
        <v>659</v>
      </c>
      <c r="F149" s="98" t="s">
        <v>656</v>
      </c>
      <c r="G149" s="99" t="s">
        <v>200</v>
      </c>
      <c r="H149" s="98"/>
      <c r="I149" s="99" t="s">
        <v>201</v>
      </c>
      <c r="K149" s="85"/>
    </row>
    <row r="150" spans="2:11" x14ac:dyDescent="0.3">
      <c r="B150" s="211" t="s">
        <v>199</v>
      </c>
      <c r="C150" s="211" t="s">
        <v>425</v>
      </c>
      <c r="D150" s="211" t="s">
        <v>530</v>
      </c>
      <c r="E150" s="98" t="s">
        <v>659</v>
      </c>
      <c r="F150" s="98" t="s">
        <v>656</v>
      </c>
      <c r="G150" s="99" t="s">
        <v>200</v>
      </c>
      <c r="H150" s="98"/>
      <c r="I150" s="99" t="s">
        <v>201</v>
      </c>
      <c r="K150" s="85"/>
    </row>
    <row r="151" spans="2:11" x14ac:dyDescent="0.3">
      <c r="B151" s="211" t="s">
        <v>199</v>
      </c>
      <c r="C151" s="211" t="s">
        <v>414</v>
      </c>
      <c r="D151" s="211" t="s">
        <v>531</v>
      </c>
      <c r="E151" s="98" t="s">
        <v>659</v>
      </c>
      <c r="F151" s="98" t="s">
        <v>656</v>
      </c>
      <c r="G151" s="99" t="s">
        <v>200</v>
      </c>
      <c r="H151" s="98"/>
      <c r="I151" s="99" t="s">
        <v>201</v>
      </c>
    </row>
    <row r="152" spans="2:11" x14ac:dyDescent="0.3">
      <c r="B152" s="211" t="s">
        <v>199</v>
      </c>
      <c r="C152" s="211" t="s">
        <v>426</v>
      </c>
      <c r="D152" s="211" t="s">
        <v>532</v>
      </c>
      <c r="E152" s="98" t="s">
        <v>659</v>
      </c>
      <c r="F152" s="98" t="s">
        <v>656</v>
      </c>
      <c r="G152" s="99" t="s">
        <v>200</v>
      </c>
      <c r="H152" s="98"/>
      <c r="I152" s="99" t="s">
        <v>201</v>
      </c>
    </row>
    <row r="153" spans="2:11" s="96" customFormat="1" x14ac:dyDescent="0.3">
      <c r="B153" s="211" t="s">
        <v>199</v>
      </c>
      <c r="C153" s="211" t="s">
        <v>574</v>
      </c>
      <c r="D153" s="227" t="s">
        <v>204</v>
      </c>
      <c r="E153" s="98" t="s">
        <v>659</v>
      </c>
      <c r="F153" s="98" t="s">
        <v>656</v>
      </c>
      <c r="G153" s="99" t="s">
        <v>200</v>
      </c>
      <c r="H153" s="98"/>
      <c r="I153" s="99" t="s">
        <v>201</v>
      </c>
    </row>
    <row r="154" spans="2:11" s="96" customFormat="1" x14ac:dyDescent="0.3">
      <c r="B154" s="228" t="s">
        <v>199</v>
      </c>
      <c r="C154" s="228" t="s">
        <v>577</v>
      </c>
      <c r="D154" s="227" t="s">
        <v>268</v>
      </c>
      <c r="E154" s="100" t="s">
        <v>659</v>
      </c>
      <c r="F154" s="98" t="s">
        <v>656</v>
      </c>
      <c r="G154" s="101" t="s">
        <v>200</v>
      </c>
      <c r="H154" s="100"/>
      <c r="I154" s="101" t="s">
        <v>201</v>
      </c>
    </row>
    <row r="155" spans="2:11" x14ac:dyDescent="0.3">
      <c r="B155" s="211" t="s">
        <v>199</v>
      </c>
      <c r="C155" s="228" t="s">
        <v>573</v>
      </c>
      <c r="D155" s="227" t="s">
        <v>205</v>
      </c>
      <c r="E155" s="100" t="s">
        <v>659</v>
      </c>
      <c r="F155" s="98" t="s">
        <v>656</v>
      </c>
      <c r="G155" s="101" t="s">
        <v>200</v>
      </c>
      <c r="H155" s="100"/>
      <c r="I155" s="101" t="s">
        <v>201</v>
      </c>
    </row>
    <row r="156" spans="2:11" s="96" customFormat="1" x14ac:dyDescent="0.3">
      <c r="B156" s="211" t="s">
        <v>199</v>
      </c>
      <c r="C156" s="228" t="s">
        <v>578</v>
      </c>
      <c r="D156" s="227" t="s">
        <v>269</v>
      </c>
      <c r="E156" s="100" t="s">
        <v>659</v>
      </c>
      <c r="F156" s="98" t="s">
        <v>656</v>
      </c>
      <c r="G156" s="101" t="s">
        <v>200</v>
      </c>
      <c r="H156" s="100"/>
      <c r="I156" s="101" t="s">
        <v>201</v>
      </c>
    </row>
    <row r="157" spans="2:11" x14ac:dyDescent="0.3">
      <c r="B157" s="211" t="s">
        <v>199</v>
      </c>
      <c r="C157" s="211" t="s">
        <v>41</v>
      </c>
      <c r="D157" s="211" t="s">
        <v>206</v>
      </c>
      <c r="E157" s="98" t="s">
        <v>659</v>
      </c>
      <c r="F157" s="98" t="s">
        <v>656</v>
      </c>
      <c r="G157" s="99" t="s">
        <v>200</v>
      </c>
      <c r="H157" s="98"/>
      <c r="I157" s="99" t="s">
        <v>201</v>
      </c>
    </row>
    <row r="158" spans="2:11" x14ac:dyDescent="0.3">
      <c r="B158" s="211" t="s">
        <v>199</v>
      </c>
      <c r="C158" s="211" t="s">
        <v>535</v>
      </c>
      <c r="D158" s="211" t="s">
        <v>620</v>
      </c>
      <c r="E158" s="98" t="s">
        <v>659</v>
      </c>
      <c r="F158" s="98" t="s">
        <v>656</v>
      </c>
      <c r="G158" s="99" t="s">
        <v>200</v>
      </c>
      <c r="H158" s="98"/>
      <c r="I158" s="99" t="s">
        <v>201</v>
      </c>
    </row>
    <row r="159" spans="2:11" x14ac:dyDescent="0.3">
      <c r="B159" s="211" t="s">
        <v>199</v>
      </c>
      <c r="C159" s="211" t="s">
        <v>38</v>
      </c>
      <c r="D159" s="211" t="s">
        <v>207</v>
      </c>
      <c r="E159" s="98" t="s">
        <v>659</v>
      </c>
      <c r="F159" s="98" t="s">
        <v>656</v>
      </c>
      <c r="G159" s="99" t="s">
        <v>200</v>
      </c>
      <c r="H159" s="98"/>
      <c r="I159" s="99" t="s">
        <v>201</v>
      </c>
    </row>
    <row r="160" spans="2:11" x14ac:dyDescent="0.3">
      <c r="B160" s="211" t="s">
        <v>199</v>
      </c>
      <c r="C160" s="211" t="s">
        <v>537</v>
      </c>
      <c r="D160" s="211" t="s">
        <v>621</v>
      </c>
      <c r="E160" s="98" t="s">
        <v>659</v>
      </c>
      <c r="F160" s="98" t="s">
        <v>656</v>
      </c>
      <c r="G160" s="99" t="s">
        <v>200</v>
      </c>
      <c r="H160" s="98"/>
      <c r="I160" s="99" t="s">
        <v>201</v>
      </c>
    </row>
    <row r="161" spans="2:9" x14ac:dyDescent="0.3">
      <c r="B161" s="211" t="s">
        <v>199</v>
      </c>
      <c r="C161" s="211" t="s">
        <v>270</v>
      </c>
      <c r="D161" s="211" t="s">
        <v>271</v>
      </c>
      <c r="E161" s="98" t="s">
        <v>659</v>
      </c>
      <c r="F161" s="98" t="s">
        <v>656</v>
      </c>
      <c r="G161" s="99" t="s">
        <v>200</v>
      </c>
      <c r="H161" s="98"/>
      <c r="I161" s="99" t="s">
        <v>201</v>
      </c>
    </row>
    <row r="162" spans="2:9" x14ac:dyDescent="0.3">
      <c r="B162" s="211" t="s">
        <v>199</v>
      </c>
      <c r="C162" s="211" t="s">
        <v>187</v>
      </c>
      <c r="D162" s="211" t="s">
        <v>188</v>
      </c>
      <c r="E162" s="98" t="s">
        <v>659</v>
      </c>
      <c r="F162" s="98" t="s">
        <v>656</v>
      </c>
      <c r="G162" s="99" t="s">
        <v>200</v>
      </c>
      <c r="H162" s="98"/>
      <c r="I162" s="99" t="s">
        <v>201</v>
      </c>
    </row>
    <row r="163" spans="2:9" x14ac:dyDescent="0.3">
      <c r="B163" s="211" t="s">
        <v>199</v>
      </c>
      <c r="C163" s="211" t="s">
        <v>678</v>
      </c>
      <c r="D163" s="211" t="s">
        <v>679</v>
      </c>
      <c r="E163" s="98" t="s">
        <v>659</v>
      </c>
      <c r="F163" s="98" t="s">
        <v>656</v>
      </c>
      <c r="G163" s="99" t="s">
        <v>200</v>
      </c>
      <c r="H163" s="98"/>
      <c r="I163" s="99" t="s">
        <v>201</v>
      </c>
    </row>
    <row r="164" spans="2:9" x14ac:dyDescent="0.3">
      <c r="B164" s="211" t="s">
        <v>199</v>
      </c>
      <c r="C164" s="211" t="s">
        <v>680</v>
      </c>
      <c r="D164" s="211" t="s">
        <v>681</v>
      </c>
      <c r="E164" s="98" t="s">
        <v>659</v>
      </c>
      <c r="F164" s="98" t="s">
        <v>656</v>
      </c>
      <c r="G164" s="99" t="s">
        <v>200</v>
      </c>
      <c r="H164" s="98"/>
      <c r="I164" s="99" t="s">
        <v>201</v>
      </c>
    </row>
    <row r="165" spans="2:9" x14ac:dyDescent="0.3">
      <c r="B165" s="211" t="s">
        <v>199</v>
      </c>
      <c r="C165" s="211" t="s">
        <v>272</v>
      </c>
      <c r="D165" s="211" t="s">
        <v>273</v>
      </c>
      <c r="E165" s="98" t="s">
        <v>659</v>
      </c>
      <c r="F165" s="98" t="s">
        <v>656</v>
      </c>
      <c r="G165" s="99" t="s">
        <v>200</v>
      </c>
      <c r="H165" s="98"/>
      <c r="I165" s="99" t="s">
        <v>201</v>
      </c>
    </row>
    <row r="166" spans="2:9" x14ac:dyDescent="0.3">
      <c r="B166" s="211" t="s">
        <v>199</v>
      </c>
      <c r="C166" s="211" t="s">
        <v>274</v>
      </c>
      <c r="D166" s="211" t="s">
        <v>275</v>
      </c>
      <c r="E166" s="98" t="s">
        <v>659</v>
      </c>
      <c r="F166" s="98" t="s">
        <v>656</v>
      </c>
      <c r="G166" s="99" t="s">
        <v>200</v>
      </c>
      <c r="H166" s="98"/>
      <c r="I166" s="99" t="s">
        <v>201</v>
      </c>
    </row>
    <row r="167" spans="2:9" x14ac:dyDescent="0.3">
      <c r="B167" s="211" t="s">
        <v>199</v>
      </c>
      <c r="C167" s="211" t="s">
        <v>276</v>
      </c>
      <c r="D167" s="211" t="s">
        <v>277</v>
      </c>
      <c r="E167" s="98" t="s">
        <v>659</v>
      </c>
      <c r="F167" s="98" t="s">
        <v>656</v>
      </c>
      <c r="G167" s="99" t="s">
        <v>200</v>
      </c>
      <c r="H167" s="98"/>
      <c r="I167" s="99" t="s">
        <v>201</v>
      </c>
    </row>
    <row r="168" spans="2:9" x14ac:dyDescent="0.3">
      <c r="B168" s="211" t="s">
        <v>199</v>
      </c>
      <c r="C168" s="211" t="s">
        <v>595</v>
      </c>
      <c r="D168" s="211" t="s">
        <v>596</v>
      </c>
      <c r="E168" s="98" t="s">
        <v>659</v>
      </c>
      <c r="F168" s="98" t="s">
        <v>656</v>
      </c>
      <c r="G168" s="99" t="s">
        <v>200</v>
      </c>
      <c r="H168" s="98"/>
      <c r="I168" s="99" t="s">
        <v>201</v>
      </c>
    </row>
    <row r="169" spans="2:9" s="96" customFormat="1" x14ac:dyDescent="0.3">
      <c r="B169" s="211" t="s">
        <v>199</v>
      </c>
      <c r="C169" s="211" t="s">
        <v>628</v>
      </c>
      <c r="D169" s="211" t="s">
        <v>630</v>
      </c>
      <c r="E169" s="98" t="s">
        <v>380</v>
      </c>
      <c r="F169" s="160" t="s">
        <v>616</v>
      </c>
      <c r="G169" s="99"/>
      <c r="H169" s="98"/>
      <c r="I169" s="99" t="s">
        <v>201</v>
      </c>
    </row>
    <row r="170" spans="2:9" s="96" customFormat="1" x14ac:dyDescent="0.3">
      <c r="B170" s="211" t="s">
        <v>199</v>
      </c>
      <c r="C170" s="211" t="s">
        <v>629</v>
      </c>
      <c r="D170" s="211" t="s">
        <v>631</v>
      </c>
      <c r="E170" s="98" t="s">
        <v>380</v>
      </c>
      <c r="F170" s="160" t="s">
        <v>616</v>
      </c>
      <c r="G170" s="99"/>
      <c r="H170" s="98"/>
      <c r="I170" s="99" t="s">
        <v>201</v>
      </c>
    </row>
    <row r="171" spans="2:9" x14ac:dyDescent="0.3">
      <c r="B171" s="211" t="s">
        <v>199</v>
      </c>
      <c r="C171" s="211" t="s">
        <v>173</v>
      </c>
      <c r="D171" s="211" t="s">
        <v>174</v>
      </c>
      <c r="E171" s="269" t="s">
        <v>659</v>
      </c>
      <c r="F171" s="98" t="s">
        <v>656</v>
      </c>
      <c r="G171" s="99" t="s">
        <v>200</v>
      </c>
      <c r="H171" s="98"/>
      <c r="I171" s="99" t="s">
        <v>201</v>
      </c>
    </row>
    <row r="172" spans="2:9" x14ac:dyDescent="0.3">
      <c r="B172" s="211" t="s">
        <v>199</v>
      </c>
      <c r="C172" s="211" t="s">
        <v>176</v>
      </c>
      <c r="D172" s="211" t="s">
        <v>177</v>
      </c>
      <c r="E172" s="269" t="s">
        <v>659</v>
      </c>
      <c r="F172" s="98" t="s">
        <v>656</v>
      </c>
      <c r="G172" s="99" t="s">
        <v>200</v>
      </c>
      <c r="H172" s="98"/>
      <c r="I172" s="99" t="s">
        <v>201</v>
      </c>
    </row>
    <row r="173" spans="2:9" x14ac:dyDescent="0.3">
      <c r="B173" s="211" t="s">
        <v>199</v>
      </c>
      <c r="C173" s="211" t="s">
        <v>106</v>
      </c>
      <c r="D173" s="211" t="s">
        <v>107</v>
      </c>
      <c r="E173" s="269" t="s">
        <v>659</v>
      </c>
      <c r="F173" s="98" t="s">
        <v>656</v>
      </c>
      <c r="G173" s="99" t="s">
        <v>200</v>
      </c>
      <c r="H173" s="98"/>
      <c r="I173" s="99" t="s">
        <v>201</v>
      </c>
    </row>
    <row r="174" spans="2:9" x14ac:dyDescent="0.3">
      <c r="B174" s="211" t="s">
        <v>199</v>
      </c>
      <c r="C174" s="211" t="s">
        <v>109</v>
      </c>
      <c r="D174" s="211" t="s">
        <v>110</v>
      </c>
      <c r="E174" s="269" t="s">
        <v>659</v>
      </c>
      <c r="F174" s="98" t="s">
        <v>656</v>
      </c>
      <c r="G174" s="99" t="s">
        <v>200</v>
      </c>
      <c r="H174" s="98"/>
      <c r="I174" s="99" t="s">
        <v>201</v>
      </c>
    </row>
    <row r="175" spans="2:9" x14ac:dyDescent="0.3">
      <c r="B175" s="211" t="s">
        <v>199</v>
      </c>
      <c r="C175" s="211" t="s">
        <v>112</v>
      </c>
      <c r="D175" s="211" t="s">
        <v>113</v>
      </c>
      <c r="E175" s="269" t="s">
        <v>659</v>
      </c>
      <c r="F175" s="98" t="s">
        <v>656</v>
      </c>
      <c r="G175" s="99" t="s">
        <v>200</v>
      </c>
      <c r="H175" s="98"/>
      <c r="I175" s="99" t="s">
        <v>201</v>
      </c>
    </row>
    <row r="176" spans="2:9" x14ac:dyDescent="0.3">
      <c r="B176" s="211" t="s">
        <v>199</v>
      </c>
      <c r="C176" s="211" t="s">
        <v>120</v>
      </c>
      <c r="D176" s="211" t="s">
        <v>121</v>
      </c>
      <c r="E176" s="269" t="s">
        <v>659</v>
      </c>
      <c r="F176" s="98" t="s">
        <v>656</v>
      </c>
      <c r="G176" s="99" t="s">
        <v>200</v>
      </c>
      <c r="H176" s="98"/>
      <c r="I176" s="99" t="s">
        <v>201</v>
      </c>
    </row>
    <row r="177" spans="2:11" x14ac:dyDescent="0.3">
      <c r="B177" s="211" t="s">
        <v>199</v>
      </c>
      <c r="C177" s="211" t="s">
        <v>115</v>
      </c>
      <c r="D177" s="211" t="s">
        <v>116</v>
      </c>
      <c r="E177" s="269" t="s">
        <v>659</v>
      </c>
      <c r="F177" s="98" t="s">
        <v>656</v>
      </c>
      <c r="G177" s="99" t="s">
        <v>200</v>
      </c>
      <c r="H177" s="98"/>
      <c r="I177" s="99" t="s">
        <v>201</v>
      </c>
    </row>
    <row r="178" spans="2:11" x14ac:dyDescent="0.3">
      <c r="B178" s="211" t="s">
        <v>199</v>
      </c>
      <c r="C178" s="211" t="s">
        <v>122</v>
      </c>
      <c r="D178" s="211" t="s">
        <v>123</v>
      </c>
      <c r="E178" s="269" t="s">
        <v>659</v>
      </c>
      <c r="F178" s="98" t="s">
        <v>656</v>
      </c>
      <c r="G178" s="99" t="s">
        <v>200</v>
      </c>
      <c r="H178" s="98"/>
      <c r="I178" s="99" t="s">
        <v>201</v>
      </c>
    </row>
    <row r="179" spans="2:11" x14ac:dyDescent="0.3">
      <c r="B179" s="211" t="s">
        <v>199</v>
      </c>
      <c r="C179" s="211" t="s">
        <v>118</v>
      </c>
      <c r="D179" s="211" t="s">
        <v>119</v>
      </c>
      <c r="E179" s="269" t="s">
        <v>659</v>
      </c>
      <c r="F179" s="98" t="s">
        <v>656</v>
      </c>
      <c r="G179" s="99" t="s">
        <v>200</v>
      </c>
      <c r="H179" s="98"/>
      <c r="I179" s="99" t="s">
        <v>201</v>
      </c>
    </row>
    <row r="180" spans="2:11" s="96" customFormat="1" x14ac:dyDescent="0.3">
      <c r="B180" s="228" t="s">
        <v>199</v>
      </c>
      <c r="C180" s="211" t="s">
        <v>35</v>
      </c>
      <c r="D180" s="211" t="s">
        <v>208</v>
      </c>
      <c r="E180" s="269" t="s">
        <v>659</v>
      </c>
      <c r="F180" s="98" t="s">
        <v>656</v>
      </c>
      <c r="G180" s="99" t="s">
        <v>200</v>
      </c>
      <c r="H180" s="98"/>
      <c r="I180" s="99" t="s">
        <v>201</v>
      </c>
    </row>
    <row r="181" spans="2:11" s="96" customFormat="1" x14ac:dyDescent="0.3">
      <c r="B181" s="211" t="s">
        <v>199</v>
      </c>
      <c r="C181" s="211" t="s">
        <v>279</v>
      </c>
      <c r="D181" s="211" t="s">
        <v>280</v>
      </c>
      <c r="E181" s="269" t="s">
        <v>659</v>
      </c>
      <c r="F181" s="98" t="s">
        <v>656</v>
      </c>
      <c r="G181" s="99" t="s">
        <v>200</v>
      </c>
      <c r="H181" s="98"/>
      <c r="I181" s="99" t="s">
        <v>201</v>
      </c>
    </row>
    <row r="182" spans="2:11" s="96" customFormat="1" x14ac:dyDescent="0.3">
      <c r="B182" s="228" t="s">
        <v>199</v>
      </c>
      <c r="C182" s="228" t="s">
        <v>129</v>
      </c>
      <c r="D182" s="227" t="s">
        <v>209</v>
      </c>
      <c r="E182" s="269" t="s">
        <v>659</v>
      </c>
      <c r="F182" s="98" t="s">
        <v>656</v>
      </c>
      <c r="G182" s="101" t="s">
        <v>200</v>
      </c>
      <c r="H182" s="100"/>
      <c r="I182" s="101" t="s">
        <v>201</v>
      </c>
    </row>
    <row r="183" spans="2:11" x14ac:dyDescent="0.3">
      <c r="B183" s="228" t="s">
        <v>199</v>
      </c>
      <c r="C183" s="228" t="s">
        <v>281</v>
      </c>
      <c r="D183" s="227" t="s">
        <v>282</v>
      </c>
      <c r="E183" s="269" t="s">
        <v>659</v>
      </c>
      <c r="F183" s="98" t="s">
        <v>656</v>
      </c>
      <c r="G183" s="101" t="s">
        <v>200</v>
      </c>
      <c r="H183" s="100"/>
      <c r="I183" s="101" t="s">
        <v>201</v>
      </c>
      <c r="K183" s="85"/>
    </row>
    <row r="184" spans="2:11" x14ac:dyDescent="0.3">
      <c r="B184" s="228" t="s">
        <v>199</v>
      </c>
      <c r="C184" s="228" t="s">
        <v>29</v>
      </c>
      <c r="D184" s="227" t="s">
        <v>210</v>
      </c>
      <c r="E184" s="269" t="s">
        <v>659</v>
      </c>
      <c r="F184" s="98" t="s">
        <v>656</v>
      </c>
      <c r="G184" s="101" t="s">
        <v>200</v>
      </c>
      <c r="H184" s="100"/>
      <c r="I184" s="101" t="s">
        <v>201</v>
      </c>
      <c r="K184" s="85"/>
    </row>
    <row r="185" spans="2:11" s="96" customFormat="1" x14ac:dyDescent="0.3">
      <c r="B185" s="228" t="s">
        <v>199</v>
      </c>
      <c r="C185" s="228" t="s">
        <v>283</v>
      </c>
      <c r="D185" s="227" t="s">
        <v>284</v>
      </c>
      <c r="E185" s="269" t="s">
        <v>659</v>
      </c>
      <c r="F185" s="98" t="s">
        <v>656</v>
      </c>
      <c r="G185" s="101" t="s">
        <v>200</v>
      </c>
      <c r="H185" s="100"/>
      <c r="I185" s="101" t="s">
        <v>201</v>
      </c>
    </row>
    <row r="186" spans="2:11" s="96" customFormat="1" x14ac:dyDescent="0.3">
      <c r="B186" s="228" t="s">
        <v>199</v>
      </c>
      <c r="C186" s="228" t="s">
        <v>127</v>
      </c>
      <c r="D186" s="227" t="s">
        <v>211</v>
      </c>
      <c r="E186" s="269" t="s">
        <v>659</v>
      </c>
      <c r="F186" s="98" t="s">
        <v>656</v>
      </c>
      <c r="G186" s="101" t="s">
        <v>200</v>
      </c>
      <c r="H186" s="100"/>
      <c r="I186" s="101" t="s">
        <v>201</v>
      </c>
    </row>
    <row r="187" spans="2:11" s="96" customFormat="1" x14ac:dyDescent="0.3">
      <c r="B187" s="228" t="s">
        <v>199</v>
      </c>
      <c r="C187" s="228" t="s">
        <v>285</v>
      </c>
      <c r="D187" s="227" t="s">
        <v>286</v>
      </c>
      <c r="E187" s="269" t="s">
        <v>659</v>
      </c>
      <c r="F187" s="98" t="s">
        <v>656</v>
      </c>
      <c r="G187" s="101" t="s">
        <v>200</v>
      </c>
      <c r="H187" s="100"/>
      <c r="I187" s="101" t="s">
        <v>201</v>
      </c>
    </row>
    <row r="188" spans="2:11" s="96" customFormat="1" x14ac:dyDescent="0.3">
      <c r="B188" s="211" t="s">
        <v>199</v>
      </c>
      <c r="C188" s="228" t="s">
        <v>32</v>
      </c>
      <c r="D188" s="227" t="s">
        <v>212</v>
      </c>
      <c r="E188" s="269" t="s">
        <v>659</v>
      </c>
      <c r="F188" s="98" t="s">
        <v>656</v>
      </c>
      <c r="G188" s="101" t="s">
        <v>200</v>
      </c>
      <c r="H188" s="100"/>
      <c r="I188" s="101" t="s">
        <v>201</v>
      </c>
    </row>
    <row r="189" spans="2:11" x14ac:dyDescent="0.3">
      <c r="B189" s="228" t="s">
        <v>199</v>
      </c>
      <c r="C189" s="228" t="s">
        <v>287</v>
      </c>
      <c r="D189" s="227" t="s">
        <v>288</v>
      </c>
      <c r="E189" s="269" t="s">
        <v>659</v>
      </c>
      <c r="F189" s="98" t="s">
        <v>656</v>
      </c>
      <c r="G189" s="101" t="s">
        <v>200</v>
      </c>
      <c r="H189" s="100"/>
      <c r="I189" s="101" t="s">
        <v>201</v>
      </c>
      <c r="K189" s="84"/>
    </row>
    <row r="192" spans="2:11" x14ac:dyDescent="0.3">
      <c r="K192" s="85"/>
    </row>
    <row r="193" spans="11:11" x14ac:dyDescent="0.3">
      <c r="K193" s="85"/>
    </row>
  </sheetData>
  <sortState ref="B5:H9">
    <sortCondition ref="C5:C9"/>
  </sortState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330"/>
  <sheetViews>
    <sheetView topLeftCell="A126" zoomScale="75" zoomScaleNormal="75" zoomScaleSheetLayoutView="75" workbookViewId="0">
      <selection activeCell="K131" sqref="K131"/>
    </sheetView>
  </sheetViews>
  <sheetFormatPr defaultRowHeight="14.4" x14ac:dyDescent="0.3"/>
  <cols>
    <col min="2" max="3" width="19.6640625" bestFit="1" customWidth="1"/>
    <col min="4" max="4" width="12.88671875" bestFit="1" customWidth="1"/>
    <col min="5" max="5" width="12.109375" bestFit="1" customWidth="1"/>
    <col min="6" max="10" width="10" customWidth="1"/>
    <col min="11" max="11" width="10.33203125" customWidth="1"/>
    <col min="13" max="13" width="31.6640625" bestFit="1" customWidth="1"/>
    <col min="14" max="14" width="10" bestFit="1" customWidth="1"/>
    <col min="15" max="15" width="12.33203125" customWidth="1"/>
    <col min="16" max="22" width="11.5546875" customWidth="1"/>
    <col min="23" max="23" width="88.109375" bestFit="1" customWidth="1"/>
    <col min="25" max="25" width="12.109375" customWidth="1"/>
    <col min="26" max="26" width="12.6640625" bestFit="1" customWidth="1"/>
    <col min="28" max="28" width="23.6640625" bestFit="1" customWidth="1"/>
    <col min="29" max="30" width="9.33203125" bestFit="1" customWidth="1"/>
    <col min="31" max="31" width="11.33203125" bestFit="1" customWidth="1"/>
  </cols>
  <sheetData>
    <row r="3" spans="2:31" x14ac:dyDescent="0.3">
      <c r="B3" s="87" t="s">
        <v>292</v>
      </c>
      <c r="C3" s="88"/>
      <c r="D3" s="88"/>
      <c r="E3" s="88"/>
      <c r="F3" s="88"/>
      <c r="G3" s="89"/>
      <c r="H3" s="88"/>
      <c r="M3" s="87" t="s">
        <v>549</v>
      </c>
      <c r="N3" s="88"/>
      <c r="O3" s="88"/>
    </row>
    <row r="4" spans="2:31" x14ac:dyDescent="0.3">
      <c r="B4" s="214" t="s">
        <v>653</v>
      </c>
      <c r="C4" s="90"/>
      <c r="D4" s="90"/>
      <c r="E4" s="90"/>
      <c r="F4" s="90"/>
      <c r="G4" s="91"/>
      <c r="H4" s="92"/>
      <c r="I4" s="92"/>
      <c r="J4" s="92"/>
      <c r="M4" s="216" t="s">
        <v>293</v>
      </c>
      <c r="N4" s="90"/>
      <c r="O4" s="90"/>
    </row>
    <row r="5" spans="2:31" x14ac:dyDescent="0.3">
      <c r="B5" s="93" t="s">
        <v>552</v>
      </c>
      <c r="M5" s="93" t="s">
        <v>655</v>
      </c>
      <c r="AB5" s="124"/>
      <c r="AC5" s="131" t="s">
        <v>461</v>
      </c>
      <c r="AD5" s="131" t="s">
        <v>313</v>
      </c>
      <c r="AE5" s="131" t="s">
        <v>462</v>
      </c>
    </row>
    <row r="6" spans="2:31" ht="16.2" x14ac:dyDescent="0.3">
      <c r="B6" s="103" t="s">
        <v>443</v>
      </c>
      <c r="C6" s="103" t="s">
        <v>2</v>
      </c>
      <c r="D6" s="103" t="s">
        <v>4</v>
      </c>
      <c r="E6" s="103" t="s">
        <v>6</v>
      </c>
      <c r="F6" s="104">
        <v>2019</v>
      </c>
      <c r="G6" s="104">
        <v>2020</v>
      </c>
      <c r="H6" s="104">
        <v>2030</v>
      </c>
      <c r="I6" s="104">
        <v>2040</v>
      </c>
      <c r="J6" s="104">
        <v>2050</v>
      </c>
      <c r="M6" s="103" t="s">
        <v>2</v>
      </c>
      <c r="N6" s="103" t="s">
        <v>4</v>
      </c>
      <c r="O6" s="103" t="s">
        <v>6</v>
      </c>
      <c r="P6" s="104">
        <v>2019</v>
      </c>
      <c r="Q6" s="104">
        <v>2020</v>
      </c>
      <c r="R6" s="104">
        <v>2030</v>
      </c>
      <c r="S6" s="104">
        <v>2040</v>
      </c>
      <c r="T6" s="104">
        <v>2050</v>
      </c>
      <c r="W6" s="103" t="s">
        <v>555</v>
      </c>
      <c r="Y6" s="103" t="s">
        <v>459</v>
      </c>
      <c r="Z6" s="103"/>
      <c r="AB6" s="132" t="s">
        <v>463</v>
      </c>
      <c r="AC6" s="121" t="s">
        <v>474</v>
      </c>
      <c r="AD6" s="122">
        <v>32.76</v>
      </c>
      <c r="AE6" s="129">
        <v>2021.2662306846084</v>
      </c>
    </row>
    <row r="7" spans="2:31" ht="16.2" x14ac:dyDescent="0.3">
      <c r="B7" s="103"/>
      <c r="C7" s="103"/>
      <c r="D7" s="103"/>
      <c r="E7" s="103"/>
      <c r="F7" s="103"/>
      <c r="G7" s="103"/>
      <c r="H7" s="103"/>
      <c r="I7" s="103"/>
      <c r="J7" s="103"/>
      <c r="M7" s="103"/>
      <c r="N7" s="103"/>
      <c r="O7" s="103"/>
      <c r="P7" s="103"/>
      <c r="Q7" s="103"/>
      <c r="R7" s="103"/>
      <c r="S7" s="103"/>
      <c r="T7" s="103"/>
      <c r="W7" s="94"/>
      <c r="Y7" s="94"/>
      <c r="Z7" s="94"/>
      <c r="AB7" s="132" t="s">
        <v>464</v>
      </c>
      <c r="AC7" s="121" t="s">
        <v>474</v>
      </c>
      <c r="AD7" s="122">
        <v>34.56</v>
      </c>
      <c r="AE7" s="129">
        <v>2132.3248147881586</v>
      </c>
    </row>
    <row r="8" spans="2:31" ht="16.2" x14ac:dyDescent="0.3">
      <c r="B8" s="214" t="s">
        <v>444</v>
      </c>
      <c r="C8" s="214" t="str">
        <f t="shared" ref="C8:C41" si="0">M8</f>
        <v>TAI101</v>
      </c>
      <c r="D8" s="214"/>
      <c r="E8" s="214" t="str">
        <f t="shared" ref="E8:E39" si="1">O8</f>
        <v>TAI, TAI-C</v>
      </c>
      <c r="F8" s="253">
        <f>IF(P8=0, "-", ROUND(10^2/P8,5))</f>
        <v>8.0000000000000002E-3</v>
      </c>
      <c r="G8" s="253">
        <f t="shared" ref="G8:G71" si="2">IF(Q8=0, "-", ROUND(10^2/Q8,5))</f>
        <v>8.3300000000000006E-3</v>
      </c>
      <c r="H8" s="253">
        <f t="shared" ref="H8:H71" si="3">IF(R8=0, "-", ROUND(10^2/R8,5))</f>
        <v>8.8199999999999997E-3</v>
      </c>
      <c r="I8" s="253">
        <f t="shared" ref="I8:I71" si="4">IF(S8=0, "-", ROUND(10^2/S8,5))</f>
        <v>9.3699999999999999E-3</v>
      </c>
      <c r="J8" s="253">
        <f t="shared" ref="J8:J71" si="5">IF(T8=0, "-", ROUND(10^2/T8,5))</f>
        <v>0.01</v>
      </c>
      <c r="M8" s="216" t="s">
        <v>183</v>
      </c>
      <c r="N8" s="216"/>
      <c r="O8" s="216" t="s">
        <v>480</v>
      </c>
      <c r="P8" s="106">
        <v>12500</v>
      </c>
      <c r="Q8" s="106">
        <v>12000</v>
      </c>
      <c r="R8" s="106">
        <v>11333</v>
      </c>
      <c r="S8" s="106">
        <v>10667</v>
      </c>
      <c r="T8" s="106">
        <v>10000</v>
      </c>
      <c r="W8" s="117"/>
      <c r="Y8" s="117" t="s">
        <v>458</v>
      </c>
      <c r="Z8" s="118">
        <v>3</v>
      </c>
      <c r="AB8" s="132" t="s">
        <v>465</v>
      </c>
      <c r="AC8" s="121" t="s">
        <v>474</v>
      </c>
      <c r="AD8" s="122">
        <v>35.28</v>
      </c>
      <c r="AE8" s="129">
        <v>2176.7482484295788</v>
      </c>
    </row>
    <row r="9" spans="2:31" ht="16.2" x14ac:dyDescent="0.3">
      <c r="B9" s="217" t="s">
        <v>444</v>
      </c>
      <c r="C9" s="217" t="str">
        <f t="shared" si="0"/>
        <v>TAV101</v>
      </c>
      <c r="D9" s="217"/>
      <c r="E9" s="217" t="str">
        <f t="shared" si="1"/>
        <v>TAV, TAV-C</v>
      </c>
      <c r="F9" s="255">
        <f t="shared" ref="F9:F24" si="6">IF(P9=0, "-", ROUND(10^2/P9,5))</f>
        <v>5.0000000000000001E-3</v>
      </c>
      <c r="G9" s="255">
        <f t="shared" si="2"/>
        <v>5.2100000000000002E-3</v>
      </c>
      <c r="H9" s="255">
        <f t="shared" si="3"/>
        <v>5.5599999999999998E-3</v>
      </c>
      <c r="I9" s="255">
        <f t="shared" si="4"/>
        <v>5.8799999999999998E-3</v>
      </c>
      <c r="J9" s="255">
        <f t="shared" si="5"/>
        <v>6.2500000000000003E-3</v>
      </c>
      <c r="M9" s="221" t="s">
        <v>179</v>
      </c>
      <c r="N9" s="221"/>
      <c r="O9" s="221" t="s">
        <v>481</v>
      </c>
      <c r="P9" s="111">
        <v>20000</v>
      </c>
      <c r="Q9" s="111">
        <v>19200</v>
      </c>
      <c r="R9" s="111">
        <v>18000</v>
      </c>
      <c r="S9" s="111">
        <v>17000</v>
      </c>
      <c r="T9" s="111">
        <v>16000</v>
      </c>
      <c r="W9" s="145"/>
      <c r="Y9" s="117" t="s">
        <v>460</v>
      </c>
      <c r="Z9" s="116">
        <v>35.28</v>
      </c>
      <c r="AB9" s="132" t="s">
        <v>466</v>
      </c>
      <c r="AC9" s="121" t="s">
        <v>474</v>
      </c>
      <c r="AD9" s="122">
        <v>35.82</v>
      </c>
      <c r="AE9" s="129">
        <v>2210.0658236606437</v>
      </c>
    </row>
    <row r="10" spans="2:31" ht="16.2" x14ac:dyDescent="0.3">
      <c r="B10" s="214" t="s">
        <v>445</v>
      </c>
      <c r="C10" s="214" t="str">
        <f t="shared" si="0"/>
        <v>TBISBDL101</v>
      </c>
      <c r="D10" s="214"/>
      <c r="E10" s="214" t="str">
        <f t="shared" si="1"/>
        <v>TBI, TBI-C</v>
      </c>
      <c r="F10" s="252">
        <f t="shared" si="6"/>
        <v>7.5700000000000003E-2</v>
      </c>
      <c r="G10" s="252">
        <f t="shared" si="2"/>
        <v>8.0820000000000003E-2</v>
      </c>
      <c r="H10" s="252">
        <f t="shared" si="3"/>
        <v>8.4930000000000005E-2</v>
      </c>
      <c r="I10" s="252">
        <f t="shared" si="4"/>
        <v>8.9480000000000004E-2</v>
      </c>
      <c r="J10" s="252">
        <f t="shared" si="5"/>
        <v>9.3950000000000006E-2</v>
      </c>
      <c r="M10" s="216" t="s">
        <v>87</v>
      </c>
      <c r="N10" s="216"/>
      <c r="O10" s="216" t="s">
        <v>482</v>
      </c>
      <c r="P10" s="106">
        <v>1321</v>
      </c>
      <c r="Q10" s="106">
        <v>1237.3295046661899</v>
      </c>
      <c r="R10" s="106">
        <v>1177.4587221823401</v>
      </c>
      <c r="S10" s="106">
        <v>1117.5879396984924</v>
      </c>
      <c r="T10" s="106">
        <v>1064.3694663795166</v>
      </c>
      <c r="W10" s="117" t="s">
        <v>493</v>
      </c>
      <c r="Y10" s="117" t="s">
        <v>293</v>
      </c>
      <c r="Z10" s="120">
        <f>Z8*Z9</f>
        <v>105.84</v>
      </c>
      <c r="AB10" s="132" t="s">
        <v>467</v>
      </c>
      <c r="AC10" s="121" t="s">
        <v>474</v>
      </c>
      <c r="AD10" s="122">
        <v>38.090000000000003</v>
      </c>
      <c r="AE10" s="129">
        <v>2350.1230380578982</v>
      </c>
    </row>
    <row r="11" spans="2:31" ht="16.2" x14ac:dyDescent="0.3">
      <c r="B11" s="214" t="s">
        <v>445</v>
      </c>
      <c r="C11" s="214" t="str">
        <f t="shared" si="0"/>
        <v>TBISDST101</v>
      </c>
      <c r="D11" s="214"/>
      <c r="E11" s="214" t="str">
        <f t="shared" si="1"/>
        <v>TBI, TBI-C</v>
      </c>
      <c r="F11" s="252">
        <f>IF(P11=0, "-", ROUND(10^2/P11,5))</f>
        <v>7.5700000000000003E-2</v>
      </c>
      <c r="G11" s="252">
        <f t="shared" si="2"/>
        <v>8.0820000000000003E-2</v>
      </c>
      <c r="H11" s="252">
        <f t="shared" si="3"/>
        <v>8.4930000000000005E-2</v>
      </c>
      <c r="I11" s="252">
        <f t="shared" si="4"/>
        <v>8.9480000000000004E-2</v>
      </c>
      <c r="J11" s="252">
        <f t="shared" si="5"/>
        <v>9.3950000000000006E-2</v>
      </c>
      <c r="M11" s="216" t="s">
        <v>92</v>
      </c>
      <c r="N11" s="216"/>
      <c r="O11" s="216" t="s">
        <v>482</v>
      </c>
      <c r="P11" s="106">
        <v>1321</v>
      </c>
      <c r="Q11" s="106">
        <v>1237.3295046661879</v>
      </c>
      <c r="R11" s="106">
        <v>1177.4587221823401</v>
      </c>
      <c r="S11" s="106">
        <v>1117.5879396984924</v>
      </c>
      <c r="T11" s="106">
        <v>1064.3694663795166</v>
      </c>
      <c r="W11" s="117" t="s">
        <v>296</v>
      </c>
      <c r="Y11" s="117" t="s">
        <v>653</v>
      </c>
      <c r="Z11" s="120">
        <f>10^5/Z10</f>
        <v>944.82237339380197</v>
      </c>
      <c r="AB11" s="132" t="s">
        <v>468</v>
      </c>
      <c r="AC11" s="121" t="s">
        <v>474</v>
      </c>
      <c r="AD11" s="122">
        <v>21.24</v>
      </c>
      <c r="AE11" s="129">
        <v>1310.4912924218891</v>
      </c>
    </row>
    <row r="12" spans="2:31" x14ac:dyDescent="0.3">
      <c r="B12" s="214" t="s">
        <v>445</v>
      </c>
      <c r="C12" s="214" t="str">
        <f t="shared" si="0"/>
        <v>TBISDME101</v>
      </c>
      <c r="D12" s="214"/>
      <c r="E12" s="214" t="str">
        <f t="shared" si="1"/>
        <v>TBI, TBI-C</v>
      </c>
      <c r="F12" s="252">
        <f t="shared" si="6"/>
        <v>7.5700000000000003E-2</v>
      </c>
      <c r="G12" s="252">
        <f t="shared" si="2"/>
        <v>8.0820000000000003E-2</v>
      </c>
      <c r="H12" s="252">
        <f t="shared" si="3"/>
        <v>8.4930000000000005E-2</v>
      </c>
      <c r="I12" s="252">
        <f t="shared" si="4"/>
        <v>8.9480000000000004E-2</v>
      </c>
      <c r="J12" s="252">
        <f t="shared" si="5"/>
        <v>9.3950000000000006E-2</v>
      </c>
      <c r="M12" s="216" t="s">
        <v>90</v>
      </c>
      <c r="N12" s="216"/>
      <c r="O12" s="216" t="s">
        <v>482</v>
      </c>
      <c r="P12" s="106">
        <v>1321</v>
      </c>
      <c r="Q12" s="106">
        <v>1237.3295046661879</v>
      </c>
      <c r="R12" s="106">
        <v>1177.4587221823401</v>
      </c>
      <c r="S12" s="106">
        <v>1117.5879396984924</v>
      </c>
      <c r="T12" s="106">
        <v>1064.3694663795166</v>
      </c>
      <c r="W12" s="117" t="s">
        <v>493</v>
      </c>
      <c r="Z12" s="92"/>
      <c r="AB12" s="132"/>
      <c r="AC12" s="121"/>
      <c r="AD12" s="122"/>
      <c r="AE12" s="129"/>
    </row>
    <row r="13" spans="2:31" s="93" customFormat="1" x14ac:dyDescent="0.3">
      <c r="B13" s="226" t="s">
        <v>445</v>
      </c>
      <c r="C13" s="226" t="str">
        <f t="shared" si="0"/>
        <v>TBISELC101</v>
      </c>
      <c r="D13" s="226"/>
      <c r="E13" s="226" t="str">
        <f t="shared" si="1"/>
        <v>TBI, TBI-C</v>
      </c>
      <c r="F13" s="157">
        <f t="shared" si="6"/>
        <v>0.17985999999999999</v>
      </c>
      <c r="G13" s="157">
        <f t="shared" si="2"/>
        <v>0.17985999999999999</v>
      </c>
      <c r="H13" s="157">
        <f t="shared" si="3"/>
        <v>0.18970999999999999</v>
      </c>
      <c r="I13" s="157">
        <f t="shared" si="4"/>
        <v>0.19783999999999999</v>
      </c>
      <c r="J13" s="157">
        <f t="shared" si="5"/>
        <v>0.20982999999999999</v>
      </c>
      <c r="M13" s="226" t="s">
        <v>491</v>
      </c>
      <c r="N13" s="226"/>
      <c r="O13" s="226" t="s">
        <v>482</v>
      </c>
      <c r="P13" s="113">
        <v>556</v>
      </c>
      <c r="Q13" s="113">
        <v>556</v>
      </c>
      <c r="R13" s="113">
        <v>527.11688311688317</v>
      </c>
      <c r="S13" s="113">
        <v>505.45454545454555</v>
      </c>
      <c r="T13" s="113">
        <v>476.57142857142867</v>
      </c>
      <c r="W13" s="135" t="s">
        <v>646</v>
      </c>
      <c r="Z13" s="242"/>
      <c r="AB13" s="243"/>
      <c r="AC13" s="244"/>
      <c r="AD13" s="245"/>
      <c r="AE13" s="246"/>
    </row>
    <row r="14" spans="2:31" ht="16.2" x14ac:dyDescent="0.3">
      <c r="B14" s="214" t="s">
        <v>445</v>
      </c>
      <c r="C14" s="214" t="str">
        <f t="shared" si="0"/>
        <v>TBISETH101</v>
      </c>
      <c r="D14" s="214"/>
      <c r="E14" s="214" t="str">
        <f t="shared" si="1"/>
        <v>TBI, TBI-C</v>
      </c>
      <c r="F14" s="252">
        <f t="shared" si="6"/>
        <v>7.5700000000000003E-2</v>
      </c>
      <c r="G14" s="252">
        <f t="shared" si="2"/>
        <v>8.0820000000000003E-2</v>
      </c>
      <c r="H14" s="252">
        <f t="shared" si="3"/>
        <v>8.4930000000000005E-2</v>
      </c>
      <c r="I14" s="252">
        <f t="shared" si="4"/>
        <v>8.9480000000000004E-2</v>
      </c>
      <c r="J14" s="252">
        <f t="shared" si="5"/>
        <v>9.3950000000000006E-2</v>
      </c>
      <c r="M14" s="216" t="s">
        <v>94</v>
      </c>
      <c r="N14" s="216"/>
      <c r="O14" s="216" t="s">
        <v>482</v>
      </c>
      <c r="P14" s="106">
        <f>P11</f>
        <v>1321</v>
      </c>
      <c r="Q14" s="106">
        <f t="shared" ref="Q14:T14" si="7">Q11</f>
        <v>1237.3295046661879</v>
      </c>
      <c r="R14" s="106">
        <f t="shared" si="7"/>
        <v>1177.4587221823401</v>
      </c>
      <c r="S14" s="106">
        <f t="shared" si="7"/>
        <v>1117.5879396984924</v>
      </c>
      <c r="T14" s="106">
        <f t="shared" si="7"/>
        <v>1064.3694663795166</v>
      </c>
      <c r="W14" s="117" t="s">
        <v>644</v>
      </c>
      <c r="Y14" s="117" t="s">
        <v>540</v>
      </c>
      <c r="Z14" s="118">
        <v>1.2</v>
      </c>
      <c r="AB14" s="132" t="s">
        <v>469</v>
      </c>
      <c r="AC14" s="121" t="s">
        <v>474</v>
      </c>
      <c r="AD14" s="122">
        <v>33.01</v>
      </c>
      <c r="AE14" s="129">
        <v>2036.6910340323238</v>
      </c>
    </row>
    <row r="15" spans="2:31" ht="16.2" x14ac:dyDescent="0.3">
      <c r="B15" s="214" t="s">
        <v>445</v>
      </c>
      <c r="C15" s="214" t="str">
        <f t="shared" si="0"/>
        <v>TBISGAS101</v>
      </c>
      <c r="D15" s="214"/>
      <c r="E15" s="214" t="str">
        <f t="shared" si="1"/>
        <v>TBI, TBI-C</v>
      </c>
      <c r="F15" s="252">
        <f t="shared" si="6"/>
        <v>5.0610000000000002E-2</v>
      </c>
      <c r="G15" s="252">
        <f t="shared" si="2"/>
        <v>5.3940000000000002E-2</v>
      </c>
      <c r="H15" s="252">
        <f t="shared" si="3"/>
        <v>5.6750000000000002E-2</v>
      </c>
      <c r="I15" s="252">
        <f t="shared" si="4"/>
        <v>5.9630000000000002E-2</v>
      </c>
      <c r="J15" s="252">
        <f t="shared" si="5"/>
        <v>6.2770000000000006E-2</v>
      </c>
      <c r="M15" s="216" t="s">
        <v>96</v>
      </c>
      <c r="N15" s="216"/>
      <c r="O15" s="216" t="s">
        <v>482</v>
      </c>
      <c r="P15" s="106">
        <v>1976</v>
      </c>
      <c r="Q15" s="106">
        <v>1854</v>
      </c>
      <c r="R15" s="106">
        <v>1762</v>
      </c>
      <c r="S15" s="106">
        <v>1677</v>
      </c>
      <c r="T15" s="106">
        <v>1593</v>
      </c>
      <c r="W15" s="117"/>
      <c r="Y15" s="117" t="s">
        <v>293</v>
      </c>
      <c r="Z15" s="119">
        <f>Z14*3.6*100</f>
        <v>432</v>
      </c>
      <c r="AB15" s="132" t="s">
        <v>470</v>
      </c>
      <c r="AC15" s="121" t="s">
        <v>474</v>
      </c>
      <c r="AD15" s="122">
        <v>33.979999999999997</v>
      </c>
      <c r="AE15" s="129">
        <v>2096.5392710214587</v>
      </c>
    </row>
    <row r="16" spans="2:31" ht="16.2" x14ac:dyDescent="0.3">
      <c r="B16" s="214" t="s">
        <v>445</v>
      </c>
      <c r="C16" s="214" t="str">
        <f t="shared" si="0"/>
        <v>TBISGSL101</v>
      </c>
      <c r="D16" s="214"/>
      <c r="E16" s="214" t="str">
        <f t="shared" si="1"/>
        <v>TBI, TBI-C</v>
      </c>
      <c r="F16" s="252">
        <f t="shared" si="6"/>
        <v>5.0610000000000002E-2</v>
      </c>
      <c r="G16" s="252">
        <f t="shared" si="2"/>
        <v>5.3940000000000002E-2</v>
      </c>
      <c r="H16" s="252">
        <f t="shared" si="3"/>
        <v>5.6750000000000002E-2</v>
      </c>
      <c r="I16" s="252">
        <f t="shared" si="4"/>
        <v>5.9630000000000002E-2</v>
      </c>
      <c r="J16" s="252">
        <f t="shared" si="5"/>
        <v>6.2770000000000006E-2</v>
      </c>
      <c r="M16" s="216" t="s">
        <v>98</v>
      </c>
      <c r="N16" s="216"/>
      <c r="O16" s="216" t="s">
        <v>482</v>
      </c>
      <c r="P16" s="106">
        <v>1976</v>
      </c>
      <c r="Q16" s="106">
        <v>1854</v>
      </c>
      <c r="R16" s="106">
        <v>1762</v>
      </c>
      <c r="S16" s="106">
        <v>1677</v>
      </c>
      <c r="T16" s="106">
        <v>1593</v>
      </c>
      <c r="W16" s="117"/>
      <c r="Y16" s="117" t="s">
        <v>653</v>
      </c>
      <c r="Z16" s="119">
        <f>10^5/Z15</f>
        <v>231.4814814814815</v>
      </c>
      <c r="AB16" s="132" t="s">
        <v>471</v>
      </c>
      <c r="AC16" s="121" t="s">
        <v>475</v>
      </c>
      <c r="AD16" s="122">
        <v>39.78</v>
      </c>
      <c r="AE16" s="129">
        <v>2454.3947086884532</v>
      </c>
    </row>
    <row r="17" spans="2:31" ht="16.2" x14ac:dyDescent="0.3">
      <c r="B17" s="214" t="s">
        <v>445</v>
      </c>
      <c r="C17" s="214" t="str">
        <f t="shared" si="0"/>
        <v>TBISHYD101</v>
      </c>
      <c r="D17" s="214"/>
      <c r="E17" s="214" t="str">
        <f t="shared" si="1"/>
        <v>TBI, TBI-C</v>
      </c>
      <c r="F17" s="252">
        <f t="shared" si="6"/>
        <v>7.9740000000000005E-2</v>
      </c>
      <c r="G17" s="252">
        <f t="shared" si="2"/>
        <v>8.5690000000000002E-2</v>
      </c>
      <c r="H17" s="252">
        <f t="shared" si="3"/>
        <v>9.0090000000000003E-2</v>
      </c>
      <c r="I17" s="252">
        <f t="shared" si="4"/>
        <v>9.4880000000000006E-2</v>
      </c>
      <c r="J17" s="252">
        <f t="shared" si="5"/>
        <v>9.9599999999999994E-2</v>
      </c>
      <c r="M17" s="216" t="s">
        <v>342</v>
      </c>
      <c r="N17" s="222"/>
      <c r="O17" s="216" t="s">
        <v>482</v>
      </c>
      <c r="P17" s="106">
        <v>1254</v>
      </c>
      <c r="Q17" s="106">
        <v>1167</v>
      </c>
      <c r="R17" s="106">
        <v>1110</v>
      </c>
      <c r="S17" s="106">
        <v>1054</v>
      </c>
      <c r="T17" s="106">
        <v>1004</v>
      </c>
      <c r="V17" s="146"/>
      <c r="W17" s="117" t="s">
        <v>294</v>
      </c>
      <c r="AB17" s="132" t="s">
        <v>472</v>
      </c>
      <c r="AC17" s="121" t="s">
        <v>475</v>
      </c>
      <c r="AD17" s="122">
        <v>34.92</v>
      </c>
      <c r="AE17" s="129">
        <v>2154.5365316088687</v>
      </c>
    </row>
    <row r="18" spans="2:31" x14ac:dyDescent="0.3">
      <c r="B18" s="214" t="s">
        <v>445</v>
      </c>
      <c r="C18" s="214" t="str">
        <f t="shared" si="0"/>
        <v>TBISHYG101</v>
      </c>
      <c r="D18" s="214"/>
      <c r="E18" s="214" t="str">
        <f t="shared" si="1"/>
        <v>TBI, TBI-C</v>
      </c>
      <c r="F18" s="252">
        <f t="shared" si="6"/>
        <v>5.3269999999999998E-2</v>
      </c>
      <c r="G18" s="252">
        <f t="shared" si="2"/>
        <v>5.6779999999999997E-2</v>
      </c>
      <c r="H18" s="252">
        <f t="shared" si="3"/>
        <v>5.9740000000000001E-2</v>
      </c>
      <c r="I18" s="252">
        <f t="shared" si="4"/>
        <v>6.2770000000000006E-2</v>
      </c>
      <c r="J18" s="252">
        <f t="shared" si="5"/>
        <v>6.608E-2</v>
      </c>
      <c r="M18" s="216" t="s">
        <v>404</v>
      </c>
      <c r="N18" s="222"/>
      <c r="O18" s="216" t="s">
        <v>482</v>
      </c>
      <c r="P18" s="106">
        <f>P16*0.95</f>
        <v>1877.1999999999998</v>
      </c>
      <c r="Q18" s="106">
        <f t="shared" ref="Q18:T18" si="8">Q16*0.95</f>
        <v>1761.3</v>
      </c>
      <c r="R18" s="106">
        <f t="shared" si="8"/>
        <v>1673.8999999999999</v>
      </c>
      <c r="S18" s="106">
        <f t="shared" si="8"/>
        <v>1593.1499999999999</v>
      </c>
      <c r="T18" s="106">
        <f t="shared" si="8"/>
        <v>1513.35</v>
      </c>
      <c r="W18" s="117" t="s">
        <v>554</v>
      </c>
      <c r="AB18" s="132"/>
      <c r="AC18" s="121"/>
      <c r="AD18" s="122"/>
      <c r="AE18" s="129"/>
    </row>
    <row r="19" spans="2:31" ht="16.2" x14ac:dyDescent="0.3">
      <c r="B19" s="214" t="s">
        <v>445</v>
      </c>
      <c r="C19" s="214" t="str">
        <f t="shared" si="0"/>
        <v>TBISHFC101</v>
      </c>
      <c r="D19" s="214"/>
      <c r="E19" s="214" t="str">
        <f t="shared" si="1"/>
        <v>TBI, TBI-C</v>
      </c>
      <c r="F19" s="252">
        <f t="shared" si="6"/>
        <v>0.12594</v>
      </c>
      <c r="G19" s="252">
        <f t="shared" si="2"/>
        <v>0.13458999999999999</v>
      </c>
      <c r="H19" s="252">
        <f t="shared" si="3"/>
        <v>0.14163999999999999</v>
      </c>
      <c r="I19" s="252">
        <f t="shared" si="4"/>
        <v>0.14881</v>
      </c>
      <c r="J19" s="252">
        <f t="shared" si="5"/>
        <v>0.15648999999999999</v>
      </c>
      <c r="M19" s="216" t="s">
        <v>100</v>
      </c>
      <c r="N19" s="222"/>
      <c r="O19" s="216" t="s">
        <v>482</v>
      </c>
      <c r="P19" s="106">
        <v>794</v>
      </c>
      <c r="Q19" s="106">
        <v>743</v>
      </c>
      <c r="R19" s="106">
        <v>706</v>
      </c>
      <c r="S19" s="106">
        <v>672</v>
      </c>
      <c r="T19" s="106">
        <v>639</v>
      </c>
      <c r="W19" s="117"/>
      <c r="AB19" s="132" t="s">
        <v>473</v>
      </c>
      <c r="AC19" s="121" t="s">
        <v>475</v>
      </c>
      <c r="AD19" s="123">
        <v>25.9</v>
      </c>
      <c r="AE19" s="129">
        <v>1598.0096268233017</v>
      </c>
    </row>
    <row r="20" spans="2:31" x14ac:dyDescent="0.3">
      <c r="B20" s="214" t="s">
        <v>445</v>
      </c>
      <c r="C20" s="214" t="str">
        <f t="shared" si="0"/>
        <v>TBISLPG101</v>
      </c>
      <c r="D20" s="214"/>
      <c r="E20" s="214" t="str">
        <f t="shared" si="1"/>
        <v>TBI, TBI-C</v>
      </c>
      <c r="F20" s="252">
        <f t="shared" si="6"/>
        <v>5.0610000000000002E-2</v>
      </c>
      <c r="G20" s="252">
        <f t="shared" si="2"/>
        <v>5.3940000000000002E-2</v>
      </c>
      <c r="H20" s="252">
        <f t="shared" si="3"/>
        <v>5.6750000000000002E-2</v>
      </c>
      <c r="I20" s="252">
        <f t="shared" si="4"/>
        <v>5.9630000000000002E-2</v>
      </c>
      <c r="J20" s="252">
        <f t="shared" si="5"/>
        <v>6.2770000000000006E-2</v>
      </c>
      <c r="M20" s="216" t="s">
        <v>102</v>
      </c>
      <c r="N20" s="222"/>
      <c r="O20" s="216" t="s">
        <v>482</v>
      </c>
      <c r="P20" s="106">
        <v>1976</v>
      </c>
      <c r="Q20" s="106">
        <v>1854</v>
      </c>
      <c r="R20" s="106">
        <v>1762</v>
      </c>
      <c r="S20" s="106">
        <v>1677</v>
      </c>
      <c r="T20" s="106">
        <v>1593</v>
      </c>
      <c r="W20" s="117"/>
      <c r="AB20" s="124"/>
      <c r="AC20" s="124"/>
      <c r="AD20" s="124"/>
      <c r="AE20" s="124"/>
    </row>
    <row r="21" spans="2:31" x14ac:dyDescent="0.3">
      <c r="B21" s="226" t="s">
        <v>445</v>
      </c>
      <c r="C21" s="226" t="str">
        <f t="shared" si="0"/>
        <v>TBISMDE101</v>
      </c>
      <c r="D21" s="226"/>
      <c r="E21" s="226" t="str">
        <f t="shared" si="1"/>
        <v>TBI, TBI-C</v>
      </c>
      <c r="F21" s="157">
        <f t="shared" si="6"/>
        <v>7.5700000000000003E-2</v>
      </c>
      <c r="G21" s="157">
        <f t="shared" si="2"/>
        <v>8.0820000000000003E-2</v>
      </c>
      <c r="H21" s="157">
        <f t="shared" si="3"/>
        <v>8.4930000000000005E-2</v>
      </c>
      <c r="I21" s="157">
        <f t="shared" si="4"/>
        <v>8.9480000000000004E-2</v>
      </c>
      <c r="J21" s="157">
        <f t="shared" si="5"/>
        <v>9.3950000000000006E-2</v>
      </c>
      <c r="K21" s="93"/>
      <c r="L21" s="93"/>
      <c r="M21" s="226" t="s">
        <v>104</v>
      </c>
      <c r="N21" s="280"/>
      <c r="O21" s="226" t="s">
        <v>482</v>
      </c>
      <c r="P21" s="113">
        <v>1321</v>
      </c>
      <c r="Q21" s="113">
        <v>1237.3295046661879</v>
      </c>
      <c r="R21" s="113">
        <v>1177.4587221823401</v>
      </c>
      <c r="S21" s="113">
        <v>1117.5879396984924</v>
      </c>
      <c r="T21" s="113">
        <v>1064.3694663795166</v>
      </c>
      <c r="W21" s="135" t="s">
        <v>675</v>
      </c>
      <c r="AB21" s="124"/>
      <c r="AC21" s="124"/>
      <c r="AD21" s="124"/>
      <c r="AE21" s="124"/>
    </row>
    <row r="22" spans="2:31" x14ac:dyDescent="0.3">
      <c r="B22" s="214" t="s">
        <v>445</v>
      </c>
      <c r="C22" s="214" t="str">
        <f t="shared" si="0"/>
        <v>TBISMTH101</v>
      </c>
      <c r="D22" s="214"/>
      <c r="E22" s="214" t="str">
        <f t="shared" si="1"/>
        <v>TBI, TBI-C</v>
      </c>
      <c r="F22" s="252">
        <f t="shared" si="6"/>
        <v>5.0610000000000002E-2</v>
      </c>
      <c r="G22" s="252">
        <f t="shared" si="2"/>
        <v>5.3940000000000002E-2</v>
      </c>
      <c r="H22" s="252">
        <f t="shared" si="3"/>
        <v>5.6750000000000002E-2</v>
      </c>
      <c r="I22" s="252">
        <f t="shared" si="4"/>
        <v>5.9630000000000002E-2</v>
      </c>
      <c r="J22" s="252">
        <f t="shared" si="5"/>
        <v>6.2770000000000006E-2</v>
      </c>
      <c r="M22" s="216" t="s">
        <v>588</v>
      </c>
      <c r="N22" s="222"/>
      <c r="O22" s="216" t="s">
        <v>482</v>
      </c>
      <c r="P22" s="106">
        <v>1976</v>
      </c>
      <c r="Q22" s="106">
        <v>1854</v>
      </c>
      <c r="R22" s="106">
        <v>1762</v>
      </c>
      <c r="S22" s="106">
        <v>1677</v>
      </c>
      <c r="T22" s="106">
        <v>1593</v>
      </c>
      <c r="W22" s="117"/>
      <c r="AB22" s="124"/>
      <c r="AC22" s="130" t="s">
        <v>313</v>
      </c>
      <c r="AD22" s="130" t="s">
        <v>462</v>
      </c>
      <c r="AE22" s="130"/>
    </row>
    <row r="23" spans="2:31" x14ac:dyDescent="0.3">
      <c r="B23" s="214" t="s">
        <v>445</v>
      </c>
      <c r="C23" s="214" t="str">
        <f t="shared" si="0"/>
        <v>TBISPYD101</v>
      </c>
      <c r="D23" s="214"/>
      <c r="E23" s="214" t="str">
        <f t="shared" si="1"/>
        <v>TBI, TBI-C</v>
      </c>
      <c r="F23" s="252">
        <f t="shared" si="6"/>
        <v>8.4110000000000004E-2</v>
      </c>
      <c r="G23" s="252">
        <f t="shared" si="2"/>
        <v>8.9800000000000005E-2</v>
      </c>
      <c r="H23" s="252">
        <f t="shared" si="3"/>
        <v>9.4369999999999996E-2</v>
      </c>
      <c r="I23" s="252">
        <f t="shared" si="4"/>
        <v>9.9419999999999994E-2</v>
      </c>
      <c r="J23" s="252">
        <f t="shared" si="5"/>
        <v>0.10439</v>
      </c>
      <c r="M23" s="216" t="s">
        <v>405</v>
      </c>
      <c r="N23" s="222"/>
      <c r="O23" s="216" t="s">
        <v>482</v>
      </c>
      <c r="P23" s="106">
        <f>P11*0.9</f>
        <v>1188.9000000000001</v>
      </c>
      <c r="Q23" s="106">
        <f t="shared" ref="Q23:T23" si="9">Q11*0.9</f>
        <v>1113.596554199569</v>
      </c>
      <c r="R23" s="106">
        <f t="shared" si="9"/>
        <v>1059.7128499641062</v>
      </c>
      <c r="S23" s="106">
        <f t="shared" si="9"/>
        <v>1005.8291457286432</v>
      </c>
      <c r="T23" s="106">
        <f t="shared" si="9"/>
        <v>957.93251974156487</v>
      </c>
      <c r="W23" s="117" t="s">
        <v>556</v>
      </c>
      <c r="AB23" s="124"/>
      <c r="AC23" s="130"/>
      <c r="AD23" s="130"/>
      <c r="AE23" s="130"/>
    </row>
    <row r="24" spans="2:31" x14ac:dyDescent="0.3">
      <c r="B24" s="217" t="s">
        <v>445</v>
      </c>
      <c r="C24" s="217" t="str">
        <f t="shared" si="0"/>
        <v>TBISPYG101</v>
      </c>
      <c r="D24" s="217"/>
      <c r="E24" s="217" t="str">
        <f t="shared" si="1"/>
        <v>TBI, TBI-C</v>
      </c>
      <c r="F24" s="254">
        <f t="shared" si="6"/>
        <v>5.6230000000000002E-2</v>
      </c>
      <c r="G24" s="254">
        <f t="shared" si="2"/>
        <v>5.9929999999999997E-2</v>
      </c>
      <c r="H24" s="254">
        <f t="shared" si="3"/>
        <v>6.3060000000000005E-2</v>
      </c>
      <c r="I24" s="254">
        <f t="shared" si="4"/>
        <v>6.6259999999999999E-2</v>
      </c>
      <c r="J24" s="254">
        <f t="shared" si="5"/>
        <v>6.9750000000000006E-2</v>
      </c>
      <c r="M24" s="221" t="s">
        <v>406</v>
      </c>
      <c r="N24" s="223"/>
      <c r="O24" s="221" t="s">
        <v>482</v>
      </c>
      <c r="P24" s="111">
        <f>P16*0.9</f>
        <v>1778.4</v>
      </c>
      <c r="Q24" s="111">
        <f t="shared" ref="Q24:T24" si="10">Q16*0.9</f>
        <v>1668.6000000000001</v>
      </c>
      <c r="R24" s="111">
        <f t="shared" si="10"/>
        <v>1585.8</v>
      </c>
      <c r="S24" s="111">
        <f t="shared" si="10"/>
        <v>1509.3</v>
      </c>
      <c r="T24" s="111">
        <f t="shared" si="10"/>
        <v>1433.7</v>
      </c>
      <c r="W24" s="145" t="s">
        <v>557</v>
      </c>
      <c r="AB24" s="124"/>
      <c r="AC24" s="130"/>
      <c r="AD24" s="130"/>
      <c r="AE24" s="130"/>
    </row>
    <row r="25" spans="2:31" x14ac:dyDescent="0.3">
      <c r="B25" s="214" t="s">
        <v>541</v>
      </c>
      <c r="C25" s="214" t="str">
        <f t="shared" si="0"/>
        <v>TCARBDL101</v>
      </c>
      <c r="D25" s="214"/>
      <c r="E25" s="214" t="str">
        <f t="shared" si="1"/>
        <v>TCL</v>
      </c>
      <c r="F25" s="252">
        <f t="shared" ref="F25:F88" si="11">IF(P25=0, "-", ROUND(10^2/P25,5))</f>
        <v>0.57471000000000005</v>
      </c>
      <c r="G25" s="252">
        <f t="shared" si="2"/>
        <v>0.61350000000000005</v>
      </c>
      <c r="H25" s="252">
        <f t="shared" si="3"/>
        <v>0.64515999999999996</v>
      </c>
      <c r="I25" s="252">
        <f t="shared" si="4"/>
        <v>0.68027000000000004</v>
      </c>
      <c r="J25" s="252">
        <f t="shared" si="5"/>
        <v>0.71428999999999998</v>
      </c>
      <c r="M25" s="216" t="s">
        <v>43</v>
      </c>
      <c r="N25" s="222"/>
      <c r="O25" s="216" t="s">
        <v>45</v>
      </c>
      <c r="P25" s="106">
        <v>174</v>
      </c>
      <c r="Q25" s="106">
        <v>163</v>
      </c>
      <c r="R25" s="106">
        <v>155</v>
      </c>
      <c r="S25" s="106">
        <v>147</v>
      </c>
      <c r="T25" s="106">
        <v>140</v>
      </c>
      <c r="W25" s="117" t="s">
        <v>489</v>
      </c>
      <c r="AB25" s="132" t="s">
        <v>313</v>
      </c>
      <c r="AC25" s="125">
        <v>1</v>
      </c>
      <c r="AD25" s="126">
        <f>1/3.6</f>
        <v>0.27777777777777779</v>
      </c>
      <c r="AE25" s="124"/>
    </row>
    <row r="26" spans="2:31" x14ac:dyDescent="0.3">
      <c r="B26" s="214" t="s">
        <v>541</v>
      </c>
      <c r="C26" s="214" t="str">
        <f t="shared" si="0"/>
        <v>TCARBDL101P</v>
      </c>
      <c r="D26" s="214"/>
      <c r="E26" s="214" t="str">
        <f t="shared" si="1"/>
        <v>TCL-P</v>
      </c>
      <c r="F26" s="252">
        <f t="shared" si="11"/>
        <v>0.57471000000000005</v>
      </c>
      <c r="G26" s="252">
        <f t="shared" si="2"/>
        <v>0.61350000000000005</v>
      </c>
      <c r="H26" s="252">
        <f t="shared" si="3"/>
        <v>0.64515999999999996</v>
      </c>
      <c r="I26" s="252">
        <f t="shared" si="4"/>
        <v>0.68027000000000004</v>
      </c>
      <c r="J26" s="252">
        <f t="shared" si="5"/>
        <v>0.71428999999999998</v>
      </c>
      <c r="M26" s="216" t="s">
        <v>572</v>
      </c>
      <c r="N26" s="222"/>
      <c r="O26" s="216" t="s">
        <v>442</v>
      </c>
      <c r="P26" s="106">
        <v>174</v>
      </c>
      <c r="Q26" s="106">
        <v>163</v>
      </c>
      <c r="R26" s="106">
        <v>155</v>
      </c>
      <c r="S26" s="106">
        <v>147</v>
      </c>
      <c r="T26" s="106">
        <v>140</v>
      </c>
      <c r="W26" s="117" t="s">
        <v>489</v>
      </c>
      <c r="AB26" s="132" t="s">
        <v>462</v>
      </c>
      <c r="AC26" s="127">
        <v>3.6</v>
      </c>
      <c r="AD26" s="128">
        <v>1</v>
      </c>
      <c r="AE26" s="124"/>
    </row>
    <row r="27" spans="2:31" x14ac:dyDescent="0.3">
      <c r="B27" s="214" t="s">
        <v>541</v>
      </c>
      <c r="C27" s="214" t="str">
        <f t="shared" si="0"/>
        <v>TCARBDL901</v>
      </c>
      <c r="D27" s="214"/>
      <c r="E27" s="214" t="str">
        <f t="shared" si="1"/>
        <v>TCL-C</v>
      </c>
      <c r="F27" s="252">
        <f t="shared" si="11"/>
        <v>0.57471000000000005</v>
      </c>
      <c r="G27" s="252">
        <f t="shared" si="2"/>
        <v>0.61350000000000005</v>
      </c>
      <c r="H27" s="252">
        <f t="shared" si="3"/>
        <v>0.64515999999999996</v>
      </c>
      <c r="I27" s="252">
        <f t="shared" si="4"/>
        <v>0.68027000000000004</v>
      </c>
      <c r="J27" s="252">
        <f t="shared" si="5"/>
        <v>0.71428999999999998</v>
      </c>
      <c r="M27" s="216" t="s">
        <v>213</v>
      </c>
      <c r="N27" s="222"/>
      <c r="O27" s="216" t="s">
        <v>290</v>
      </c>
      <c r="P27" s="106">
        <v>174</v>
      </c>
      <c r="Q27" s="106">
        <v>163</v>
      </c>
      <c r="R27" s="106">
        <v>155</v>
      </c>
      <c r="S27" s="106">
        <v>147</v>
      </c>
      <c r="T27" s="106">
        <v>140</v>
      </c>
      <c r="W27" s="117" t="s">
        <v>489</v>
      </c>
      <c r="AB27" s="132"/>
      <c r="AC27" s="124"/>
      <c r="AD27" s="124"/>
      <c r="AE27" s="124"/>
    </row>
    <row r="28" spans="2:31" x14ac:dyDescent="0.3">
      <c r="B28" s="214" t="s">
        <v>541</v>
      </c>
      <c r="C28" s="214" t="str">
        <f t="shared" si="0"/>
        <v>TCARDST101</v>
      </c>
      <c r="D28" s="218"/>
      <c r="E28" s="214" t="str">
        <f t="shared" si="1"/>
        <v>TCL</v>
      </c>
      <c r="F28" s="252">
        <f t="shared" si="11"/>
        <v>0.57471000000000005</v>
      </c>
      <c r="G28" s="252">
        <f t="shared" si="2"/>
        <v>0.61350000000000005</v>
      </c>
      <c r="H28" s="252">
        <f t="shared" si="3"/>
        <v>0.64515999999999996</v>
      </c>
      <c r="I28" s="252">
        <f t="shared" si="4"/>
        <v>0.68027000000000004</v>
      </c>
      <c r="J28" s="252">
        <f t="shared" si="5"/>
        <v>0.71428999999999998</v>
      </c>
      <c r="M28" s="216" t="s">
        <v>47</v>
      </c>
      <c r="N28" s="216"/>
      <c r="O28" s="216" t="s">
        <v>45</v>
      </c>
      <c r="P28" s="106">
        <v>174</v>
      </c>
      <c r="Q28" s="106">
        <v>163</v>
      </c>
      <c r="R28" s="106">
        <v>155</v>
      </c>
      <c r="S28" s="106">
        <v>147</v>
      </c>
      <c r="T28" s="106">
        <v>140</v>
      </c>
      <c r="W28" s="117" t="s">
        <v>295</v>
      </c>
    </row>
    <row r="29" spans="2:31" x14ac:dyDescent="0.3">
      <c r="B29" s="214" t="s">
        <v>541</v>
      </c>
      <c r="C29" s="214" t="str">
        <f t="shared" si="0"/>
        <v>TCARDST101P</v>
      </c>
      <c r="D29" s="218"/>
      <c r="E29" s="214" t="str">
        <f t="shared" si="1"/>
        <v>TCL-P</v>
      </c>
      <c r="F29" s="252">
        <f t="shared" si="11"/>
        <v>0.57471000000000005</v>
      </c>
      <c r="G29" s="252">
        <f t="shared" si="2"/>
        <v>0.61350000000000005</v>
      </c>
      <c r="H29" s="252">
        <f t="shared" si="3"/>
        <v>0.64515999999999996</v>
      </c>
      <c r="I29" s="252">
        <f t="shared" si="4"/>
        <v>0.68027000000000004</v>
      </c>
      <c r="J29" s="252">
        <f t="shared" si="5"/>
        <v>0.71428999999999998</v>
      </c>
      <c r="M29" s="216" t="s">
        <v>561</v>
      </c>
      <c r="N29" s="216"/>
      <c r="O29" s="216" t="s">
        <v>442</v>
      </c>
      <c r="P29" s="106">
        <v>174</v>
      </c>
      <c r="Q29" s="106">
        <v>163</v>
      </c>
      <c r="R29" s="106">
        <v>155</v>
      </c>
      <c r="S29" s="106">
        <v>147</v>
      </c>
      <c r="T29" s="106">
        <v>140</v>
      </c>
      <c r="W29" s="117" t="s">
        <v>489</v>
      </c>
    </row>
    <row r="30" spans="2:31" x14ac:dyDescent="0.3">
      <c r="B30" s="214" t="s">
        <v>541</v>
      </c>
      <c r="C30" s="214" t="str">
        <f t="shared" si="0"/>
        <v>TCARDST901</v>
      </c>
      <c r="D30" s="218"/>
      <c r="E30" s="214" t="str">
        <f t="shared" si="1"/>
        <v>TCL-C</v>
      </c>
      <c r="F30" s="252">
        <f t="shared" si="11"/>
        <v>0.57471000000000005</v>
      </c>
      <c r="G30" s="252">
        <f t="shared" si="2"/>
        <v>0.61350000000000005</v>
      </c>
      <c r="H30" s="252">
        <f t="shared" si="3"/>
        <v>0.64515999999999996</v>
      </c>
      <c r="I30" s="252">
        <f t="shared" si="4"/>
        <v>0.68027000000000004</v>
      </c>
      <c r="J30" s="252">
        <f t="shared" si="5"/>
        <v>0.71428999999999998</v>
      </c>
      <c r="M30" s="216" t="s">
        <v>214</v>
      </c>
      <c r="N30" s="216"/>
      <c r="O30" s="216" t="s">
        <v>290</v>
      </c>
      <c r="P30" s="106">
        <v>174</v>
      </c>
      <c r="Q30" s="106">
        <v>163</v>
      </c>
      <c r="R30" s="106">
        <v>155</v>
      </c>
      <c r="S30" s="106">
        <v>147</v>
      </c>
      <c r="T30" s="106">
        <v>140</v>
      </c>
      <c r="W30" s="117" t="s">
        <v>489</v>
      </c>
    </row>
    <row r="31" spans="2:31" x14ac:dyDescent="0.3">
      <c r="B31" s="214" t="s">
        <v>541</v>
      </c>
      <c r="C31" s="214" t="str">
        <f t="shared" si="0"/>
        <v>TCARELC101</v>
      </c>
      <c r="D31" s="218"/>
      <c r="E31" s="214" t="str">
        <f t="shared" si="1"/>
        <v>TCL</v>
      </c>
      <c r="F31" s="252">
        <f t="shared" si="11"/>
        <v>1.2987</v>
      </c>
      <c r="G31" s="252">
        <f t="shared" si="2"/>
        <v>1.2987</v>
      </c>
      <c r="H31" s="252">
        <f t="shared" si="3"/>
        <v>1.3698600000000001</v>
      </c>
      <c r="I31" s="252">
        <f t="shared" si="4"/>
        <v>1.4285699999999999</v>
      </c>
      <c r="J31" s="252">
        <f t="shared" si="5"/>
        <v>1.51515</v>
      </c>
      <c r="M31" s="216" t="s">
        <v>49</v>
      </c>
      <c r="N31" s="216"/>
      <c r="O31" s="216" t="s">
        <v>45</v>
      </c>
      <c r="P31" s="106">
        <v>77</v>
      </c>
      <c r="Q31" s="106">
        <v>77</v>
      </c>
      <c r="R31" s="106">
        <v>73</v>
      </c>
      <c r="S31" s="106">
        <v>70</v>
      </c>
      <c r="T31" s="106">
        <v>66</v>
      </c>
      <c r="W31" s="117" t="s">
        <v>295</v>
      </c>
    </row>
    <row r="32" spans="2:31" x14ac:dyDescent="0.3">
      <c r="B32" s="214" t="s">
        <v>541</v>
      </c>
      <c r="C32" s="214" t="str">
        <f t="shared" si="0"/>
        <v>TCARELC101P</v>
      </c>
      <c r="D32" s="218"/>
      <c r="E32" s="214" t="str">
        <f t="shared" si="1"/>
        <v>TCL-P</v>
      </c>
      <c r="F32" s="252">
        <f t="shared" si="11"/>
        <v>1.2987</v>
      </c>
      <c r="G32" s="252">
        <f t="shared" si="2"/>
        <v>1.2987</v>
      </c>
      <c r="H32" s="252">
        <f t="shared" si="3"/>
        <v>1.3698600000000001</v>
      </c>
      <c r="I32" s="252">
        <f t="shared" si="4"/>
        <v>1.4285699999999999</v>
      </c>
      <c r="J32" s="252">
        <f t="shared" si="5"/>
        <v>1.51515</v>
      </c>
      <c r="M32" s="216" t="s">
        <v>562</v>
      </c>
      <c r="N32" s="216"/>
      <c r="O32" s="216" t="s">
        <v>442</v>
      </c>
      <c r="P32" s="106">
        <v>77</v>
      </c>
      <c r="Q32" s="106">
        <v>77</v>
      </c>
      <c r="R32" s="106">
        <v>73</v>
      </c>
      <c r="S32" s="106">
        <v>70</v>
      </c>
      <c r="T32" s="106">
        <v>66</v>
      </c>
      <c r="W32" s="117" t="s">
        <v>490</v>
      </c>
    </row>
    <row r="33" spans="2:23" x14ac:dyDescent="0.3">
      <c r="B33" s="214" t="s">
        <v>541</v>
      </c>
      <c r="C33" s="214" t="str">
        <f t="shared" si="0"/>
        <v>TCARELC901</v>
      </c>
      <c r="D33" s="218"/>
      <c r="E33" s="214" t="str">
        <f t="shared" si="1"/>
        <v>TCL-C</v>
      </c>
      <c r="F33" s="252">
        <f t="shared" si="11"/>
        <v>1.2987</v>
      </c>
      <c r="G33" s="252">
        <f t="shared" si="2"/>
        <v>1.2987</v>
      </c>
      <c r="H33" s="252">
        <f t="shared" si="3"/>
        <v>1.3698600000000001</v>
      </c>
      <c r="I33" s="252">
        <f t="shared" si="4"/>
        <v>1.4285699999999999</v>
      </c>
      <c r="J33" s="252">
        <f t="shared" si="5"/>
        <v>1.51515</v>
      </c>
      <c r="M33" s="216" t="s">
        <v>216</v>
      </c>
      <c r="N33" s="216"/>
      <c r="O33" s="216" t="s">
        <v>290</v>
      </c>
      <c r="P33" s="106">
        <v>77</v>
      </c>
      <c r="Q33" s="106">
        <v>77</v>
      </c>
      <c r="R33" s="106">
        <v>73</v>
      </c>
      <c r="S33" s="106">
        <v>70</v>
      </c>
      <c r="T33" s="106">
        <v>66</v>
      </c>
      <c r="W33" s="117" t="s">
        <v>490</v>
      </c>
    </row>
    <row r="34" spans="2:23" x14ac:dyDescent="0.3">
      <c r="B34" s="214" t="s">
        <v>541</v>
      </c>
      <c r="C34" s="214" t="str">
        <f t="shared" si="0"/>
        <v>TCARETH101</v>
      </c>
      <c r="D34" s="218"/>
      <c r="E34" s="214" t="str">
        <f t="shared" si="1"/>
        <v>TCL</v>
      </c>
      <c r="F34" s="252">
        <f t="shared" si="11"/>
        <v>0.51812999999999998</v>
      </c>
      <c r="G34" s="252">
        <f t="shared" si="2"/>
        <v>0.55249000000000004</v>
      </c>
      <c r="H34" s="252">
        <f t="shared" si="3"/>
        <v>0.58140000000000003</v>
      </c>
      <c r="I34" s="252">
        <f t="shared" si="4"/>
        <v>0.61350000000000005</v>
      </c>
      <c r="J34" s="252">
        <f t="shared" si="5"/>
        <v>0.64515999999999996</v>
      </c>
      <c r="M34" s="216" t="s">
        <v>50</v>
      </c>
      <c r="N34" s="216"/>
      <c r="O34" s="216" t="s">
        <v>45</v>
      </c>
      <c r="P34" s="106">
        <v>193</v>
      </c>
      <c r="Q34" s="106">
        <v>181</v>
      </c>
      <c r="R34" s="106">
        <v>172</v>
      </c>
      <c r="S34" s="106">
        <v>163</v>
      </c>
      <c r="T34" s="106">
        <v>155</v>
      </c>
      <c r="W34" s="117" t="s">
        <v>451</v>
      </c>
    </row>
    <row r="35" spans="2:23" x14ac:dyDescent="0.3">
      <c r="B35" s="214" t="s">
        <v>541</v>
      </c>
      <c r="C35" s="214" t="str">
        <f t="shared" si="0"/>
        <v>TCARETH101P</v>
      </c>
      <c r="D35" s="218"/>
      <c r="E35" s="214" t="str">
        <f t="shared" si="1"/>
        <v>TCL-P</v>
      </c>
      <c r="F35" s="252">
        <f t="shared" si="11"/>
        <v>0.51812999999999998</v>
      </c>
      <c r="G35" s="252">
        <f t="shared" si="2"/>
        <v>0.55249000000000004</v>
      </c>
      <c r="H35" s="252">
        <f t="shared" si="3"/>
        <v>0.58140000000000003</v>
      </c>
      <c r="I35" s="252">
        <f t="shared" si="4"/>
        <v>0.61350000000000005</v>
      </c>
      <c r="J35" s="252">
        <f t="shared" si="5"/>
        <v>0.64515999999999996</v>
      </c>
      <c r="M35" s="216" t="s">
        <v>563</v>
      </c>
      <c r="N35" s="216"/>
      <c r="O35" s="216" t="s">
        <v>442</v>
      </c>
      <c r="P35" s="106">
        <v>193</v>
      </c>
      <c r="Q35" s="106">
        <v>181</v>
      </c>
      <c r="R35" s="106">
        <v>172</v>
      </c>
      <c r="S35" s="106">
        <v>163</v>
      </c>
      <c r="T35" s="106">
        <v>155</v>
      </c>
      <c r="W35" s="117" t="s">
        <v>416</v>
      </c>
    </row>
    <row r="36" spans="2:23" x14ac:dyDescent="0.3">
      <c r="B36" s="214" t="s">
        <v>541</v>
      </c>
      <c r="C36" s="214" t="str">
        <f t="shared" si="0"/>
        <v>TCARETH901</v>
      </c>
      <c r="D36" s="214"/>
      <c r="E36" s="214" t="str">
        <f t="shared" si="1"/>
        <v>TCL-C</v>
      </c>
      <c r="F36" s="252">
        <f t="shared" si="11"/>
        <v>0.51812999999999998</v>
      </c>
      <c r="G36" s="252">
        <f t="shared" si="2"/>
        <v>0.55249000000000004</v>
      </c>
      <c r="H36" s="252">
        <f t="shared" si="3"/>
        <v>0.58140000000000003</v>
      </c>
      <c r="I36" s="252">
        <f t="shared" si="4"/>
        <v>0.61350000000000005</v>
      </c>
      <c r="J36" s="252">
        <f t="shared" si="5"/>
        <v>0.64515999999999996</v>
      </c>
      <c r="M36" s="216" t="s">
        <v>218</v>
      </c>
      <c r="N36" s="216"/>
      <c r="O36" s="216" t="s">
        <v>290</v>
      </c>
      <c r="P36" s="106">
        <v>193</v>
      </c>
      <c r="Q36" s="106">
        <v>181</v>
      </c>
      <c r="R36" s="106">
        <v>172</v>
      </c>
      <c r="S36" s="106">
        <v>163</v>
      </c>
      <c r="T36" s="106">
        <v>155</v>
      </c>
      <c r="W36" s="117" t="s">
        <v>416</v>
      </c>
    </row>
    <row r="37" spans="2:23" x14ac:dyDescent="0.3">
      <c r="B37" s="214" t="s">
        <v>541</v>
      </c>
      <c r="C37" s="214" t="str">
        <f t="shared" si="0"/>
        <v>TCARGAS101</v>
      </c>
      <c r="D37" s="214"/>
      <c r="E37" s="214" t="str">
        <f t="shared" si="1"/>
        <v>TCL</v>
      </c>
      <c r="F37" s="252">
        <f t="shared" si="11"/>
        <v>0.51812999999999998</v>
      </c>
      <c r="G37" s="252">
        <f t="shared" si="2"/>
        <v>0.55249000000000004</v>
      </c>
      <c r="H37" s="252">
        <f t="shared" si="3"/>
        <v>0.58140000000000003</v>
      </c>
      <c r="I37" s="252">
        <f t="shared" si="4"/>
        <v>0.61350000000000005</v>
      </c>
      <c r="J37" s="252">
        <f t="shared" si="5"/>
        <v>0.64515999999999996</v>
      </c>
      <c r="M37" s="216" t="s">
        <v>52</v>
      </c>
      <c r="N37" s="216"/>
      <c r="O37" s="216" t="s">
        <v>45</v>
      </c>
      <c r="P37" s="106">
        <v>193</v>
      </c>
      <c r="Q37" s="106">
        <v>181</v>
      </c>
      <c r="R37" s="106">
        <v>172</v>
      </c>
      <c r="S37" s="106">
        <v>163</v>
      </c>
      <c r="T37" s="106">
        <v>155</v>
      </c>
      <c r="W37" s="117" t="s">
        <v>295</v>
      </c>
    </row>
    <row r="38" spans="2:23" x14ac:dyDescent="0.3">
      <c r="B38" s="214" t="s">
        <v>541</v>
      </c>
      <c r="C38" s="214" t="str">
        <f t="shared" si="0"/>
        <v>TCARGAS101P</v>
      </c>
      <c r="D38" s="214"/>
      <c r="E38" s="214" t="str">
        <f t="shared" si="1"/>
        <v>TCL-P</v>
      </c>
      <c r="F38" s="252">
        <f t="shared" si="11"/>
        <v>0.51812999999999998</v>
      </c>
      <c r="G38" s="252">
        <f t="shared" si="2"/>
        <v>0.55249000000000004</v>
      </c>
      <c r="H38" s="252">
        <f t="shared" si="3"/>
        <v>0.58140000000000003</v>
      </c>
      <c r="I38" s="252">
        <f t="shared" si="4"/>
        <v>0.61350000000000005</v>
      </c>
      <c r="J38" s="252">
        <f t="shared" si="5"/>
        <v>0.64515999999999996</v>
      </c>
      <c r="M38" s="216" t="s">
        <v>564</v>
      </c>
      <c r="N38" s="216"/>
      <c r="O38" s="216" t="s">
        <v>442</v>
      </c>
      <c r="P38" s="106">
        <v>193</v>
      </c>
      <c r="Q38" s="106">
        <v>181</v>
      </c>
      <c r="R38" s="106">
        <v>172</v>
      </c>
      <c r="S38" s="106">
        <v>163</v>
      </c>
      <c r="T38" s="106">
        <v>155</v>
      </c>
      <c r="W38" s="117" t="s">
        <v>450</v>
      </c>
    </row>
    <row r="39" spans="2:23" x14ac:dyDescent="0.3">
      <c r="B39" s="214" t="s">
        <v>541</v>
      </c>
      <c r="C39" s="214" t="str">
        <f t="shared" si="0"/>
        <v>TCARGAS901</v>
      </c>
      <c r="D39" s="214"/>
      <c r="E39" s="214" t="str">
        <f t="shared" si="1"/>
        <v>TCL-C</v>
      </c>
      <c r="F39" s="252">
        <f t="shared" si="11"/>
        <v>0.51812999999999998</v>
      </c>
      <c r="G39" s="252">
        <f t="shared" si="2"/>
        <v>0.55249000000000004</v>
      </c>
      <c r="H39" s="252">
        <f t="shared" si="3"/>
        <v>0.58140000000000003</v>
      </c>
      <c r="I39" s="252">
        <f t="shared" si="4"/>
        <v>0.61350000000000005</v>
      </c>
      <c r="J39" s="252">
        <f t="shared" si="5"/>
        <v>0.64515999999999996</v>
      </c>
      <c r="M39" s="216" t="s">
        <v>220</v>
      </c>
      <c r="N39" s="216"/>
      <c r="O39" s="216" t="s">
        <v>290</v>
      </c>
      <c r="P39" s="106">
        <v>193</v>
      </c>
      <c r="Q39" s="106">
        <v>181</v>
      </c>
      <c r="R39" s="106">
        <v>172</v>
      </c>
      <c r="S39" s="106">
        <v>163</v>
      </c>
      <c r="T39" s="106">
        <v>155</v>
      </c>
      <c r="W39" s="117" t="s">
        <v>450</v>
      </c>
    </row>
    <row r="40" spans="2:23" x14ac:dyDescent="0.3">
      <c r="B40" s="214" t="s">
        <v>541</v>
      </c>
      <c r="C40" s="214" t="str">
        <f t="shared" si="0"/>
        <v>TCARGSL101</v>
      </c>
      <c r="D40" s="214"/>
      <c r="E40" s="214" t="str">
        <f t="shared" ref="E40:E71" si="12">O40</f>
        <v>TCL</v>
      </c>
      <c r="F40" s="252">
        <f t="shared" si="11"/>
        <v>0.51812999999999998</v>
      </c>
      <c r="G40" s="252">
        <f t="shared" si="2"/>
        <v>0.55249000000000004</v>
      </c>
      <c r="H40" s="252">
        <f t="shared" si="3"/>
        <v>0.58140000000000003</v>
      </c>
      <c r="I40" s="252">
        <f t="shared" si="4"/>
        <v>0.61350000000000005</v>
      </c>
      <c r="J40" s="252">
        <f t="shared" si="5"/>
        <v>0.64515999999999996</v>
      </c>
      <c r="M40" s="216" t="s">
        <v>55</v>
      </c>
      <c r="N40" s="216"/>
      <c r="O40" s="216" t="s">
        <v>45</v>
      </c>
      <c r="P40" s="106">
        <v>193</v>
      </c>
      <c r="Q40" s="106">
        <v>181</v>
      </c>
      <c r="R40" s="106">
        <v>172</v>
      </c>
      <c r="S40" s="106">
        <v>163</v>
      </c>
      <c r="T40" s="106">
        <v>155</v>
      </c>
      <c r="W40" s="117" t="s">
        <v>295</v>
      </c>
    </row>
    <row r="41" spans="2:23" x14ac:dyDescent="0.3">
      <c r="B41" s="214" t="s">
        <v>541</v>
      </c>
      <c r="C41" s="214" t="str">
        <f t="shared" si="0"/>
        <v>TCARGSL101P</v>
      </c>
      <c r="D41" s="214"/>
      <c r="E41" s="214" t="str">
        <f t="shared" si="12"/>
        <v>TCL-P</v>
      </c>
      <c r="F41" s="252">
        <f t="shared" si="11"/>
        <v>0.51812999999999998</v>
      </c>
      <c r="G41" s="252">
        <f t="shared" si="2"/>
        <v>0.55249000000000004</v>
      </c>
      <c r="H41" s="252">
        <f t="shared" si="3"/>
        <v>0.58140000000000003</v>
      </c>
      <c r="I41" s="252">
        <f t="shared" si="4"/>
        <v>0.61350000000000005</v>
      </c>
      <c r="J41" s="252">
        <f t="shared" si="5"/>
        <v>0.64515999999999996</v>
      </c>
      <c r="M41" s="216" t="s">
        <v>565</v>
      </c>
      <c r="N41" s="216"/>
      <c r="O41" s="216" t="s">
        <v>442</v>
      </c>
      <c r="P41" s="107">
        <v>193</v>
      </c>
      <c r="Q41" s="107">
        <v>181</v>
      </c>
      <c r="R41" s="107">
        <v>172</v>
      </c>
      <c r="S41" s="107">
        <v>163</v>
      </c>
      <c r="T41" s="107">
        <v>155</v>
      </c>
      <c r="W41" s="117"/>
    </row>
    <row r="42" spans="2:23" x14ac:dyDescent="0.3">
      <c r="B42" s="214" t="s">
        <v>541</v>
      </c>
      <c r="C42" s="214" t="str">
        <f t="shared" ref="C42:C73" si="13">M42</f>
        <v>TCARGSL901</v>
      </c>
      <c r="D42" s="214"/>
      <c r="E42" s="214" t="str">
        <f t="shared" si="12"/>
        <v>TCL-C</v>
      </c>
      <c r="F42" s="252">
        <f t="shared" si="11"/>
        <v>0.51812999999999998</v>
      </c>
      <c r="G42" s="252">
        <f t="shared" si="2"/>
        <v>0.55249000000000004</v>
      </c>
      <c r="H42" s="252">
        <f t="shared" si="3"/>
        <v>0.58140000000000003</v>
      </c>
      <c r="I42" s="252">
        <f t="shared" si="4"/>
        <v>0.61350000000000005</v>
      </c>
      <c r="J42" s="252">
        <f t="shared" si="5"/>
        <v>0.64515999999999996</v>
      </c>
      <c r="M42" s="216" t="s">
        <v>222</v>
      </c>
      <c r="N42" s="216"/>
      <c r="O42" s="216" t="s">
        <v>290</v>
      </c>
      <c r="P42" s="106">
        <v>193</v>
      </c>
      <c r="Q42" s="106">
        <v>181</v>
      </c>
      <c r="R42" s="106">
        <v>172</v>
      </c>
      <c r="S42" s="106">
        <v>163</v>
      </c>
      <c r="T42" s="106">
        <v>155</v>
      </c>
      <c r="W42" s="117" t="s">
        <v>295</v>
      </c>
    </row>
    <row r="43" spans="2:23" x14ac:dyDescent="0.3">
      <c r="B43" s="214" t="s">
        <v>541</v>
      </c>
      <c r="C43" s="214" t="str">
        <f t="shared" si="13"/>
        <v>TCARHFC101</v>
      </c>
      <c r="D43" s="214"/>
      <c r="E43" s="214" t="str">
        <f t="shared" si="12"/>
        <v>TCL</v>
      </c>
      <c r="F43" s="252">
        <f t="shared" si="11"/>
        <v>0.98038999999999998</v>
      </c>
      <c r="G43" s="252">
        <f t="shared" si="2"/>
        <v>0.98038999999999998</v>
      </c>
      <c r="H43" s="252">
        <f t="shared" si="3"/>
        <v>1.0869599999999999</v>
      </c>
      <c r="I43" s="252">
        <f t="shared" si="4"/>
        <v>1.20482</v>
      </c>
      <c r="J43" s="252">
        <f t="shared" si="5"/>
        <v>1.2658199999999999</v>
      </c>
      <c r="M43" s="216" t="s">
        <v>56</v>
      </c>
      <c r="N43" s="216"/>
      <c r="O43" s="216" t="s">
        <v>45</v>
      </c>
      <c r="P43" s="107">
        <v>102</v>
      </c>
      <c r="Q43" s="107">
        <v>102</v>
      </c>
      <c r="R43" s="107">
        <v>92</v>
      </c>
      <c r="S43" s="107">
        <v>83</v>
      </c>
      <c r="T43" s="107">
        <v>79</v>
      </c>
      <c r="W43" s="117" t="s">
        <v>295</v>
      </c>
    </row>
    <row r="44" spans="2:23" x14ac:dyDescent="0.3">
      <c r="B44" s="214" t="s">
        <v>541</v>
      </c>
      <c r="C44" s="214" t="str">
        <f t="shared" si="13"/>
        <v>TCARHFC101P</v>
      </c>
      <c r="D44" s="214"/>
      <c r="E44" s="214" t="str">
        <f t="shared" si="12"/>
        <v>TCL-P</v>
      </c>
      <c r="F44" s="252">
        <f t="shared" si="11"/>
        <v>0.98038999999999998</v>
      </c>
      <c r="G44" s="252">
        <f t="shared" si="2"/>
        <v>0.98038999999999998</v>
      </c>
      <c r="H44" s="252">
        <f t="shared" si="3"/>
        <v>1.0869599999999999</v>
      </c>
      <c r="I44" s="252">
        <f t="shared" si="4"/>
        <v>1.20482</v>
      </c>
      <c r="J44" s="252">
        <f t="shared" si="5"/>
        <v>1.2658199999999999</v>
      </c>
      <c r="M44" s="216" t="s">
        <v>566</v>
      </c>
      <c r="N44" s="216"/>
      <c r="O44" s="216" t="s">
        <v>442</v>
      </c>
      <c r="P44" s="107">
        <v>102</v>
      </c>
      <c r="Q44" s="107">
        <v>102</v>
      </c>
      <c r="R44" s="107">
        <v>92</v>
      </c>
      <c r="S44" s="107">
        <v>83</v>
      </c>
      <c r="T44" s="107">
        <v>79</v>
      </c>
      <c r="W44" s="117"/>
    </row>
    <row r="45" spans="2:23" x14ac:dyDescent="0.3">
      <c r="B45" s="214" t="s">
        <v>541</v>
      </c>
      <c r="C45" s="214" t="str">
        <f t="shared" si="13"/>
        <v>TCARHFC901</v>
      </c>
      <c r="D45" s="218"/>
      <c r="E45" s="214" t="str">
        <f t="shared" si="12"/>
        <v>TCL-C</v>
      </c>
      <c r="F45" s="252">
        <f t="shared" si="11"/>
        <v>0.98038999999999998</v>
      </c>
      <c r="G45" s="252">
        <f t="shared" si="2"/>
        <v>0.98038999999999998</v>
      </c>
      <c r="H45" s="252">
        <f t="shared" si="3"/>
        <v>1.0869599999999999</v>
      </c>
      <c r="I45" s="252">
        <f t="shared" si="4"/>
        <v>1.20482</v>
      </c>
      <c r="J45" s="252">
        <f t="shared" si="5"/>
        <v>1.2658199999999999</v>
      </c>
      <c r="M45" s="216" t="s">
        <v>224</v>
      </c>
      <c r="N45" s="222"/>
      <c r="O45" s="216" t="s">
        <v>290</v>
      </c>
      <c r="P45" s="107">
        <v>102</v>
      </c>
      <c r="Q45" s="107">
        <v>102</v>
      </c>
      <c r="R45" s="107">
        <v>92</v>
      </c>
      <c r="S45" s="107">
        <v>83</v>
      </c>
      <c r="T45" s="107">
        <v>79</v>
      </c>
      <c r="W45" s="117" t="s">
        <v>295</v>
      </c>
    </row>
    <row r="46" spans="2:23" x14ac:dyDescent="0.3">
      <c r="B46" s="214" t="s">
        <v>541</v>
      </c>
      <c r="C46" s="214" t="str">
        <f t="shared" si="13"/>
        <v>TCARHYD101</v>
      </c>
      <c r="D46" s="218"/>
      <c r="E46" s="214" t="str">
        <f t="shared" si="12"/>
        <v>TCL</v>
      </c>
      <c r="F46" s="252">
        <f t="shared" si="11"/>
        <v>0.70921999999999996</v>
      </c>
      <c r="G46" s="252">
        <f t="shared" si="2"/>
        <v>0.74626999999999999</v>
      </c>
      <c r="H46" s="252">
        <f t="shared" si="3"/>
        <v>0.82645000000000002</v>
      </c>
      <c r="I46" s="252">
        <f t="shared" si="4"/>
        <v>0.91742999999999997</v>
      </c>
      <c r="J46" s="252">
        <f t="shared" si="5"/>
        <v>1.02041</v>
      </c>
      <c r="M46" s="216" t="s">
        <v>58</v>
      </c>
      <c r="N46" s="216"/>
      <c r="O46" s="216" t="s">
        <v>45</v>
      </c>
      <c r="P46" s="107">
        <v>141</v>
      </c>
      <c r="Q46" s="107">
        <v>134</v>
      </c>
      <c r="R46" s="107">
        <v>121</v>
      </c>
      <c r="S46" s="107">
        <v>109</v>
      </c>
      <c r="T46" s="107">
        <v>98</v>
      </c>
      <c r="W46" s="117" t="s">
        <v>295</v>
      </c>
    </row>
    <row r="47" spans="2:23" x14ac:dyDescent="0.3">
      <c r="B47" s="214" t="s">
        <v>541</v>
      </c>
      <c r="C47" s="214" t="str">
        <f t="shared" si="13"/>
        <v>TCARHYD101P</v>
      </c>
      <c r="D47" s="218"/>
      <c r="E47" s="214" t="str">
        <f t="shared" si="12"/>
        <v>TCL-P</v>
      </c>
      <c r="F47" s="252">
        <f t="shared" si="11"/>
        <v>0.70921999999999996</v>
      </c>
      <c r="G47" s="252">
        <f t="shared" si="2"/>
        <v>0.74626999999999999</v>
      </c>
      <c r="H47" s="252">
        <f t="shared" si="3"/>
        <v>0.82645000000000002</v>
      </c>
      <c r="I47" s="252">
        <f t="shared" si="4"/>
        <v>0.91742999999999997</v>
      </c>
      <c r="J47" s="252">
        <f t="shared" si="5"/>
        <v>1.02041</v>
      </c>
      <c r="M47" s="216" t="s">
        <v>567</v>
      </c>
      <c r="N47" s="216"/>
      <c r="O47" s="216" t="s">
        <v>442</v>
      </c>
      <c r="P47" s="107">
        <v>141</v>
      </c>
      <c r="Q47" s="107">
        <v>134</v>
      </c>
      <c r="R47" s="107">
        <v>121</v>
      </c>
      <c r="S47" s="107">
        <v>109</v>
      </c>
      <c r="T47" s="107">
        <v>98</v>
      </c>
      <c r="W47" s="117"/>
    </row>
    <row r="48" spans="2:23" x14ac:dyDescent="0.3">
      <c r="B48" s="214" t="s">
        <v>541</v>
      </c>
      <c r="C48" s="214" t="str">
        <f t="shared" si="13"/>
        <v>TCARHYD901</v>
      </c>
      <c r="D48" s="218"/>
      <c r="E48" s="214" t="str">
        <f t="shared" si="12"/>
        <v>TCL-C</v>
      </c>
      <c r="F48" s="252">
        <f t="shared" si="11"/>
        <v>0.70921999999999996</v>
      </c>
      <c r="G48" s="252">
        <f t="shared" si="2"/>
        <v>0.74626999999999999</v>
      </c>
      <c r="H48" s="252">
        <f t="shared" si="3"/>
        <v>0.82645000000000002</v>
      </c>
      <c r="I48" s="252">
        <f t="shared" si="4"/>
        <v>0.91742999999999997</v>
      </c>
      <c r="J48" s="252">
        <f t="shared" si="5"/>
        <v>1.02041</v>
      </c>
      <c r="M48" s="216" t="s">
        <v>226</v>
      </c>
      <c r="N48" s="216"/>
      <c r="O48" s="216" t="s">
        <v>290</v>
      </c>
      <c r="P48" s="107">
        <v>141</v>
      </c>
      <c r="Q48" s="107">
        <v>134</v>
      </c>
      <c r="R48" s="107">
        <v>121</v>
      </c>
      <c r="S48" s="107">
        <v>109</v>
      </c>
      <c r="T48" s="107">
        <v>98</v>
      </c>
      <c r="W48" s="117" t="s">
        <v>295</v>
      </c>
    </row>
    <row r="49" spans="2:23" x14ac:dyDescent="0.3">
      <c r="B49" s="214" t="s">
        <v>541</v>
      </c>
      <c r="C49" s="214" t="str">
        <f t="shared" si="13"/>
        <v>TCARHYG101</v>
      </c>
      <c r="D49" s="218"/>
      <c r="E49" s="214" t="str">
        <f t="shared" si="12"/>
        <v>TCL</v>
      </c>
      <c r="F49" s="252">
        <f t="shared" si="11"/>
        <v>0.63693999999999995</v>
      </c>
      <c r="G49" s="252">
        <f t="shared" si="2"/>
        <v>0.67113999999999996</v>
      </c>
      <c r="H49" s="252">
        <f t="shared" si="3"/>
        <v>0.74626999999999999</v>
      </c>
      <c r="I49" s="252">
        <f t="shared" si="4"/>
        <v>0.82645000000000002</v>
      </c>
      <c r="J49" s="252">
        <f t="shared" si="5"/>
        <v>0.91742999999999997</v>
      </c>
      <c r="M49" s="216" t="s">
        <v>59</v>
      </c>
      <c r="N49" s="216"/>
      <c r="O49" s="216" t="s">
        <v>45</v>
      </c>
      <c r="P49" s="107">
        <v>157</v>
      </c>
      <c r="Q49" s="107">
        <v>149</v>
      </c>
      <c r="R49" s="107">
        <v>134</v>
      </c>
      <c r="S49" s="107">
        <v>121</v>
      </c>
      <c r="T49" s="107">
        <v>109</v>
      </c>
      <c r="W49" s="117" t="s">
        <v>295</v>
      </c>
    </row>
    <row r="50" spans="2:23" x14ac:dyDescent="0.3">
      <c r="B50" s="214" t="s">
        <v>541</v>
      </c>
      <c r="C50" s="214" t="str">
        <f t="shared" si="13"/>
        <v>TCARHYG101P</v>
      </c>
      <c r="D50" s="218"/>
      <c r="E50" s="214" t="str">
        <f t="shared" si="12"/>
        <v>TCL-P</v>
      </c>
      <c r="F50" s="252">
        <f t="shared" si="11"/>
        <v>0.63693999999999995</v>
      </c>
      <c r="G50" s="252">
        <f t="shared" si="2"/>
        <v>0.67113999999999996</v>
      </c>
      <c r="H50" s="252">
        <f t="shared" si="3"/>
        <v>0.74626999999999999</v>
      </c>
      <c r="I50" s="252">
        <f t="shared" si="4"/>
        <v>0.82645000000000002</v>
      </c>
      <c r="J50" s="252">
        <f t="shared" si="5"/>
        <v>0.91742999999999997</v>
      </c>
      <c r="M50" s="216" t="s">
        <v>568</v>
      </c>
      <c r="N50" s="216"/>
      <c r="O50" s="216" t="s">
        <v>442</v>
      </c>
      <c r="P50" s="107">
        <v>157</v>
      </c>
      <c r="Q50" s="107">
        <v>149</v>
      </c>
      <c r="R50" s="107">
        <v>134</v>
      </c>
      <c r="S50" s="107">
        <v>121</v>
      </c>
      <c r="T50" s="107">
        <v>109</v>
      </c>
      <c r="W50" s="117"/>
    </row>
    <row r="51" spans="2:23" x14ac:dyDescent="0.3">
      <c r="B51" s="214" t="s">
        <v>541</v>
      </c>
      <c r="C51" s="214" t="str">
        <f t="shared" si="13"/>
        <v>TCARHYG901</v>
      </c>
      <c r="D51" s="218"/>
      <c r="E51" s="214" t="str">
        <f t="shared" si="12"/>
        <v>TCL-C</v>
      </c>
      <c r="F51" s="252">
        <f t="shared" si="11"/>
        <v>0.63693999999999995</v>
      </c>
      <c r="G51" s="252">
        <f t="shared" si="2"/>
        <v>0.67113999999999996</v>
      </c>
      <c r="H51" s="252">
        <f t="shared" si="3"/>
        <v>0.74626999999999999</v>
      </c>
      <c r="I51" s="252">
        <f t="shared" si="4"/>
        <v>0.82645000000000002</v>
      </c>
      <c r="J51" s="252">
        <f t="shared" si="5"/>
        <v>0.91742999999999997</v>
      </c>
      <c r="M51" s="216" t="s">
        <v>228</v>
      </c>
      <c r="N51" s="216"/>
      <c r="O51" s="216" t="s">
        <v>290</v>
      </c>
      <c r="P51" s="107">
        <v>157</v>
      </c>
      <c r="Q51" s="107">
        <v>149</v>
      </c>
      <c r="R51" s="107">
        <v>134</v>
      </c>
      <c r="S51" s="107">
        <v>121</v>
      </c>
      <c r="T51" s="107">
        <v>109</v>
      </c>
      <c r="W51" s="117" t="s">
        <v>295</v>
      </c>
    </row>
    <row r="52" spans="2:23" x14ac:dyDescent="0.3">
      <c r="B52" s="214" t="s">
        <v>541</v>
      </c>
      <c r="C52" s="214" t="str">
        <f t="shared" si="13"/>
        <v>TCARLPG101</v>
      </c>
      <c r="D52" s="214"/>
      <c r="E52" s="214" t="str">
        <f t="shared" si="12"/>
        <v>TCL</v>
      </c>
      <c r="F52" s="252">
        <f t="shared" si="11"/>
        <v>0.51812999999999998</v>
      </c>
      <c r="G52" s="252">
        <f t="shared" si="2"/>
        <v>0.55249000000000004</v>
      </c>
      <c r="H52" s="252">
        <f t="shared" si="3"/>
        <v>0.58140000000000003</v>
      </c>
      <c r="I52" s="252">
        <f t="shared" si="4"/>
        <v>0.61350000000000005</v>
      </c>
      <c r="J52" s="252">
        <f t="shared" si="5"/>
        <v>0.64515999999999996</v>
      </c>
      <c r="M52" s="216" t="s">
        <v>60</v>
      </c>
      <c r="N52" s="216"/>
      <c r="O52" s="216" t="s">
        <v>45</v>
      </c>
      <c r="P52" s="106">
        <v>193</v>
      </c>
      <c r="Q52" s="106">
        <v>181</v>
      </c>
      <c r="R52" s="106">
        <v>172</v>
      </c>
      <c r="S52" s="106">
        <v>163</v>
      </c>
      <c r="T52" s="106">
        <v>155</v>
      </c>
      <c r="W52" s="117" t="s">
        <v>295</v>
      </c>
    </row>
    <row r="53" spans="2:23" x14ac:dyDescent="0.3">
      <c r="B53" s="214" t="s">
        <v>541</v>
      </c>
      <c r="C53" s="214" t="str">
        <f t="shared" si="13"/>
        <v>TCARLPG101P</v>
      </c>
      <c r="D53" s="214"/>
      <c r="E53" s="214" t="str">
        <f t="shared" si="12"/>
        <v>TCL-P</v>
      </c>
      <c r="F53" s="252">
        <f t="shared" si="11"/>
        <v>0.51812999999999998</v>
      </c>
      <c r="G53" s="252">
        <f t="shared" si="2"/>
        <v>0.55249000000000004</v>
      </c>
      <c r="H53" s="252">
        <f t="shared" si="3"/>
        <v>0.58140000000000003</v>
      </c>
      <c r="I53" s="252">
        <f t="shared" si="4"/>
        <v>0.61350000000000005</v>
      </c>
      <c r="J53" s="252">
        <f t="shared" si="5"/>
        <v>0.64515999999999996</v>
      </c>
      <c r="M53" s="216" t="s">
        <v>569</v>
      </c>
      <c r="N53" s="216"/>
      <c r="O53" s="216" t="s">
        <v>442</v>
      </c>
      <c r="P53" s="106">
        <v>193</v>
      </c>
      <c r="Q53" s="106">
        <v>181</v>
      </c>
      <c r="R53" s="106">
        <v>172</v>
      </c>
      <c r="S53" s="106">
        <v>163</v>
      </c>
      <c r="T53" s="106">
        <v>155</v>
      </c>
      <c r="W53" s="117"/>
    </row>
    <row r="54" spans="2:23" x14ac:dyDescent="0.3">
      <c r="B54" s="214" t="s">
        <v>541</v>
      </c>
      <c r="C54" s="214" t="str">
        <f t="shared" si="13"/>
        <v>TCARLPG901</v>
      </c>
      <c r="D54" s="214"/>
      <c r="E54" s="214" t="str">
        <f t="shared" si="12"/>
        <v>TCL-C</v>
      </c>
      <c r="F54" s="252">
        <f t="shared" si="11"/>
        <v>0.51812999999999998</v>
      </c>
      <c r="G54" s="252">
        <f t="shared" si="2"/>
        <v>0.55249000000000004</v>
      </c>
      <c r="H54" s="252">
        <f t="shared" si="3"/>
        <v>0.58140000000000003</v>
      </c>
      <c r="I54" s="252">
        <f t="shared" si="4"/>
        <v>0.61350000000000005</v>
      </c>
      <c r="J54" s="252">
        <f t="shared" si="5"/>
        <v>0.64515999999999996</v>
      </c>
      <c r="M54" s="216" t="s">
        <v>230</v>
      </c>
      <c r="N54" s="216"/>
      <c r="O54" s="216" t="s">
        <v>290</v>
      </c>
      <c r="P54" s="106">
        <v>193</v>
      </c>
      <c r="Q54" s="106">
        <v>181</v>
      </c>
      <c r="R54" s="106">
        <v>172</v>
      </c>
      <c r="S54" s="106">
        <v>163</v>
      </c>
      <c r="T54" s="106">
        <v>155</v>
      </c>
      <c r="W54" s="117" t="s">
        <v>295</v>
      </c>
    </row>
    <row r="55" spans="2:23" x14ac:dyDescent="0.3">
      <c r="B55" s="214" t="s">
        <v>541</v>
      </c>
      <c r="C55" s="214" t="str">
        <f t="shared" si="13"/>
        <v>TCARMTH101</v>
      </c>
      <c r="D55" s="214"/>
      <c r="E55" s="214" t="str">
        <f t="shared" si="12"/>
        <v>TCL</v>
      </c>
      <c r="F55" s="252">
        <f t="shared" si="11"/>
        <v>0.51812999999999998</v>
      </c>
      <c r="G55" s="252">
        <f t="shared" si="2"/>
        <v>0.55249000000000004</v>
      </c>
      <c r="H55" s="252">
        <f t="shared" si="3"/>
        <v>0.58140000000000003</v>
      </c>
      <c r="I55" s="252">
        <f t="shared" si="4"/>
        <v>0.61350000000000005</v>
      </c>
      <c r="J55" s="252">
        <f t="shared" si="5"/>
        <v>0.64515999999999996</v>
      </c>
      <c r="M55" s="216" t="s">
        <v>583</v>
      </c>
      <c r="N55" s="222"/>
      <c r="O55" s="216" t="s">
        <v>45</v>
      </c>
      <c r="P55" s="106">
        <v>193</v>
      </c>
      <c r="Q55" s="106">
        <v>181</v>
      </c>
      <c r="R55" s="106">
        <v>172</v>
      </c>
      <c r="S55" s="106">
        <v>163</v>
      </c>
      <c r="T55" s="106">
        <v>155</v>
      </c>
      <c r="W55" s="117" t="s">
        <v>295</v>
      </c>
    </row>
    <row r="56" spans="2:23" x14ac:dyDescent="0.3">
      <c r="B56" s="214" t="s">
        <v>541</v>
      </c>
      <c r="C56" s="214" t="str">
        <f t="shared" si="13"/>
        <v>TCARMTH101P</v>
      </c>
      <c r="D56" s="214"/>
      <c r="E56" s="214" t="str">
        <f t="shared" si="12"/>
        <v>TCL-P</v>
      </c>
      <c r="F56" s="252">
        <f t="shared" si="11"/>
        <v>0.51812999999999998</v>
      </c>
      <c r="G56" s="252">
        <f t="shared" si="2"/>
        <v>0.55249000000000004</v>
      </c>
      <c r="H56" s="252">
        <f t="shared" si="3"/>
        <v>0.58140000000000003</v>
      </c>
      <c r="I56" s="252">
        <f t="shared" si="4"/>
        <v>0.61350000000000005</v>
      </c>
      <c r="J56" s="252">
        <f t="shared" si="5"/>
        <v>0.64515999999999996</v>
      </c>
      <c r="M56" s="216" t="s">
        <v>586</v>
      </c>
      <c r="N56" s="222"/>
      <c r="O56" s="216" t="s">
        <v>442</v>
      </c>
      <c r="P56" s="106">
        <v>193</v>
      </c>
      <c r="Q56" s="106">
        <v>181</v>
      </c>
      <c r="R56" s="106">
        <v>172</v>
      </c>
      <c r="S56" s="106">
        <v>163</v>
      </c>
      <c r="T56" s="106">
        <v>155</v>
      </c>
      <c r="W56" s="117"/>
    </row>
    <row r="57" spans="2:23" x14ac:dyDescent="0.3">
      <c r="B57" s="214" t="s">
        <v>541</v>
      </c>
      <c r="C57" s="214" t="str">
        <f t="shared" si="13"/>
        <v>TCARMTH901</v>
      </c>
      <c r="D57" s="214"/>
      <c r="E57" s="214" t="str">
        <f t="shared" si="12"/>
        <v>TCL-C</v>
      </c>
      <c r="F57" s="252">
        <f t="shared" si="11"/>
        <v>0.51812999999999998</v>
      </c>
      <c r="G57" s="252">
        <f t="shared" si="2"/>
        <v>0.55249000000000004</v>
      </c>
      <c r="H57" s="252">
        <f t="shared" si="3"/>
        <v>0.58140000000000003</v>
      </c>
      <c r="I57" s="252">
        <f t="shared" si="4"/>
        <v>0.61350000000000005</v>
      </c>
      <c r="J57" s="252">
        <f t="shared" si="5"/>
        <v>0.64515999999999996</v>
      </c>
      <c r="M57" s="222" t="s">
        <v>584</v>
      </c>
      <c r="N57" s="222"/>
      <c r="O57" s="216" t="s">
        <v>290</v>
      </c>
      <c r="P57" s="106">
        <v>193</v>
      </c>
      <c r="Q57" s="106">
        <v>181</v>
      </c>
      <c r="R57" s="106">
        <v>172</v>
      </c>
      <c r="S57" s="106">
        <v>163</v>
      </c>
      <c r="T57" s="106">
        <v>155</v>
      </c>
      <c r="W57" s="117" t="s">
        <v>295</v>
      </c>
    </row>
    <row r="58" spans="2:23" x14ac:dyDescent="0.3">
      <c r="B58" s="214" t="s">
        <v>541</v>
      </c>
      <c r="C58" s="214" t="str">
        <f t="shared" si="13"/>
        <v>TCARPYD101</v>
      </c>
      <c r="D58" s="214"/>
      <c r="E58" s="214" t="str">
        <f t="shared" si="12"/>
        <v>TCL</v>
      </c>
      <c r="F58" s="252">
        <f t="shared" si="11"/>
        <v>0.85470000000000002</v>
      </c>
      <c r="G58" s="252">
        <f t="shared" si="2"/>
        <v>0.85470000000000002</v>
      </c>
      <c r="H58" s="252">
        <f t="shared" si="3"/>
        <v>0.94340000000000002</v>
      </c>
      <c r="I58" s="252">
        <f t="shared" si="4"/>
        <v>1.0416700000000001</v>
      </c>
      <c r="J58" s="252">
        <f t="shared" si="5"/>
        <v>1.16279</v>
      </c>
      <c r="M58" s="222" t="s">
        <v>63</v>
      </c>
      <c r="N58" s="222"/>
      <c r="O58" s="216" t="s">
        <v>45</v>
      </c>
      <c r="P58" s="106">
        <v>117</v>
      </c>
      <c r="Q58" s="106">
        <v>117</v>
      </c>
      <c r="R58" s="106">
        <v>106</v>
      </c>
      <c r="S58" s="106">
        <v>96</v>
      </c>
      <c r="T58" s="106">
        <v>86</v>
      </c>
      <c r="W58" s="117" t="s">
        <v>295</v>
      </c>
    </row>
    <row r="59" spans="2:23" x14ac:dyDescent="0.3">
      <c r="B59" s="214" t="s">
        <v>541</v>
      </c>
      <c r="C59" s="214" t="str">
        <f t="shared" si="13"/>
        <v>TCARPYD101P</v>
      </c>
      <c r="D59" s="214"/>
      <c r="E59" s="214" t="str">
        <f t="shared" si="12"/>
        <v>TCL-P</v>
      </c>
      <c r="F59" s="252">
        <f t="shared" si="11"/>
        <v>0.85470000000000002</v>
      </c>
      <c r="G59" s="252">
        <f t="shared" si="2"/>
        <v>0.85470000000000002</v>
      </c>
      <c r="H59" s="252">
        <f t="shared" si="3"/>
        <v>0.94340000000000002</v>
      </c>
      <c r="I59" s="252">
        <f t="shared" si="4"/>
        <v>1.0416700000000001</v>
      </c>
      <c r="J59" s="252">
        <f t="shared" si="5"/>
        <v>1.16279</v>
      </c>
      <c r="M59" s="222" t="s">
        <v>570</v>
      </c>
      <c r="N59" s="222"/>
      <c r="O59" s="216" t="s">
        <v>442</v>
      </c>
      <c r="P59" s="106">
        <v>117</v>
      </c>
      <c r="Q59" s="106">
        <v>117</v>
      </c>
      <c r="R59" s="106">
        <v>106</v>
      </c>
      <c r="S59" s="106">
        <v>96</v>
      </c>
      <c r="T59" s="106">
        <v>86</v>
      </c>
      <c r="W59" s="117"/>
    </row>
    <row r="60" spans="2:23" x14ac:dyDescent="0.3">
      <c r="B60" s="214" t="s">
        <v>541</v>
      </c>
      <c r="C60" s="214" t="str">
        <f t="shared" si="13"/>
        <v>TCARPYD901</v>
      </c>
      <c r="D60" s="214"/>
      <c r="E60" s="214" t="str">
        <f t="shared" si="12"/>
        <v>TCL-C</v>
      </c>
      <c r="F60" s="252">
        <f t="shared" si="11"/>
        <v>0.85470000000000002</v>
      </c>
      <c r="G60" s="252">
        <f t="shared" si="2"/>
        <v>0.85470000000000002</v>
      </c>
      <c r="H60" s="252">
        <f t="shared" si="3"/>
        <v>0.94340000000000002</v>
      </c>
      <c r="I60" s="252">
        <f t="shared" si="4"/>
        <v>1.0416700000000001</v>
      </c>
      <c r="J60" s="252">
        <f t="shared" si="5"/>
        <v>1.16279</v>
      </c>
      <c r="M60" s="222" t="s">
        <v>232</v>
      </c>
      <c r="N60" s="222"/>
      <c r="O60" s="216" t="s">
        <v>290</v>
      </c>
      <c r="P60" s="106">
        <v>117</v>
      </c>
      <c r="Q60" s="106">
        <v>117</v>
      </c>
      <c r="R60" s="106">
        <v>106</v>
      </c>
      <c r="S60" s="106">
        <v>96</v>
      </c>
      <c r="T60" s="106">
        <v>86</v>
      </c>
      <c r="W60" s="117" t="s">
        <v>295</v>
      </c>
    </row>
    <row r="61" spans="2:23" x14ac:dyDescent="0.3">
      <c r="B61" s="214" t="s">
        <v>541</v>
      </c>
      <c r="C61" s="214" t="str">
        <f t="shared" si="13"/>
        <v>TCARPYG101</v>
      </c>
      <c r="D61" s="214"/>
      <c r="E61" s="214" t="str">
        <f t="shared" si="12"/>
        <v>TCL</v>
      </c>
      <c r="F61" s="252">
        <f t="shared" si="11"/>
        <v>0.90908999999999995</v>
      </c>
      <c r="G61" s="252">
        <f t="shared" si="2"/>
        <v>0.90908999999999995</v>
      </c>
      <c r="H61" s="252">
        <f t="shared" si="3"/>
        <v>1.0101</v>
      </c>
      <c r="I61" s="252">
        <f t="shared" si="4"/>
        <v>1.11111</v>
      </c>
      <c r="J61" s="252">
        <f t="shared" si="5"/>
        <v>1.2345699999999999</v>
      </c>
      <c r="M61" s="222" t="s">
        <v>64</v>
      </c>
      <c r="N61" s="222"/>
      <c r="O61" s="216" t="s">
        <v>45</v>
      </c>
      <c r="P61" s="106">
        <v>110</v>
      </c>
      <c r="Q61" s="106">
        <v>110</v>
      </c>
      <c r="R61" s="106">
        <v>99</v>
      </c>
      <c r="S61" s="106">
        <v>90</v>
      </c>
      <c r="T61" s="106">
        <v>81</v>
      </c>
      <c r="W61" s="117" t="s">
        <v>295</v>
      </c>
    </row>
    <row r="62" spans="2:23" x14ac:dyDescent="0.3">
      <c r="B62" s="214" t="s">
        <v>541</v>
      </c>
      <c r="C62" s="214" t="str">
        <f t="shared" si="13"/>
        <v>TCARPYG101P</v>
      </c>
      <c r="D62" s="214"/>
      <c r="E62" s="214" t="str">
        <f t="shared" si="12"/>
        <v>TCL-P</v>
      </c>
      <c r="F62" s="252">
        <f t="shared" si="11"/>
        <v>0.90908999999999995</v>
      </c>
      <c r="G62" s="252">
        <f t="shared" si="2"/>
        <v>0.90908999999999995</v>
      </c>
      <c r="H62" s="252">
        <f t="shared" si="3"/>
        <v>1.0101</v>
      </c>
      <c r="I62" s="252">
        <f t="shared" si="4"/>
        <v>1.11111</v>
      </c>
      <c r="J62" s="252">
        <f t="shared" si="5"/>
        <v>1.2345699999999999</v>
      </c>
      <c r="M62" s="222" t="s">
        <v>571</v>
      </c>
      <c r="N62" s="222"/>
      <c r="O62" s="216" t="s">
        <v>442</v>
      </c>
      <c r="P62" s="106">
        <v>110</v>
      </c>
      <c r="Q62" s="106">
        <v>110</v>
      </c>
      <c r="R62" s="106">
        <v>99</v>
      </c>
      <c r="S62" s="106">
        <v>90</v>
      </c>
      <c r="T62" s="106">
        <v>81</v>
      </c>
      <c r="W62" s="117"/>
    </row>
    <row r="63" spans="2:23" x14ac:dyDescent="0.3">
      <c r="B63" s="217" t="s">
        <v>541</v>
      </c>
      <c r="C63" s="217" t="str">
        <f t="shared" si="13"/>
        <v>TCARPYG901</v>
      </c>
      <c r="D63" s="217"/>
      <c r="E63" s="217" t="str">
        <f t="shared" si="12"/>
        <v>TCL-C</v>
      </c>
      <c r="F63" s="254">
        <f t="shared" si="11"/>
        <v>0.90908999999999995</v>
      </c>
      <c r="G63" s="254">
        <f t="shared" si="2"/>
        <v>0.90908999999999995</v>
      </c>
      <c r="H63" s="254">
        <f t="shared" si="3"/>
        <v>1.0101</v>
      </c>
      <c r="I63" s="254">
        <f t="shared" si="4"/>
        <v>1.11111</v>
      </c>
      <c r="J63" s="254">
        <f t="shared" si="5"/>
        <v>1.2345699999999999</v>
      </c>
      <c r="M63" s="221" t="s">
        <v>234</v>
      </c>
      <c r="N63" s="223"/>
      <c r="O63" s="221" t="s">
        <v>290</v>
      </c>
      <c r="P63" s="111">
        <v>110</v>
      </c>
      <c r="Q63" s="111">
        <v>110</v>
      </c>
      <c r="R63" s="111">
        <v>99</v>
      </c>
      <c r="S63" s="111">
        <v>90</v>
      </c>
      <c r="T63" s="111">
        <v>81</v>
      </c>
      <c r="W63" s="145" t="s">
        <v>295</v>
      </c>
    </row>
    <row r="64" spans="2:23" x14ac:dyDescent="0.3">
      <c r="B64" s="214" t="s">
        <v>452</v>
      </c>
      <c r="C64" s="214" t="str">
        <f t="shared" si="13"/>
        <v>TFLEBDL101</v>
      </c>
      <c r="D64" s="214"/>
      <c r="E64" s="214" t="str">
        <f t="shared" si="12"/>
        <v>TFLL</v>
      </c>
      <c r="F64" s="252">
        <f t="shared" si="11"/>
        <v>0.57471000000000005</v>
      </c>
      <c r="G64" s="252">
        <f t="shared" si="2"/>
        <v>0.61350000000000005</v>
      </c>
      <c r="H64" s="252">
        <f t="shared" si="3"/>
        <v>0.64515999999999996</v>
      </c>
      <c r="I64" s="252">
        <f t="shared" si="4"/>
        <v>0.68027000000000004</v>
      </c>
      <c r="J64" s="252">
        <f t="shared" si="5"/>
        <v>0.71428999999999998</v>
      </c>
      <c r="M64" s="222" t="s">
        <v>132</v>
      </c>
      <c r="N64" s="222"/>
      <c r="O64" s="224" t="s">
        <v>333</v>
      </c>
      <c r="P64" s="106">
        <v>174</v>
      </c>
      <c r="Q64" s="106">
        <v>163</v>
      </c>
      <c r="R64" s="106">
        <v>155</v>
      </c>
      <c r="S64" s="106">
        <v>147</v>
      </c>
      <c r="T64" s="106">
        <v>140</v>
      </c>
      <c r="W64" s="117" t="s">
        <v>295</v>
      </c>
    </row>
    <row r="65" spans="2:23" x14ac:dyDescent="0.3">
      <c r="B65" s="214" t="s">
        <v>452</v>
      </c>
      <c r="C65" s="214" t="str">
        <f t="shared" si="13"/>
        <v>TFLEBDL901</v>
      </c>
      <c r="D65" s="214"/>
      <c r="E65" s="214" t="str">
        <f t="shared" si="12"/>
        <v>TFLL-C</v>
      </c>
      <c r="F65" s="252">
        <f t="shared" si="11"/>
        <v>0.57471000000000005</v>
      </c>
      <c r="G65" s="252">
        <f t="shared" si="2"/>
        <v>0.61350000000000005</v>
      </c>
      <c r="H65" s="252">
        <f t="shared" si="3"/>
        <v>0.64515999999999996</v>
      </c>
      <c r="I65" s="252">
        <f t="shared" si="4"/>
        <v>0.68027000000000004</v>
      </c>
      <c r="J65" s="252">
        <f t="shared" si="5"/>
        <v>0.71428999999999998</v>
      </c>
      <c r="M65" s="222" t="s">
        <v>236</v>
      </c>
      <c r="N65" s="222"/>
      <c r="O65" s="224" t="s">
        <v>477</v>
      </c>
      <c r="P65" s="106">
        <v>174</v>
      </c>
      <c r="Q65" s="106">
        <v>163</v>
      </c>
      <c r="R65" s="106">
        <v>155</v>
      </c>
      <c r="S65" s="106">
        <v>147</v>
      </c>
      <c r="T65" s="106">
        <v>140</v>
      </c>
      <c r="W65" s="117" t="s">
        <v>295</v>
      </c>
    </row>
    <row r="66" spans="2:23" x14ac:dyDescent="0.3">
      <c r="B66" s="214" t="s">
        <v>452</v>
      </c>
      <c r="C66" s="214" t="str">
        <f t="shared" si="13"/>
        <v>TFLEDME101</v>
      </c>
      <c r="D66" s="214"/>
      <c r="E66" s="214" t="str">
        <f t="shared" si="12"/>
        <v>TFLL</v>
      </c>
      <c r="F66" s="252">
        <f t="shared" si="11"/>
        <v>0.57471000000000005</v>
      </c>
      <c r="G66" s="252">
        <f t="shared" si="2"/>
        <v>0.61350000000000005</v>
      </c>
      <c r="H66" s="252">
        <f t="shared" si="3"/>
        <v>0.64515999999999996</v>
      </c>
      <c r="I66" s="252">
        <f t="shared" si="4"/>
        <v>0.68027000000000004</v>
      </c>
      <c r="J66" s="252">
        <f t="shared" si="5"/>
        <v>0.71428999999999998</v>
      </c>
      <c r="M66" s="222" t="s">
        <v>134</v>
      </c>
      <c r="N66" s="222"/>
      <c r="O66" s="224" t="s">
        <v>333</v>
      </c>
      <c r="P66" s="106">
        <v>174</v>
      </c>
      <c r="Q66" s="106">
        <v>163</v>
      </c>
      <c r="R66" s="106">
        <v>155</v>
      </c>
      <c r="S66" s="106">
        <v>147</v>
      </c>
      <c r="T66" s="106">
        <v>140</v>
      </c>
      <c r="W66" s="117" t="s">
        <v>415</v>
      </c>
    </row>
    <row r="67" spans="2:23" x14ac:dyDescent="0.3">
      <c r="B67" s="214" t="s">
        <v>452</v>
      </c>
      <c r="C67" s="214" t="str">
        <f t="shared" si="13"/>
        <v>TFLEDME901</v>
      </c>
      <c r="D67" s="214"/>
      <c r="E67" s="214" t="str">
        <f t="shared" si="12"/>
        <v>TFLL-C</v>
      </c>
      <c r="F67" s="252">
        <f t="shared" si="11"/>
        <v>0.57471000000000005</v>
      </c>
      <c r="G67" s="252">
        <f t="shared" si="2"/>
        <v>0.61350000000000005</v>
      </c>
      <c r="H67" s="252">
        <f t="shared" si="3"/>
        <v>0.64515999999999996</v>
      </c>
      <c r="I67" s="252">
        <f t="shared" si="4"/>
        <v>0.68027000000000004</v>
      </c>
      <c r="J67" s="252">
        <f t="shared" si="5"/>
        <v>0.71428999999999998</v>
      </c>
      <c r="M67" s="222" t="s">
        <v>238</v>
      </c>
      <c r="N67" s="222"/>
      <c r="O67" s="224" t="s">
        <v>477</v>
      </c>
      <c r="P67" s="106">
        <v>174</v>
      </c>
      <c r="Q67" s="106">
        <v>163</v>
      </c>
      <c r="R67" s="106">
        <v>155</v>
      </c>
      <c r="S67" s="106">
        <v>147</v>
      </c>
      <c r="T67" s="106">
        <v>140</v>
      </c>
      <c r="W67" s="117" t="s">
        <v>415</v>
      </c>
    </row>
    <row r="68" spans="2:23" x14ac:dyDescent="0.3">
      <c r="B68" s="214" t="s">
        <v>452</v>
      </c>
      <c r="C68" s="214" t="str">
        <f t="shared" si="13"/>
        <v>TFLEDST101</v>
      </c>
      <c r="D68" s="218"/>
      <c r="E68" s="214" t="str">
        <f t="shared" si="12"/>
        <v>TFLL</v>
      </c>
      <c r="F68" s="252">
        <f t="shared" si="11"/>
        <v>0.57471000000000005</v>
      </c>
      <c r="G68" s="252">
        <f t="shared" si="2"/>
        <v>0.61350000000000005</v>
      </c>
      <c r="H68" s="252">
        <f t="shared" si="3"/>
        <v>0.64515999999999996</v>
      </c>
      <c r="I68" s="252">
        <f t="shared" si="4"/>
        <v>0.68027000000000004</v>
      </c>
      <c r="J68" s="252">
        <f t="shared" si="5"/>
        <v>0.71428999999999998</v>
      </c>
      <c r="M68" s="216" t="s">
        <v>136</v>
      </c>
      <c r="N68" s="224"/>
      <c r="O68" s="224" t="s">
        <v>333</v>
      </c>
      <c r="P68" s="106">
        <v>174</v>
      </c>
      <c r="Q68" s="106">
        <v>163</v>
      </c>
      <c r="R68" s="106">
        <v>155</v>
      </c>
      <c r="S68" s="106">
        <v>147</v>
      </c>
      <c r="T68" s="106">
        <v>140</v>
      </c>
      <c r="W68" s="117" t="s">
        <v>295</v>
      </c>
    </row>
    <row r="69" spans="2:23" x14ac:dyDescent="0.3">
      <c r="B69" s="214" t="s">
        <v>452</v>
      </c>
      <c r="C69" s="214" t="str">
        <f t="shared" si="13"/>
        <v>TFLEDST901</v>
      </c>
      <c r="D69" s="219"/>
      <c r="E69" s="214" t="str">
        <f t="shared" si="12"/>
        <v>TFLL-C</v>
      </c>
      <c r="F69" s="252">
        <f t="shared" si="11"/>
        <v>0.57471000000000005</v>
      </c>
      <c r="G69" s="252">
        <f t="shared" si="2"/>
        <v>0.61350000000000005</v>
      </c>
      <c r="H69" s="252">
        <f t="shared" si="3"/>
        <v>0.64515999999999996</v>
      </c>
      <c r="I69" s="252">
        <f t="shared" si="4"/>
        <v>0.68027000000000004</v>
      </c>
      <c r="J69" s="252">
        <f t="shared" si="5"/>
        <v>0.71428999999999998</v>
      </c>
      <c r="M69" s="216" t="s">
        <v>240</v>
      </c>
      <c r="N69" s="224"/>
      <c r="O69" s="224" t="s">
        <v>477</v>
      </c>
      <c r="P69" s="106">
        <v>174</v>
      </c>
      <c r="Q69" s="106">
        <v>163</v>
      </c>
      <c r="R69" s="106">
        <v>155</v>
      </c>
      <c r="S69" s="106">
        <v>147</v>
      </c>
      <c r="T69" s="106">
        <v>140</v>
      </c>
      <c r="W69" s="117" t="s">
        <v>295</v>
      </c>
    </row>
    <row r="70" spans="2:23" x14ac:dyDescent="0.3">
      <c r="B70" s="214" t="s">
        <v>452</v>
      </c>
      <c r="C70" s="214" t="str">
        <f t="shared" si="13"/>
        <v>TFLEELC101</v>
      </c>
      <c r="D70" s="219"/>
      <c r="E70" s="214" t="str">
        <f t="shared" si="12"/>
        <v>TFLL</v>
      </c>
      <c r="F70" s="252">
        <f t="shared" si="11"/>
        <v>1.2987</v>
      </c>
      <c r="G70" s="252">
        <f t="shared" si="2"/>
        <v>1.2987</v>
      </c>
      <c r="H70" s="252">
        <f t="shared" si="3"/>
        <v>1.3698600000000001</v>
      </c>
      <c r="I70" s="252">
        <f t="shared" si="4"/>
        <v>1.4285699999999999</v>
      </c>
      <c r="J70" s="252">
        <f t="shared" si="5"/>
        <v>1.51515</v>
      </c>
      <c r="M70" s="216" t="s">
        <v>138</v>
      </c>
      <c r="N70" s="224"/>
      <c r="O70" s="224" t="s">
        <v>333</v>
      </c>
      <c r="P70" s="106">
        <v>77</v>
      </c>
      <c r="Q70" s="106">
        <v>77</v>
      </c>
      <c r="R70" s="106">
        <v>73</v>
      </c>
      <c r="S70" s="106">
        <v>70</v>
      </c>
      <c r="T70" s="106">
        <v>66</v>
      </c>
      <c r="W70" s="117" t="s">
        <v>295</v>
      </c>
    </row>
    <row r="71" spans="2:23" x14ac:dyDescent="0.3">
      <c r="B71" s="214" t="s">
        <v>452</v>
      </c>
      <c r="C71" s="214" t="str">
        <f t="shared" si="13"/>
        <v>TFLEELC901</v>
      </c>
      <c r="D71" s="219"/>
      <c r="E71" s="214" t="str">
        <f t="shared" si="12"/>
        <v>TFLL-C</v>
      </c>
      <c r="F71" s="252">
        <f t="shared" si="11"/>
        <v>1.2987</v>
      </c>
      <c r="G71" s="252">
        <f t="shared" si="2"/>
        <v>1.2987</v>
      </c>
      <c r="H71" s="252">
        <f t="shared" si="3"/>
        <v>1.3698600000000001</v>
      </c>
      <c r="I71" s="252">
        <f t="shared" si="4"/>
        <v>1.4285699999999999</v>
      </c>
      <c r="J71" s="252">
        <f t="shared" si="5"/>
        <v>1.51515</v>
      </c>
      <c r="M71" s="216" t="s">
        <v>242</v>
      </c>
      <c r="N71" s="224"/>
      <c r="O71" s="224" t="s">
        <v>477</v>
      </c>
      <c r="P71" s="106">
        <v>77</v>
      </c>
      <c r="Q71" s="106">
        <v>77</v>
      </c>
      <c r="R71" s="106">
        <v>73</v>
      </c>
      <c r="S71" s="106">
        <v>70</v>
      </c>
      <c r="T71" s="106">
        <v>66</v>
      </c>
      <c r="W71" s="117" t="s">
        <v>295</v>
      </c>
    </row>
    <row r="72" spans="2:23" x14ac:dyDescent="0.3">
      <c r="B72" s="214" t="s">
        <v>452</v>
      </c>
      <c r="C72" s="214" t="str">
        <f t="shared" si="13"/>
        <v>TFLEETH101</v>
      </c>
      <c r="D72" s="219"/>
      <c r="E72" s="214" t="str">
        <f t="shared" ref="E72:E103" si="14">O72</f>
        <v>TFLL</v>
      </c>
      <c r="F72" s="252">
        <f t="shared" si="11"/>
        <v>0.51812999999999998</v>
      </c>
      <c r="G72" s="252">
        <f t="shared" ref="G72:G135" si="15">IF(Q72=0, "-", ROUND(10^2/Q72,5))</f>
        <v>0.55249000000000004</v>
      </c>
      <c r="H72" s="252">
        <f t="shared" ref="H72:H135" si="16">IF(R72=0, "-", ROUND(10^2/R72,5))</f>
        <v>0.58140000000000003</v>
      </c>
      <c r="I72" s="252">
        <f t="shared" ref="I72:I135" si="17">IF(S72=0, "-", ROUND(10^2/S72,5))</f>
        <v>0.61350000000000005</v>
      </c>
      <c r="J72" s="252">
        <f t="shared" ref="J72:J135" si="18">IF(T72=0, "-", ROUND(10^2/T72,5))</f>
        <v>0.64515999999999996</v>
      </c>
      <c r="M72" s="216" t="s">
        <v>140</v>
      </c>
      <c r="N72" s="224"/>
      <c r="O72" s="224" t="s">
        <v>333</v>
      </c>
      <c r="P72" s="106">
        <v>193</v>
      </c>
      <c r="Q72" s="106">
        <v>181</v>
      </c>
      <c r="R72" s="106">
        <v>172</v>
      </c>
      <c r="S72" s="106">
        <v>163</v>
      </c>
      <c r="T72" s="106">
        <v>155</v>
      </c>
      <c r="W72" s="117" t="s">
        <v>295</v>
      </c>
    </row>
    <row r="73" spans="2:23" x14ac:dyDescent="0.3">
      <c r="B73" s="214" t="s">
        <v>452</v>
      </c>
      <c r="C73" s="214" t="str">
        <f t="shared" si="13"/>
        <v>TFLEETH901</v>
      </c>
      <c r="D73" s="219"/>
      <c r="E73" s="214" t="str">
        <f t="shared" si="14"/>
        <v>TFLL-C</v>
      </c>
      <c r="F73" s="252">
        <f t="shared" si="11"/>
        <v>0.51812999999999998</v>
      </c>
      <c r="G73" s="252">
        <f t="shared" si="15"/>
        <v>0.55249000000000004</v>
      </c>
      <c r="H73" s="252">
        <f t="shared" si="16"/>
        <v>0.58140000000000003</v>
      </c>
      <c r="I73" s="252">
        <f t="shared" si="17"/>
        <v>0.61350000000000005</v>
      </c>
      <c r="J73" s="252">
        <f t="shared" si="18"/>
        <v>0.64515999999999996</v>
      </c>
      <c r="M73" s="216" t="s">
        <v>244</v>
      </c>
      <c r="N73" s="224"/>
      <c r="O73" s="224" t="s">
        <v>477</v>
      </c>
      <c r="P73" s="106">
        <v>193</v>
      </c>
      <c r="Q73" s="106">
        <v>181</v>
      </c>
      <c r="R73" s="106">
        <v>172</v>
      </c>
      <c r="S73" s="106">
        <v>163</v>
      </c>
      <c r="T73" s="106">
        <v>155</v>
      </c>
      <c r="W73" s="117" t="s">
        <v>295</v>
      </c>
    </row>
    <row r="74" spans="2:23" x14ac:dyDescent="0.3">
      <c r="B74" s="214" t="s">
        <v>452</v>
      </c>
      <c r="C74" s="214" t="str">
        <f t="shared" ref="C74:C105" si="19">M74</f>
        <v>TFLEGAS101</v>
      </c>
      <c r="D74" s="219"/>
      <c r="E74" s="214" t="str">
        <f t="shared" si="14"/>
        <v>TFLL</v>
      </c>
      <c r="F74" s="252">
        <f t="shared" si="11"/>
        <v>0.51812999999999998</v>
      </c>
      <c r="G74" s="252">
        <f t="shared" si="15"/>
        <v>0.55249000000000004</v>
      </c>
      <c r="H74" s="252">
        <f t="shared" si="16"/>
        <v>0.58140000000000003</v>
      </c>
      <c r="I74" s="252">
        <f t="shared" si="17"/>
        <v>0.61350000000000005</v>
      </c>
      <c r="J74" s="252">
        <f t="shared" si="18"/>
        <v>0.64515999999999996</v>
      </c>
      <c r="M74" s="216" t="s">
        <v>142</v>
      </c>
      <c r="N74" s="224"/>
      <c r="O74" s="224" t="s">
        <v>333</v>
      </c>
      <c r="P74" s="106">
        <v>193</v>
      </c>
      <c r="Q74" s="106">
        <v>181</v>
      </c>
      <c r="R74" s="106">
        <v>172</v>
      </c>
      <c r="S74" s="106">
        <v>163</v>
      </c>
      <c r="T74" s="106">
        <v>155</v>
      </c>
      <c r="W74" s="117" t="s">
        <v>295</v>
      </c>
    </row>
    <row r="75" spans="2:23" x14ac:dyDescent="0.3">
      <c r="B75" s="214" t="s">
        <v>452</v>
      </c>
      <c r="C75" s="214" t="str">
        <f t="shared" si="19"/>
        <v>TFLEGAS901</v>
      </c>
      <c r="D75" s="219"/>
      <c r="E75" s="214" t="str">
        <f t="shared" si="14"/>
        <v>TFLL-C</v>
      </c>
      <c r="F75" s="252">
        <f t="shared" si="11"/>
        <v>0.51812999999999998</v>
      </c>
      <c r="G75" s="252">
        <f t="shared" si="15"/>
        <v>0.55249000000000004</v>
      </c>
      <c r="H75" s="252">
        <f t="shared" si="16"/>
        <v>0.58140000000000003</v>
      </c>
      <c r="I75" s="252">
        <f t="shared" si="17"/>
        <v>0.61350000000000005</v>
      </c>
      <c r="J75" s="252">
        <f t="shared" si="18"/>
        <v>0.64515999999999996</v>
      </c>
      <c r="M75" s="216" t="s">
        <v>246</v>
      </c>
      <c r="N75" s="224"/>
      <c r="O75" s="224" t="s">
        <v>477</v>
      </c>
      <c r="P75" s="106">
        <v>193</v>
      </c>
      <c r="Q75" s="106">
        <v>181</v>
      </c>
      <c r="R75" s="106">
        <v>172</v>
      </c>
      <c r="S75" s="106">
        <v>163</v>
      </c>
      <c r="T75" s="106">
        <v>155</v>
      </c>
      <c r="W75" s="117" t="s">
        <v>295</v>
      </c>
    </row>
    <row r="76" spans="2:23" s="39" customFormat="1" x14ac:dyDescent="0.3">
      <c r="B76" s="214" t="s">
        <v>452</v>
      </c>
      <c r="C76" s="214" t="str">
        <f t="shared" si="19"/>
        <v>TFLEGSL101</v>
      </c>
      <c r="D76" s="219"/>
      <c r="E76" s="214" t="str">
        <f t="shared" si="14"/>
        <v>TFLL</v>
      </c>
      <c r="F76" s="252">
        <f t="shared" si="11"/>
        <v>0.51812999999999998</v>
      </c>
      <c r="G76" s="252">
        <f t="shared" si="15"/>
        <v>0.55249000000000004</v>
      </c>
      <c r="H76" s="252">
        <f t="shared" si="16"/>
        <v>0.58140000000000003</v>
      </c>
      <c r="I76" s="252">
        <f t="shared" si="17"/>
        <v>0.61350000000000005</v>
      </c>
      <c r="J76" s="252">
        <f t="shared" si="18"/>
        <v>0.64515999999999996</v>
      </c>
      <c r="M76" s="216" t="s">
        <v>144</v>
      </c>
      <c r="N76" s="224"/>
      <c r="O76" s="224" t="s">
        <v>333</v>
      </c>
      <c r="P76" s="106">
        <v>193</v>
      </c>
      <c r="Q76" s="106">
        <v>181</v>
      </c>
      <c r="R76" s="106">
        <v>172</v>
      </c>
      <c r="S76" s="106">
        <v>163</v>
      </c>
      <c r="T76" s="106">
        <v>155</v>
      </c>
      <c r="W76" s="134" t="s">
        <v>295</v>
      </c>
    </row>
    <row r="77" spans="2:23" x14ac:dyDescent="0.3">
      <c r="B77" s="214" t="s">
        <v>452</v>
      </c>
      <c r="C77" s="214" t="str">
        <f t="shared" si="19"/>
        <v>TFLEGSL901</v>
      </c>
      <c r="D77" s="219"/>
      <c r="E77" s="214" t="str">
        <f t="shared" si="14"/>
        <v>TFLL-C</v>
      </c>
      <c r="F77" s="252">
        <f t="shared" si="11"/>
        <v>0.51812999999999998</v>
      </c>
      <c r="G77" s="252">
        <f t="shared" si="15"/>
        <v>0.55249000000000004</v>
      </c>
      <c r="H77" s="252">
        <f t="shared" si="16"/>
        <v>0.58140000000000003</v>
      </c>
      <c r="I77" s="252">
        <f t="shared" si="17"/>
        <v>0.61350000000000005</v>
      </c>
      <c r="J77" s="252">
        <f t="shared" si="18"/>
        <v>0.64515999999999996</v>
      </c>
      <c r="M77" s="216" t="s">
        <v>248</v>
      </c>
      <c r="N77" s="224"/>
      <c r="O77" s="224" t="s">
        <v>477</v>
      </c>
      <c r="P77" s="106">
        <v>193</v>
      </c>
      <c r="Q77" s="106">
        <v>181</v>
      </c>
      <c r="R77" s="106">
        <v>172</v>
      </c>
      <c r="S77" s="106">
        <v>163</v>
      </c>
      <c r="T77" s="106">
        <v>155</v>
      </c>
      <c r="W77" s="117" t="s">
        <v>295</v>
      </c>
    </row>
    <row r="78" spans="2:23" x14ac:dyDescent="0.3">
      <c r="B78" s="214" t="s">
        <v>452</v>
      </c>
      <c r="C78" s="214" t="str">
        <f t="shared" si="19"/>
        <v>TFLEHFC101</v>
      </c>
      <c r="D78" s="219"/>
      <c r="E78" s="214" t="str">
        <f t="shared" si="14"/>
        <v>TFLL</v>
      </c>
      <c r="F78" s="252">
        <f t="shared" si="11"/>
        <v>0.98038999999999998</v>
      </c>
      <c r="G78" s="252">
        <f t="shared" si="15"/>
        <v>0.98038999999999998</v>
      </c>
      <c r="H78" s="252">
        <f t="shared" si="16"/>
        <v>1.0869599999999999</v>
      </c>
      <c r="I78" s="252">
        <f t="shared" si="17"/>
        <v>1.20482</v>
      </c>
      <c r="J78" s="252">
        <f t="shared" si="18"/>
        <v>1.2658199999999999</v>
      </c>
      <c r="M78" s="216" t="s">
        <v>146</v>
      </c>
      <c r="N78" s="224"/>
      <c r="O78" s="224" t="s">
        <v>333</v>
      </c>
      <c r="P78" s="107">
        <v>102</v>
      </c>
      <c r="Q78" s="107">
        <v>102</v>
      </c>
      <c r="R78" s="107">
        <v>92</v>
      </c>
      <c r="S78" s="107">
        <v>83</v>
      </c>
      <c r="T78" s="107">
        <v>79</v>
      </c>
      <c r="W78" s="117"/>
    </row>
    <row r="79" spans="2:23" x14ac:dyDescent="0.3">
      <c r="B79" s="214" t="s">
        <v>452</v>
      </c>
      <c r="C79" s="214" t="str">
        <f t="shared" si="19"/>
        <v>TFLEHFC901</v>
      </c>
      <c r="D79" s="219"/>
      <c r="E79" s="214" t="str">
        <f t="shared" si="14"/>
        <v>TFLL-C</v>
      </c>
      <c r="F79" s="252">
        <f t="shared" si="11"/>
        <v>0.98038999999999998</v>
      </c>
      <c r="G79" s="252">
        <f t="shared" si="15"/>
        <v>0.98038999999999998</v>
      </c>
      <c r="H79" s="252">
        <f t="shared" si="16"/>
        <v>1.0869599999999999</v>
      </c>
      <c r="I79" s="252">
        <f t="shared" si="17"/>
        <v>1.20482</v>
      </c>
      <c r="J79" s="252">
        <f t="shared" si="18"/>
        <v>1.2658199999999999</v>
      </c>
      <c r="M79" s="216" t="s">
        <v>250</v>
      </c>
      <c r="N79" s="224"/>
      <c r="O79" s="224" t="s">
        <v>477</v>
      </c>
      <c r="P79" s="107">
        <v>102</v>
      </c>
      <c r="Q79" s="107">
        <v>102</v>
      </c>
      <c r="R79" s="107">
        <v>92</v>
      </c>
      <c r="S79" s="107">
        <v>83</v>
      </c>
      <c r="T79" s="107">
        <v>79</v>
      </c>
      <c r="W79" s="117"/>
    </row>
    <row r="80" spans="2:23" x14ac:dyDescent="0.3">
      <c r="B80" s="214" t="s">
        <v>452</v>
      </c>
      <c r="C80" s="214" t="str">
        <f t="shared" si="19"/>
        <v>TFLEHYD101</v>
      </c>
      <c r="D80" s="219"/>
      <c r="E80" s="214" t="str">
        <f t="shared" si="14"/>
        <v>TFLL</v>
      </c>
      <c r="F80" s="252">
        <f t="shared" si="11"/>
        <v>0.70921999999999996</v>
      </c>
      <c r="G80" s="252">
        <f t="shared" si="15"/>
        <v>0.74626999999999999</v>
      </c>
      <c r="H80" s="252">
        <f t="shared" si="16"/>
        <v>0.82645000000000002</v>
      </c>
      <c r="I80" s="252">
        <f t="shared" si="17"/>
        <v>0.91742999999999997</v>
      </c>
      <c r="J80" s="252">
        <f t="shared" si="18"/>
        <v>1.02041</v>
      </c>
      <c r="M80" s="216" t="s">
        <v>149</v>
      </c>
      <c r="N80" s="224"/>
      <c r="O80" s="224" t="s">
        <v>333</v>
      </c>
      <c r="P80" s="106">
        <v>141</v>
      </c>
      <c r="Q80" s="106">
        <v>134</v>
      </c>
      <c r="R80" s="106">
        <v>121</v>
      </c>
      <c r="S80" s="106">
        <v>109</v>
      </c>
      <c r="T80" s="106">
        <v>98</v>
      </c>
      <c r="W80" s="117"/>
    </row>
    <row r="81" spans="2:23" x14ac:dyDescent="0.3">
      <c r="B81" s="214" t="s">
        <v>452</v>
      </c>
      <c r="C81" s="214" t="str">
        <f t="shared" si="19"/>
        <v>TFLEHYD901</v>
      </c>
      <c r="D81" s="219"/>
      <c r="E81" s="214" t="str">
        <f t="shared" si="14"/>
        <v>TFLL-C</v>
      </c>
      <c r="F81" s="252">
        <f t="shared" si="11"/>
        <v>0.70921999999999996</v>
      </c>
      <c r="G81" s="252">
        <f t="shared" si="15"/>
        <v>0.74626999999999999</v>
      </c>
      <c r="H81" s="252">
        <f t="shared" si="16"/>
        <v>0.82645000000000002</v>
      </c>
      <c r="I81" s="252">
        <f t="shared" si="17"/>
        <v>0.91742999999999997</v>
      </c>
      <c r="J81" s="252">
        <f t="shared" si="18"/>
        <v>1.02041</v>
      </c>
      <c r="M81" s="216" t="s">
        <v>297</v>
      </c>
      <c r="N81" s="224"/>
      <c r="O81" s="224" t="s">
        <v>477</v>
      </c>
      <c r="P81" s="106">
        <v>141</v>
      </c>
      <c r="Q81" s="106">
        <v>134</v>
      </c>
      <c r="R81" s="106">
        <v>121</v>
      </c>
      <c r="S81" s="106">
        <v>109</v>
      </c>
      <c r="T81" s="106">
        <v>98</v>
      </c>
      <c r="W81" s="117"/>
    </row>
    <row r="82" spans="2:23" x14ac:dyDescent="0.3">
      <c r="B82" s="214" t="s">
        <v>452</v>
      </c>
      <c r="C82" s="214" t="str">
        <f t="shared" si="19"/>
        <v>TFLEHYG101</v>
      </c>
      <c r="D82" s="219"/>
      <c r="E82" s="214" t="str">
        <f t="shared" si="14"/>
        <v>TFLL</v>
      </c>
      <c r="F82" s="252">
        <f t="shared" si="11"/>
        <v>0.63693999999999995</v>
      </c>
      <c r="G82" s="252">
        <f t="shared" si="15"/>
        <v>0.67113999999999996</v>
      </c>
      <c r="H82" s="252">
        <f t="shared" si="16"/>
        <v>0.74626999999999999</v>
      </c>
      <c r="I82" s="252">
        <f t="shared" si="17"/>
        <v>0.82645000000000002</v>
      </c>
      <c r="J82" s="252">
        <f t="shared" si="18"/>
        <v>0.91742999999999997</v>
      </c>
      <c r="M82" s="216" t="s">
        <v>151</v>
      </c>
      <c r="N82" s="224"/>
      <c r="O82" s="224" t="s">
        <v>333</v>
      </c>
      <c r="P82" s="106">
        <v>157</v>
      </c>
      <c r="Q82" s="106">
        <v>149</v>
      </c>
      <c r="R82" s="106">
        <v>134</v>
      </c>
      <c r="S82" s="106">
        <v>121</v>
      </c>
      <c r="T82" s="106">
        <v>109</v>
      </c>
      <c r="W82" s="117"/>
    </row>
    <row r="83" spans="2:23" x14ac:dyDescent="0.3">
      <c r="B83" s="214" t="s">
        <v>452</v>
      </c>
      <c r="C83" s="214" t="str">
        <f t="shared" si="19"/>
        <v>TFLEHYG901</v>
      </c>
      <c r="D83" s="219"/>
      <c r="E83" s="214" t="str">
        <f t="shared" si="14"/>
        <v>TFLL-C</v>
      </c>
      <c r="F83" s="252">
        <f t="shared" si="11"/>
        <v>0.63693999999999995</v>
      </c>
      <c r="G83" s="252">
        <f t="shared" si="15"/>
        <v>0.67113999999999996</v>
      </c>
      <c r="H83" s="252">
        <f t="shared" si="16"/>
        <v>0.74626999999999999</v>
      </c>
      <c r="I83" s="252">
        <f t="shared" si="17"/>
        <v>0.82645000000000002</v>
      </c>
      <c r="J83" s="252">
        <f t="shared" si="18"/>
        <v>0.91742999999999997</v>
      </c>
      <c r="M83" s="216" t="s">
        <v>298</v>
      </c>
      <c r="N83" s="224"/>
      <c r="O83" s="224" t="s">
        <v>477</v>
      </c>
      <c r="P83" s="106">
        <v>157</v>
      </c>
      <c r="Q83" s="106">
        <v>149</v>
      </c>
      <c r="R83" s="106">
        <v>134</v>
      </c>
      <c r="S83" s="106">
        <v>121</v>
      </c>
      <c r="T83" s="106">
        <v>109</v>
      </c>
      <c r="W83" s="117"/>
    </row>
    <row r="84" spans="2:23" x14ac:dyDescent="0.3">
      <c r="B84" s="214" t="s">
        <v>452</v>
      </c>
      <c r="C84" s="214" t="str">
        <f t="shared" si="19"/>
        <v>TFLELPG101</v>
      </c>
      <c r="D84" s="219"/>
      <c r="E84" s="214" t="str">
        <f t="shared" si="14"/>
        <v>TFLL</v>
      </c>
      <c r="F84" s="252">
        <f t="shared" si="11"/>
        <v>0.51812999999999998</v>
      </c>
      <c r="G84" s="252">
        <f t="shared" si="15"/>
        <v>0.55249000000000004</v>
      </c>
      <c r="H84" s="252">
        <f t="shared" si="16"/>
        <v>0.58140000000000003</v>
      </c>
      <c r="I84" s="252">
        <f t="shared" si="17"/>
        <v>0.61350000000000005</v>
      </c>
      <c r="J84" s="252">
        <f t="shared" si="18"/>
        <v>0.64515999999999996</v>
      </c>
      <c r="M84" s="216" t="s">
        <v>148</v>
      </c>
      <c r="N84" s="224"/>
      <c r="O84" s="224" t="s">
        <v>333</v>
      </c>
      <c r="P84" s="106">
        <v>193</v>
      </c>
      <c r="Q84" s="106">
        <v>181</v>
      </c>
      <c r="R84" s="106">
        <v>172</v>
      </c>
      <c r="S84" s="106">
        <v>163</v>
      </c>
      <c r="T84" s="106">
        <v>155</v>
      </c>
      <c r="W84" s="117"/>
    </row>
    <row r="85" spans="2:23" x14ac:dyDescent="0.3">
      <c r="B85" s="214" t="s">
        <v>452</v>
      </c>
      <c r="C85" s="214" t="str">
        <f t="shared" si="19"/>
        <v>TFLELPG901</v>
      </c>
      <c r="D85" s="219"/>
      <c r="E85" s="214" t="str">
        <f t="shared" si="14"/>
        <v>TFLL-C</v>
      </c>
      <c r="F85" s="252">
        <f t="shared" si="11"/>
        <v>0.51812999999999998</v>
      </c>
      <c r="G85" s="252">
        <f t="shared" si="15"/>
        <v>0.55249000000000004</v>
      </c>
      <c r="H85" s="252">
        <f t="shared" si="16"/>
        <v>0.58140000000000003</v>
      </c>
      <c r="I85" s="252">
        <f t="shared" si="17"/>
        <v>0.61350000000000005</v>
      </c>
      <c r="J85" s="252">
        <f t="shared" si="18"/>
        <v>0.64515999999999996</v>
      </c>
      <c r="M85" s="216" t="s">
        <v>252</v>
      </c>
      <c r="N85" s="224"/>
      <c r="O85" s="224" t="s">
        <v>477</v>
      </c>
      <c r="P85" s="106">
        <v>193</v>
      </c>
      <c r="Q85" s="106">
        <v>181</v>
      </c>
      <c r="R85" s="106">
        <v>172</v>
      </c>
      <c r="S85" s="106">
        <v>163</v>
      </c>
      <c r="T85" s="106">
        <v>155</v>
      </c>
      <c r="W85" s="117"/>
    </row>
    <row r="86" spans="2:23" x14ac:dyDescent="0.3">
      <c r="B86" s="214" t="s">
        <v>452</v>
      </c>
      <c r="C86" s="214" t="str">
        <f t="shared" si="19"/>
        <v>TFLEMTH101</v>
      </c>
      <c r="D86" s="219"/>
      <c r="E86" s="214" t="str">
        <f t="shared" si="14"/>
        <v>TFLL</v>
      </c>
      <c r="F86" s="252">
        <f t="shared" si="11"/>
        <v>0.51812999999999998</v>
      </c>
      <c r="G86" s="252">
        <f t="shared" si="15"/>
        <v>0.55249000000000004</v>
      </c>
      <c r="H86" s="252">
        <f t="shared" si="16"/>
        <v>0.58140000000000003</v>
      </c>
      <c r="I86" s="252">
        <f t="shared" si="17"/>
        <v>0.61350000000000005</v>
      </c>
      <c r="J86" s="252">
        <f t="shared" si="18"/>
        <v>0.64515999999999996</v>
      </c>
      <c r="M86" s="216" t="s">
        <v>592</v>
      </c>
      <c r="N86" s="224"/>
      <c r="O86" s="224" t="s">
        <v>333</v>
      </c>
      <c r="P86" s="106">
        <v>193</v>
      </c>
      <c r="Q86" s="106">
        <v>181</v>
      </c>
      <c r="R86" s="106">
        <v>172</v>
      </c>
      <c r="S86" s="106">
        <v>163</v>
      </c>
      <c r="T86" s="106">
        <v>155</v>
      </c>
      <c r="W86" s="117"/>
    </row>
    <row r="87" spans="2:23" x14ac:dyDescent="0.3">
      <c r="B87" s="214" t="s">
        <v>452</v>
      </c>
      <c r="C87" s="214" t="str">
        <f t="shared" si="19"/>
        <v>TFLEMTH901</v>
      </c>
      <c r="D87" s="219"/>
      <c r="E87" s="214" t="str">
        <f t="shared" si="14"/>
        <v>TFLL-C</v>
      </c>
      <c r="F87" s="252">
        <f t="shared" si="11"/>
        <v>0.51812999999999998</v>
      </c>
      <c r="G87" s="252">
        <f t="shared" si="15"/>
        <v>0.55249000000000004</v>
      </c>
      <c r="H87" s="252">
        <f t="shared" si="16"/>
        <v>0.58140000000000003</v>
      </c>
      <c r="I87" s="252">
        <f t="shared" si="17"/>
        <v>0.61350000000000005</v>
      </c>
      <c r="J87" s="252">
        <f t="shared" si="18"/>
        <v>0.64515999999999996</v>
      </c>
      <c r="M87" s="216" t="s">
        <v>593</v>
      </c>
      <c r="N87" s="224"/>
      <c r="O87" s="224" t="s">
        <v>477</v>
      </c>
      <c r="P87" s="106">
        <v>193</v>
      </c>
      <c r="Q87" s="106">
        <v>181</v>
      </c>
      <c r="R87" s="106">
        <v>172</v>
      </c>
      <c r="S87" s="106">
        <v>163</v>
      </c>
      <c r="T87" s="106">
        <v>155</v>
      </c>
      <c r="W87" s="117"/>
    </row>
    <row r="88" spans="2:23" x14ac:dyDescent="0.3">
      <c r="B88" s="214" t="s">
        <v>452</v>
      </c>
      <c r="C88" s="214" t="str">
        <f t="shared" si="19"/>
        <v>TFLEPYD101</v>
      </c>
      <c r="D88" s="219"/>
      <c r="E88" s="214" t="str">
        <f t="shared" si="14"/>
        <v>TFLL</v>
      </c>
      <c r="F88" s="252">
        <f t="shared" si="11"/>
        <v>0.85470000000000002</v>
      </c>
      <c r="G88" s="252">
        <f t="shared" si="15"/>
        <v>0.85470000000000002</v>
      </c>
      <c r="H88" s="252">
        <f t="shared" si="16"/>
        <v>0.94340000000000002</v>
      </c>
      <c r="I88" s="252">
        <f t="shared" si="17"/>
        <v>1.0416700000000001</v>
      </c>
      <c r="J88" s="252">
        <f t="shared" si="18"/>
        <v>1.16279</v>
      </c>
      <c r="M88" s="216" t="s">
        <v>152</v>
      </c>
      <c r="N88" s="224"/>
      <c r="O88" s="224" t="s">
        <v>333</v>
      </c>
      <c r="P88" s="106">
        <v>117</v>
      </c>
      <c r="Q88" s="106">
        <v>117</v>
      </c>
      <c r="R88" s="106">
        <v>106</v>
      </c>
      <c r="S88" s="106">
        <v>96</v>
      </c>
      <c r="T88" s="106">
        <v>86</v>
      </c>
      <c r="W88" s="117"/>
    </row>
    <row r="89" spans="2:23" x14ac:dyDescent="0.3">
      <c r="B89" s="214" t="s">
        <v>452</v>
      </c>
      <c r="C89" s="214" t="str">
        <f t="shared" si="19"/>
        <v>TFLEPYD901</v>
      </c>
      <c r="D89" s="219"/>
      <c r="E89" s="214" t="str">
        <f t="shared" si="14"/>
        <v>TFLL-C</v>
      </c>
      <c r="F89" s="252">
        <f t="shared" ref="F89:F154" si="20">IF(P89=0, "-", ROUND(10^2/P89,5))</f>
        <v>0.85470000000000002</v>
      </c>
      <c r="G89" s="252">
        <f t="shared" si="15"/>
        <v>0.85470000000000002</v>
      </c>
      <c r="H89" s="252">
        <f t="shared" si="16"/>
        <v>0.94340000000000002</v>
      </c>
      <c r="I89" s="252">
        <f t="shared" si="17"/>
        <v>1.0416700000000001</v>
      </c>
      <c r="J89" s="252">
        <f t="shared" si="18"/>
        <v>1.16279</v>
      </c>
      <c r="M89" s="216" t="s">
        <v>299</v>
      </c>
      <c r="N89" s="224"/>
      <c r="O89" s="224" t="s">
        <v>477</v>
      </c>
      <c r="P89" s="106">
        <v>117</v>
      </c>
      <c r="Q89" s="106">
        <v>117</v>
      </c>
      <c r="R89" s="106">
        <v>106</v>
      </c>
      <c r="S89" s="106">
        <v>96</v>
      </c>
      <c r="T89" s="106">
        <v>86</v>
      </c>
      <c r="W89" s="117"/>
    </row>
    <row r="90" spans="2:23" x14ac:dyDescent="0.3">
      <c r="B90" s="214" t="s">
        <v>452</v>
      </c>
      <c r="C90" s="214" t="str">
        <f t="shared" si="19"/>
        <v>TFLEPYG101</v>
      </c>
      <c r="D90" s="219"/>
      <c r="E90" s="214" t="str">
        <f t="shared" si="14"/>
        <v>TFLL</v>
      </c>
      <c r="F90" s="252">
        <f t="shared" si="20"/>
        <v>0.90908999999999995</v>
      </c>
      <c r="G90" s="252">
        <f t="shared" si="15"/>
        <v>0.90908999999999995</v>
      </c>
      <c r="H90" s="252">
        <f t="shared" si="16"/>
        <v>1.0101</v>
      </c>
      <c r="I90" s="252">
        <f t="shared" si="17"/>
        <v>1.11111</v>
      </c>
      <c r="J90" s="252">
        <f t="shared" si="18"/>
        <v>1.2345699999999999</v>
      </c>
      <c r="M90" s="216" t="s">
        <v>154</v>
      </c>
      <c r="N90" s="224"/>
      <c r="O90" s="224" t="s">
        <v>333</v>
      </c>
      <c r="P90" s="106">
        <v>110</v>
      </c>
      <c r="Q90" s="106">
        <v>110</v>
      </c>
      <c r="R90" s="106">
        <v>99</v>
      </c>
      <c r="S90" s="106">
        <v>90</v>
      </c>
      <c r="T90" s="106">
        <v>81</v>
      </c>
      <c r="W90" s="117" t="s">
        <v>295</v>
      </c>
    </row>
    <row r="91" spans="2:23" x14ac:dyDescent="0.3">
      <c r="B91" s="217" t="s">
        <v>452</v>
      </c>
      <c r="C91" s="217" t="str">
        <f t="shared" si="19"/>
        <v>TFLEPYG901</v>
      </c>
      <c r="D91" s="220"/>
      <c r="E91" s="217" t="str">
        <f t="shared" si="14"/>
        <v>TFLL-C</v>
      </c>
      <c r="F91" s="254">
        <f t="shared" si="20"/>
        <v>0.90908999999999995</v>
      </c>
      <c r="G91" s="254">
        <f t="shared" si="15"/>
        <v>0.90908999999999995</v>
      </c>
      <c r="H91" s="254">
        <f t="shared" si="16"/>
        <v>1.0101</v>
      </c>
      <c r="I91" s="254">
        <f t="shared" si="17"/>
        <v>1.11111</v>
      </c>
      <c r="J91" s="254">
        <f t="shared" si="18"/>
        <v>1.2345699999999999</v>
      </c>
      <c r="M91" s="221" t="s">
        <v>300</v>
      </c>
      <c r="N91" s="225"/>
      <c r="O91" s="225" t="s">
        <v>477</v>
      </c>
      <c r="P91" s="111">
        <v>110</v>
      </c>
      <c r="Q91" s="111">
        <v>110</v>
      </c>
      <c r="R91" s="111">
        <v>99</v>
      </c>
      <c r="S91" s="111">
        <v>90</v>
      </c>
      <c r="T91" s="111">
        <v>81</v>
      </c>
      <c r="W91" s="145" t="s">
        <v>295</v>
      </c>
    </row>
    <row r="92" spans="2:23" x14ac:dyDescent="0.3">
      <c r="B92" s="214" t="s">
        <v>452</v>
      </c>
      <c r="C92" s="214" t="str">
        <f t="shared" si="19"/>
        <v>TFMEBDL101</v>
      </c>
      <c r="D92" s="219"/>
      <c r="E92" s="214" t="str">
        <f t="shared" si="14"/>
        <v>TFML</v>
      </c>
      <c r="F92" s="252">
        <f t="shared" si="20"/>
        <v>0.10185</v>
      </c>
      <c r="G92" s="252">
        <f t="shared" si="15"/>
        <v>0.10377</v>
      </c>
      <c r="H92" s="252">
        <f t="shared" si="16"/>
        <v>0.10680000000000001</v>
      </c>
      <c r="I92" s="252">
        <f t="shared" si="17"/>
        <v>0.10945000000000001</v>
      </c>
      <c r="J92" s="252">
        <f t="shared" si="18"/>
        <v>0.11224000000000001</v>
      </c>
      <c r="M92" s="216" t="s">
        <v>345</v>
      </c>
      <c r="N92" s="224"/>
      <c r="O92" s="224" t="s">
        <v>364</v>
      </c>
      <c r="P92" s="106">
        <f>P120/1.1</f>
        <v>981.81818181818176</v>
      </c>
      <c r="Q92" s="106">
        <f t="shared" ref="Q92:T92" si="21">Q120/1.1</f>
        <v>963.63636363636351</v>
      </c>
      <c r="R92" s="106">
        <f t="shared" si="21"/>
        <v>936.36363636363626</v>
      </c>
      <c r="S92" s="106">
        <f t="shared" si="21"/>
        <v>913.63636363636351</v>
      </c>
      <c r="T92" s="106">
        <f t="shared" si="21"/>
        <v>890.90909090909088</v>
      </c>
      <c r="W92" s="117" t="s">
        <v>517</v>
      </c>
    </row>
    <row r="93" spans="2:23" x14ac:dyDescent="0.3">
      <c r="B93" s="214" t="s">
        <v>452</v>
      </c>
      <c r="C93" s="214" t="str">
        <f t="shared" si="19"/>
        <v>TFMEBDL901</v>
      </c>
      <c r="D93" s="219"/>
      <c r="E93" s="214" t="str">
        <f t="shared" si="14"/>
        <v>TFML-C</v>
      </c>
      <c r="F93" s="252">
        <f t="shared" si="20"/>
        <v>0.10185</v>
      </c>
      <c r="G93" s="252">
        <f t="shared" si="15"/>
        <v>0.10377</v>
      </c>
      <c r="H93" s="252">
        <f t="shared" si="16"/>
        <v>0.10680000000000001</v>
      </c>
      <c r="I93" s="252">
        <f t="shared" si="17"/>
        <v>0.10945000000000001</v>
      </c>
      <c r="J93" s="252">
        <f t="shared" si="18"/>
        <v>0.11224000000000001</v>
      </c>
      <c r="M93" s="216" t="s">
        <v>427</v>
      </c>
      <c r="N93" s="224"/>
      <c r="O93" s="224" t="s">
        <v>478</v>
      </c>
      <c r="P93" s="106">
        <f t="shared" ref="P93:T93" si="22">P121/1.1</f>
        <v>981.81818181818176</v>
      </c>
      <c r="Q93" s="106">
        <f t="shared" si="22"/>
        <v>963.63636363636351</v>
      </c>
      <c r="R93" s="106">
        <f t="shared" si="22"/>
        <v>936.36363636363626</v>
      </c>
      <c r="S93" s="106">
        <f t="shared" si="22"/>
        <v>913.63636363636351</v>
      </c>
      <c r="T93" s="106">
        <f t="shared" si="22"/>
        <v>890.90909090909088</v>
      </c>
      <c r="W93" s="117" t="s">
        <v>517</v>
      </c>
    </row>
    <row r="94" spans="2:23" x14ac:dyDescent="0.3">
      <c r="B94" s="214" t="s">
        <v>452</v>
      </c>
      <c r="C94" s="214" t="str">
        <f t="shared" si="19"/>
        <v>TFMEDME101</v>
      </c>
      <c r="D94" s="219"/>
      <c r="E94" s="214" t="str">
        <f t="shared" si="14"/>
        <v>TFML</v>
      </c>
      <c r="F94" s="252">
        <f t="shared" si="20"/>
        <v>0.10185</v>
      </c>
      <c r="G94" s="252">
        <f t="shared" si="15"/>
        <v>0.10377</v>
      </c>
      <c r="H94" s="252">
        <f t="shared" si="16"/>
        <v>0.10680000000000001</v>
      </c>
      <c r="I94" s="252">
        <f t="shared" si="17"/>
        <v>0.10945000000000001</v>
      </c>
      <c r="J94" s="252">
        <f t="shared" si="18"/>
        <v>0.11224000000000001</v>
      </c>
      <c r="M94" s="216" t="s">
        <v>346</v>
      </c>
      <c r="N94" s="224"/>
      <c r="O94" s="224" t="s">
        <v>364</v>
      </c>
      <c r="P94" s="106">
        <f t="shared" ref="P94:T94" si="23">P122/1.1</f>
        <v>981.81818181818176</v>
      </c>
      <c r="Q94" s="106">
        <f t="shared" si="23"/>
        <v>963.63636363636351</v>
      </c>
      <c r="R94" s="106">
        <f t="shared" si="23"/>
        <v>936.36363636363626</v>
      </c>
      <c r="S94" s="106">
        <f t="shared" si="23"/>
        <v>913.63636363636351</v>
      </c>
      <c r="T94" s="106">
        <f t="shared" si="23"/>
        <v>890.90909090909088</v>
      </c>
      <c r="W94" s="117" t="s">
        <v>517</v>
      </c>
    </row>
    <row r="95" spans="2:23" x14ac:dyDescent="0.3">
      <c r="B95" s="214" t="s">
        <v>452</v>
      </c>
      <c r="C95" s="214" t="str">
        <f t="shared" si="19"/>
        <v>TFMEDME901</v>
      </c>
      <c r="D95" s="219"/>
      <c r="E95" s="214" t="str">
        <f t="shared" si="14"/>
        <v>TFML-C</v>
      </c>
      <c r="F95" s="252">
        <f t="shared" si="20"/>
        <v>0.10185</v>
      </c>
      <c r="G95" s="252">
        <f t="shared" si="15"/>
        <v>0.10377</v>
      </c>
      <c r="H95" s="252">
        <f t="shared" si="16"/>
        <v>0.10680000000000001</v>
      </c>
      <c r="I95" s="252">
        <f t="shared" si="17"/>
        <v>0.10945000000000001</v>
      </c>
      <c r="J95" s="252">
        <f t="shared" si="18"/>
        <v>0.11224000000000001</v>
      </c>
      <c r="M95" s="216" t="s">
        <v>428</v>
      </c>
      <c r="N95" s="224"/>
      <c r="O95" s="224" t="s">
        <v>478</v>
      </c>
      <c r="P95" s="106">
        <f t="shared" ref="P95:T95" si="24">P123/1.1</f>
        <v>981.81818181818176</v>
      </c>
      <c r="Q95" s="106">
        <f t="shared" si="24"/>
        <v>963.63636363636351</v>
      </c>
      <c r="R95" s="106">
        <f t="shared" si="24"/>
        <v>936.36363636363626</v>
      </c>
      <c r="S95" s="106">
        <f t="shared" si="24"/>
        <v>913.63636363636351</v>
      </c>
      <c r="T95" s="106">
        <f t="shared" si="24"/>
        <v>890.90909090909088</v>
      </c>
      <c r="W95" s="117" t="s">
        <v>517</v>
      </c>
    </row>
    <row r="96" spans="2:23" x14ac:dyDescent="0.3">
      <c r="B96" s="214" t="s">
        <v>452</v>
      </c>
      <c r="C96" s="214" t="str">
        <f t="shared" si="19"/>
        <v>TFMEDST101</v>
      </c>
      <c r="D96" s="219"/>
      <c r="E96" s="214" t="str">
        <f t="shared" si="14"/>
        <v>TFML</v>
      </c>
      <c r="F96" s="252">
        <f t="shared" si="20"/>
        <v>0.10185</v>
      </c>
      <c r="G96" s="252">
        <f t="shared" si="15"/>
        <v>0.10377</v>
      </c>
      <c r="H96" s="252">
        <f t="shared" si="16"/>
        <v>0.10680000000000001</v>
      </c>
      <c r="I96" s="252">
        <f t="shared" si="17"/>
        <v>0.10945000000000001</v>
      </c>
      <c r="J96" s="252">
        <f t="shared" si="18"/>
        <v>0.11224000000000001</v>
      </c>
      <c r="M96" s="216" t="s">
        <v>347</v>
      </c>
      <c r="N96" s="224"/>
      <c r="O96" s="224" t="s">
        <v>364</v>
      </c>
      <c r="P96" s="106">
        <f t="shared" ref="P96:T96" si="25">P124/1.1</f>
        <v>981.81818181818176</v>
      </c>
      <c r="Q96" s="106">
        <f t="shared" si="25"/>
        <v>963.63636363636351</v>
      </c>
      <c r="R96" s="106">
        <f t="shared" si="25"/>
        <v>936.36363636363626</v>
      </c>
      <c r="S96" s="106">
        <f t="shared" si="25"/>
        <v>913.63636363636351</v>
      </c>
      <c r="T96" s="106">
        <f t="shared" si="25"/>
        <v>890.90909090909088</v>
      </c>
      <c r="W96" s="117" t="s">
        <v>517</v>
      </c>
    </row>
    <row r="97" spans="2:23" x14ac:dyDescent="0.3">
      <c r="B97" s="214" t="s">
        <v>452</v>
      </c>
      <c r="C97" s="214" t="str">
        <f t="shared" si="19"/>
        <v>TFMEDST901</v>
      </c>
      <c r="D97" s="219"/>
      <c r="E97" s="214" t="str">
        <f t="shared" si="14"/>
        <v>TFML-C</v>
      </c>
      <c r="F97" s="252">
        <f t="shared" si="20"/>
        <v>0.10185</v>
      </c>
      <c r="G97" s="252">
        <f t="shared" si="15"/>
        <v>0.10377</v>
      </c>
      <c r="H97" s="252">
        <f t="shared" si="16"/>
        <v>0.10680000000000001</v>
      </c>
      <c r="I97" s="252">
        <f t="shared" si="17"/>
        <v>0.10945000000000001</v>
      </c>
      <c r="J97" s="252">
        <f t="shared" si="18"/>
        <v>0.11224000000000001</v>
      </c>
      <c r="M97" s="216" t="s">
        <v>429</v>
      </c>
      <c r="N97" s="224"/>
      <c r="O97" s="224" t="s">
        <v>478</v>
      </c>
      <c r="P97" s="106">
        <f t="shared" ref="P97:T97" si="26">P125/1.1</f>
        <v>981.81818181818176</v>
      </c>
      <c r="Q97" s="106">
        <f t="shared" si="26"/>
        <v>963.63636363636351</v>
      </c>
      <c r="R97" s="106">
        <f t="shared" si="26"/>
        <v>936.36363636363626</v>
      </c>
      <c r="S97" s="106">
        <f t="shared" si="26"/>
        <v>913.63636363636351</v>
      </c>
      <c r="T97" s="106">
        <f t="shared" si="26"/>
        <v>890.90909090909088</v>
      </c>
      <c r="W97" s="117" t="s">
        <v>517</v>
      </c>
    </row>
    <row r="98" spans="2:23" x14ac:dyDescent="0.3">
      <c r="B98" s="214" t="s">
        <v>452</v>
      </c>
      <c r="C98" s="214" t="str">
        <f t="shared" si="19"/>
        <v>TFMEELC101</v>
      </c>
      <c r="D98" s="219"/>
      <c r="E98" s="214" t="str">
        <f t="shared" si="14"/>
        <v>TFML</v>
      </c>
      <c r="F98" s="157">
        <f t="shared" si="20"/>
        <v>90.909090000000006</v>
      </c>
      <c r="G98" s="157">
        <f t="shared" si="15"/>
        <v>90.909090000000006</v>
      </c>
      <c r="H98" s="157">
        <f t="shared" si="16"/>
        <v>90.909090000000006</v>
      </c>
      <c r="I98" s="157">
        <f t="shared" si="17"/>
        <v>90.909090000000006</v>
      </c>
      <c r="J98" s="157">
        <f t="shared" si="18"/>
        <v>90.909090000000006</v>
      </c>
      <c r="M98" s="216" t="s">
        <v>348</v>
      </c>
      <c r="N98" s="224"/>
      <c r="O98" s="224" t="s">
        <v>364</v>
      </c>
      <c r="P98" s="247">
        <v>1.1000000000000001</v>
      </c>
      <c r="Q98" s="247">
        <v>1.1000000000000001</v>
      </c>
      <c r="R98" s="247">
        <v>1.1000000000000001</v>
      </c>
      <c r="S98" s="247">
        <v>1.1000000000000001</v>
      </c>
      <c r="T98" s="247">
        <v>1.1000000000000001</v>
      </c>
      <c r="W98" s="117" t="s">
        <v>296</v>
      </c>
    </row>
    <row r="99" spans="2:23" x14ac:dyDescent="0.3">
      <c r="B99" s="214" t="s">
        <v>452</v>
      </c>
      <c r="C99" s="214" t="str">
        <f t="shared" si="19"/>
        <v>TFMEELC901</v>
      </c>
      <c r="D99" s="219"/>
      <c r="E99" s="214" t="str">
        <f t="shared" si="14"/>
        <v>TFML-C</v>
      </c>
      <c r="F99" s="157">
        <f t="shared" si="20"/>
        <v>90.909090000000006</v>
      </c>
      <c r="G99" s="157">
        <f t="shared" si="15"/>
        <v>90.909090000000006</v>
      </c>
      <c r="H99" s="157">
        <f t="shared" si="16"/>
        <v>90.909090000000006</v>
      </c>
      <c r="I99" s="157">
        <f t="shared" si="17"/>
        <v>90.909090000000006</v>
      </c>
      <c r="J99" s="157">
        <f t="shared" si="18"/>
        <v>90.909090000000006</v>
      </c>
      <c r="M99" s="216" t="s">
        <v>430</v>
      </c>
      <c r="N99" s="224"/>
      <c r="O99" s="224" t="s">
        <v>478</v>
      </c>
      <c r="P99" s="247">
        <v>1.1000000000000001</v>
      </c>
      <c r="Q99" s="247">
        <v>1.1000000000000001</v>
      </c>
      <c r="R99" s="247">
        <v>1.1000000000000001</v>
      </c>
      <c r="S99" s="247">
        <v>1.1000000000000001</v>
      </c>
      <c r="T99" s="247">
        <v>1.1000000000000001</v>
      </c>
      <c r="W99" s="117" t="s">
        <v>296</v>
      </c>
    </row>
    <row r="100" spans="2:23" x14ac:dyDescent="0.3">
      <c r="B100" s="214" t="s">
        <v>452</v>
      </c>
      <c r="C100" s="214" t="str">
        <f t="shared" si="19"/>
        <v>TFMEETH101</v>
      </c>
      <c r="D100" s="219"/>
      <c r="E100" s="214" t="str">
        <f t="shared" si="14"/>
        <v>TFML</v>
      </c>
      <c r="F100" s="252">
        <f t="shared" si="20"/>
        <v>0.10185</v>
      </c>
      <c r="G100" s="252">
        <f t="shared" si="15"/>
        <v>0.10377</v>
      </c>
      <c r="H100" s="252">
        <f t="shared" si="16"/>
        <v>0.10680000000000001</v>
      </c>
      <c r="I100" s="252">
        <f t="shared" si="17"/>
        <v>0.10945000000000001</v>
      </c>
      <c r="J100" s="252">
        <f t="shared" si="18"/>
        <v>0.11224000000000001</v>
      </c>
      <c r="M100" s="216" t="s">
        <v>349</v>
      </c>
      <c r="N100" s="224"/>
      <c r="O100" s="224" t="s">
        <v>364</v>
      </c>
      <c r="P100" s="106">
        <f>P126/1.1</f>
        <v>981.81818181818176</v>
      </c>
      <c r="Q100" s="106">
        <f>Q126/1.1</f>
        <v>963.63636363636351</v>
      </c>
      <c r="R100" s="106">
        <f>R126/1.1</f>
        <v>936.36363636363626</v>
      </c>
      <c r="S100" s="106">
        <f>S126/1.1</f>
        <v>913.63636363636351</v>
      </c>
      <c r="T100" s="106">
        <f>T126/1.1</f>
        <v>890.90909090909088</v>
      </c>
      <c r="W100" s="117" t="s">
        <v>517</v>
      </c>
    </row>
    <row r="101" spans="2:23" x14ac:dyDescent="0.3">
      <c r="B101" s="214" t="s">
        <v>452</v>
      </c>
      <c r="C101" s="214" t="str">
        <f t="shared" si="19"/>
        <v>TFMEETH901</v>
      </c>
      <c r="D101" s="219"/>
      <c r="E101" s="214" t="str">
        <f t="shared" si="14"/>
        <v>TFML-C</v>
      </c>
      <c r="F101" s="252">
        <f t="shared" si="20"/>
        <v>0.10185</v>
      </c>
      <c r="G101" s="252">
        <f t="shared" si="15"/>
        <v>0.10377</v>
      </c>
      <c r="H101" s="252">
        <f t="shared" si="16"/>
        <v>0.10680000000000001</v>
      </c>
      <c r="I101" s="252">
        <f t="shared" si="17"/>
        <v>0.10945000000000001</v>
      </c>
      <c r="J101" s="252">
        <f t="shared" si="18"/>
        <v>0.11224000000000001</v>
      </c>
      <c r="M101" s="216" t="s">
        <v>431</v>
      </c>
      <c r="N101" s="224"/>
      <c r="O101" s="224" t="s">
        <v>478</v>
      </c>
      <c r="P101" s="106">
        <f t="shared" ref="P101:T101" si="27">P127/1.1</f>
        <v>981.81818181818176</v>
      </c>
      <c r="Q101" s="106">
        <f t="shared" si="27"/>
        <v>963.63636363636351</v>
      </c>
      <c r="R101" s="106">
        <f t="shared" si="27"/>
        <v>936.36363636363626</v>
      </c>
      <c r="S101" s="106">
        <f t="shared" si="27"/>
        <v>913.63636363636351</v>
      </c>
      <c r="T101" s="106">
        <f t="shared" si="27"/>
        <v>890.90909090909088</v>
      </c>
      <c r="W101" s="117" t="s">
        <v>517</v>
      </c>
    </row>
    <row r="102" spans="2:23" x14ac:dyDescent="0.3">
      <c r="B102" s="214" t="s">
        <v>452</v>
      </c>
      <c r="C102" s="214" t="str">
        <f t="shared" si="19"/>
        <v>TFMEGAS101</v>
      </c>
      <c r="D102" s="219"/>
      <c r="E102" s="214" t="str">
        <f t="shared" si="14"/>
        <v>TFML</v>
      </c>
      <c r="F102" s="252">
        <f t="shared" si="20"/>
        <v>9.2439999999999994E-2</v>
      </c>
      <c r="G102" s="252">
        <f t="shared" si="15"/>
        <v>9.3619999999999995E-2</v>
      </c>
      <c r="H102" s="252">
        <f t="shared" si="16"/>
        <v>9.7350000000000006E-2</v>
      </c>
      <c r="I102" s="252">
        <f t="shared" si="17"/>
        <v>0.1</v>
      </c>
      <c r="J102" s="252">
        <f t="shared" si="18"/>
        <v>0.1028</v>
      </c>
      <c r="M102" s="216" t="s">
        <v>350</v>
      </c>
      <c r="N102" s="224"/>
      <c r="O102" s="224" t="s">
        <v>364</v>
      </c>
      <c r="P102" s="106">
        <f t="shared" ref="P102:T102" si="28">P128/1.1</f>
        <v>1081.8181818181818</v>
      </c>
      <c r="Q102" s="106">
        <f t="shared" si="28"/>
        <v>1068.181818181818</v>
      </c>
      <c r="R102" s="106">
        <f t="shared" si="28"/>
        <v>1027.2727272727273</v>
      </c>
      <c r="S102" s="106">
        <f t="shared" si="28"/>
        <v>999.99999999999989</v>
      </c>
      <c r="T102" s="106">
        <f t="shared" si="28"/>
        <v>972.72727272727263</v>
      </c>
      <c r="W102" s="117" t="s">
        <v>517</v>
      </c>
    </row>
    <row r="103" spans="2:23" x14ac:dyDescent="0.3">
      <c r="B103" s="214" t="s">
        <v>452</v>
      </c>
      <c r="C103" s="214" t="str">
        <f t="shared" si="19"/>
        <v>TFMEGAS901</v>
      </c>
      <c r="D103" s="219"/>
      <c r="E103" s="214" t="str">
        <f t="shared" si="14"/>
        <v>TFML-C</v>
      </c>
      <c r="F103" s="252">
        <f t="shared" si="20"/>
        <v>9.2439999999999994E-2</v>
      </c>
      <c r="G103" s="252">
        <f t="shared" si="15"/>
        <v>9.3619999999999995E-2</v>
      </c>
      <c r="H103" s="252">
        <f t="shared" si="16"/>
        <v>9.7350000000000006E-2</v>
      </c>
      <c r="I103" s="252">
        <f t="shared" si="17"/>
        <v>0.1</v>
      </c>
      <c r="J103" s="252">
        <f t="shared" si="18"/>
        <v>0.1028</v>
      </c>
      <c r="M103" s="216" t="s">
        <v>432</v>
      </c>
      <c r="N103" s="224"/>
      <c r="O103" s="224" t="s">
        <v>478</v>
      </c>
      <c r="P103" s="106">
        <f t="shared" ref="P103:T103" si="29">P129/1.1</f>
        <v>1081.8181818181818</v>
      </c>
      <c r="Q103" s="106">
        <f t="shared" si="29"/>
        <v>1068.181818181818</v>
      </c>
      <c r="R103" s="106">
        <f t="shared" si="29"/>
        <v>1027.2727272727273</v>
      </c>
      <c r="S103" s="106">
        <f t="shared" si="29"/>
        <v>999.99999999999989</v>
      </c>
      <c r="T103" s="106">
        <f t="shared" si="29"/>
        <v>972.72727272727263</v>
      </c>
      <c r="W103" s="117" t="s">
        <v>517</v>
      </c>
    </row>
    <row r="104" spans="2:23" x14ac:dyDescent="0.3">
      <c r="B104" s="214" t="s">
        <v>452</v>
      </c>
      <c r="C104" s="214" t="str">
        <f t="shared" si="19"/>
        <v>TFMEGSL101</v>
      </c>
      <c r="D104" s="219"/>
      <c r="E104" s="214" t="str">
        <f t="shared" ref="E104:E131" si="30">O104</f>
        <v>TFML</v>
      </c>
      <c r="F104" s="252">
        <f t="shared" si="20"/>
        <v>9.2439999999999994E-2</v>
      </c>
      <c r="G104" s="252">
        <f t="shared" si="15"/>
        <v>9.3619999999999995E-2</v>
      </c>
      <c r="H104" s="252">
        <f t="shared" si="16"/>
        <v>9.7350000000000006E-2</v>
      </c>
      <c r="I104" s="252">
        <f t="shared" si="17"/>
        <v>0.1</v>
      </c>
      <c r="J104" s="252">
        <f t="shared" si="18"/>
        <v>0.1028</v>
      </c>
      <c r="M104" s="216" t="s">
        <v>351</v>
      </c>
      <c r="N104" s="224"/>
      <c r="O104" s="224" t="s">
        <v>364</v>
      </c>
      <c r="P104" s="106">
        <f t="shared" ref="P104:T104" si="31">P130/1.1</f>
        <v>1081.8181818181818</v>
      </c>
      <c r="Q104" s="106">
        <f t="shared" si="31"/>
        <v>1068.181818181818</v>
      </c>
      <c r="R104" s="106">
        <f t="shared" si="31"/>
        <v>1027.2727272727273</v>
      </c>
      <c r="S104" s="106">
        <f t="shared" si="31"/>
        <v>999.99999999999989</v>
      </c>
      <c r="T104" s="106">
        <f t="shared" si="31"/>
        <v>972.72727272727263</v>
      </c>
      <c r="W104" s="117" t="s">
        <v>517</v>
      </c>
    </row>
    <row r="105" spans="2:23" x14ac:dyDescent="0.3">
      <c r="B105" s="214" t="s">
        <v>452</v>
      </c>
      <c r="C105" s="214" t="str">
        <f t="shared" si="19"/>
        <v>TFMEGSL901</v>
      </c>
      <c r="D105" s="219"/>
      <c r="E105" s="214" t="str">
        <f t="shared" si="30"/>
        <v>TFML-C</v>
      </c>
      <c r="F105" s="252">
        <f t="shared" si="20"/>
        <v>9.2439999999999994E-2</v>
      </c>
      <c r="G105" s="252">
        <f t="shared" si="15"/>
        <v>9.3619999999999995E-2</v>
      </c>
      <c r="H105" s="252">
        <f t="shared" si="16"/>
        <v>9.7350000000000006E-2</v>
      </c>
      <c r="I105" s="252">
        <f t="shared" si="17"/>
        <v>0.1</v>
      </c>
      <c r="J105" s="252">
        <f t="shared" si="18"/>
        <v>0.1028</v>
      </c>
      <c r="M105" s="216" t="s">
        <v>433</v>
      </c>
      <c r="N105" s="224"/>
      <c r="O105" s="224" t="s">
        <v>478</v>
      </c>
      <c r="P105" s="106">
        <f t="shared" ref="P105:T105" si="32">P131/1.1</f>
        <v>1081.8181818181818</v>
      </c>
      <c r="Q105" s="106">
        <f t="shared" si="32"/>
        <v>1068.181818181818</v>
      </c>
      <c r="R105" s="106">
        <f t="shared" si="32"/>
        <v>1027.2727272727273</v>
      </c>
      <c r="S105" s="106">
        <f t="shared" si="32"/>
        <v>999.99999999999989</v>
      </c>
      <c r="T105" s="106">
        <f t="shared" si="32"/>
        <v>972.72727272727263</v>
      </c>
      <c r="W105" s="117" t="s">
        <v>517</v>
      </c>
    </row>
    <row r="106" spans="2:23" x14ac:dyDescent="0.3">
      <c r="B106" s="214" t="s">
        <v>452</v>
      </c>
      <c r="C106" s="214" t="str">
        <f t="shared" ref="C106:C135" si="33">M106</f>
        <v>TFMEHFC101</v>
      </c>
      <c r="D106" s="219"/>
      <c r="E106" s="214" t="str">
        <f t="shared" si="30"/>
        <v>TFML</v>
      </c>
      <c r="F106" s="252">
        <f t="shared" si="20"/>
        <v>0.16922999999999999</v>
      </c>
      <c r="G106" s="252">
        <f t="shared" si="15"/>
        <v>0.17188000000000001</v>
      </c>
      <c r="H106" s="252">
        <f t="shared" si="16"/>
        <v>0.18032999999999999</v>
      </c>
      <c r="I106" s="252">
        <f t="shared" si="17"/>
        <v>0.18487000000000001</v>
      </c>
      <c r="J106" s="252">
        <f t="shared" si="18"/>
        <v>0.18966</v>
      </c>
      <c r="M106" s="216" t="s">
        <v>353</v>
      </c>
      <c r="N106" s="224"/>
      <c r="O106" s="224" t="s">
        <v>364</v>
      </c>
      <c r="P106" s="106">
        <f t="shared" ref="P106:T106" si="34">P132/1.1</f>
        <v>590.90909090909088</v>
      </c>
      <c r="Q106" s="106">
        <f t="shared" si="34"/>
        <v>581.81818181818176</v>
      </c>
      <c r="R106" s="106">
        <f t="shared" si="34"/>
        <v>554.5454545454545</v>
      </c>
      <c r="S106" s="106">
        <f t="shared" si="34"/>
        <v>540.90909090909088</v>
      </c>
      <c r="T106" s="106">
        <f t="shared" si="34"/>
        <v>527.27272727272725</v>
      </c>
      <c r="W106" s="117" t="s">
        <v>517</v>
      </c>
    </row>
    <row r="107" spans="2:23" x14ac:dyDescent="0.3">
      <c r="B107" s="214" t="s">
        <v>452</v>
      </c>
      <c r="C107" s="214" t="str">
        <f t="shared" si="33"/>
        <v>TFMEHFC901</v>
      </c>
      <c r="D107" s="219"/>
      <c r="E107" s="214" t="str">
        <f t="shared" si="30"/>
        <v>TFML-C</v>
      </c>
      <c r="F107" s="252">
        <f t="shared" si="20"/>
        <v>0.16922999999999999</v>
      </c>
      <c r="G107" s="252">
        <f t="shared" si="15"/>
        <v>0.17188000000000001</v>
      </c>
      <c r="H107" s="252">
        <f t="shared" si="16"/>
        <v>0.18032999999999999</v>
      </c>
      <c r="I107" s="252">
        <f t="shared" si="17"/>
        <v>0.18487000000000001</v>
      </c>
      <c r="J107" s="252">
        <f t="shared" si="18"/>
        <v>0.18966</v>
      </c>
      <c r="M107" s="216" t="s">
        <v>436</v>
      </c>
      <c r="N107" s="224"/>
      <c r="O107" s="224" t="s">
        <v>478</v>
      </c>
      <c r="P107" s="106">
        <f t="shared" ref="P107:T107" si="35">P133/1.1</f>
        <v>590.90909090909088</v>
      </c>
      <c r="Q107" s="106">
        <f t="shared" si="35"/>
        <v>581.81818181818176</v>
      </c>
      <c r="R107" s="106">
        <f t="shared" si="35"/>
        <v>554.5454545454545</v>
      </c>
      <c r="S107" s="106">
        <f t="shared" si="35"/>
        <v>540.90909090909088</v>
      </c>
      <c r="T107" s="106">
        <f t="shared" si="35"/>
        <v>527.27272727272725</v>
      </c>
      <c r="W107" s="117" t="s">
        <v>517</v>
      </c>
    </row>
    <row r="108" spans="2:23" x14ac:dyDescent="0.3">
      <c r="B108" s="214" t="s">
        <v>452</v>
      </c>
      <c r="C108" s="214" t="str">
        <f t="shared" si="33"/>
        <v>TFMEHYD101</v>
      </c>
      <c r="D108" s="219"/>
      <c r="E108" s="214" t="str">
        <f t="shared" si="30"/>
        <v>TFML</v>
      </c>
      <c r="F108" s="252">
        <f t="shared" si="20"/>
        <v>0.1134</v>
      </c>
      <c r="G108" s="252">
        <f t="shared" si="15"/>
        <v>0.11579</v>
      </c>
      <c r="H108" s="252">
        <f t="shared" si="16"/>
        <v>0.11957</v>
      </c>
      <c r="I108" s="252">
        <f t="shared" si="17"/>
        <v>0.12222</v>
      </c>
      <c r="J108" s="252">
        <f t="shared" si="18"/>
        <v>0.125</v>
      </c>
      <c r="M108" s="216" t="s">
        <v>352</v>
      </c>
      <c r="N108" s="224"/>
      <c r="O108" s="224" t="s">
        <v>364</v>
      </c>
      <c r="P108" s="106">
        <f t="shared" ref="P108:T108" si="36">P134/1.1</f>
        <v>881.81818181818176</v>
      </c>
      <c r="Q108" s="106">
        <f t="shared" si="36"/>
        <v>863.63636363636351</v>
      </c>
      <c r="R108" s="106">
        <f t="shared" si="36"/>
        <v>836.36363636363626</v>
      </c>
      <c r="S108" s="106">
        <f t="shared" si="36"/>
        <v>818.18181818181813</v>
      </c>
      <c r="T108" s="106">
        <f t="shared" si="36"/>
        <v>799.99999999999989</v>
      </c>
      <c r="W108" s="117" t="s">
        <v>517</v>
      </c>
    </row>
    <row r="109" spans="2:23" x14ac:dyDescent="0.3">
      <c r="B109" s="214" t="s">
        <v>452</v>
      </c>
      <c r="C109" s="214" t="str">
        <f t="shared" si="33"/>
        <v>TFMEHYD901</v>
      </c>
      <c r="D109" s="219"/>
      <c r="E109" s="214" t="str">
        <f t="shared" si="30"/>
        <v>TFML-C</v>
      </c>
      <c r="F109" s="252">
        <f t="shared" si="20"/>
        <v>0.1134</v>
      </c>
      <c r="G109" s="252">
        <f t="shared" si="15"/>
        <v>0.11579</v>
      </c>
      <c r="H109" s="252">
        <f t="shared" si="16"/>
        <v>0.11957</v>
      </c>
      <c r="I109" s="252">
        <f t="shared" si="17"/>
        <v>0.12222</v>
      </c>
      <c r="J109" s="252">
        <f t="shared" si="18"/>
        <v>0.125</v>
      </c>
      <c r="M109" s="216" t="s">
        <v>434</v>
      </c>
      <c r="N109" s="224"/>
      <c r="O109" s="224" t="s">
        <v>478</v>
      </c>
      <c r="P109" s="106">
        <f t="shared" ref="P109:T109" si="37">P135/1.1</f>
        <v>881.81818181818176</v>
      </c>
      <c r="Q109" s="106">
        <f t="shared" si="37"/>
        <v>863.63636363636351</v>
      </c>
      <c r="R109" s="106">
        <f t="shared" si="37"/>
        <v>836.36363636363626</v>
      </c>
      <c r="S109" s="106">
        <f t="shared" si="37"/>
        <v>818.18181818181813</v>
      </c>
      <c r="T109" s="106">
        <f t="shared" si="37"/>
        <v>799.99999999999989</v>
      </c>
      <c r="W109" s="117" t="s">
        <v>517</v>
      </c>
    </row>
    <row r="110" spans="2:23" x14ac:dyDescent="0.3">
      <c r="B110" s="214" t="s">
        <v>452</v>
      </c>
      <c r="C110" s="214" t="str">
        <f t="shared" si="33"/>
        <v>TFMEHYG101</v>
      </c>
      <c r="D110" s="219"/>
      <c r="E110" s="214" t="str">
        <f t="shared" si="30"/>
        <v>TFML</v>
      </c>
      <c r="F110" s="252">
        <f t="shared" si="20"/>
        <v>0.10292</v>
      </c>
      <c r="G110" s="252">
        <f t="shared" si="15"/>
        <v>0.10446</v>
      </c>
      <c r="H110" s="252">
        <f t="shared" si="16"/>
        <v>0.10897999999999999</v>
      </c>
      <c r="I110" s="252">
        <f t="shared" si="17"/>
        <v>0.11167000000000001</v>
      </c>
      <c r="J110" s="252">
        <f t="shared" si="18"/>
        <v>0.11448999999999999</v>
      </c>
      <c r="M110" s="216" t="s">
        <v>408</v>
      </c>
      <c r="N110" s="224"/>
      <c r="O110" s="224" t="s">
        <v>364</v>
      </c>
      <c r="P110" s="106">
        <f t="shared" ref="P110:T110" si="38">P136/1.1</f>
        <v>971.63299663299654</v>
      </c>
      <c r="Q110" s="106">
        <f t="shared" si="38"/>
        <v>957.33276157804448</v>
      </c>
      <c r="R110" s="106">
        <f t="shared" si="38"/>
        <v>917.5639894086496</v>
      </c>
      <c r="S110" s="106">
        <f t="shared" si="38"/>
        <v>895.52238805970148</v>
      </c>
      <c r="T110" s="106">
        <f t="shared" si="38"/>
        <v>873.46938775510205</v>
      </c>
      <c r="W110" s="117" t="s">
        <v>517</v>
      </c>
    </row>
    <row r="111" spans="2:23" x14ac:dyDescent="0.3">
      <c r="B111" s="214" t="s">
        <v>452</v>
      </c>
      <c r="C111" s="214" t="str">
        <f t="shared" si="33"/>
        <v>TFMEHYG901</v>
      </c>
      <c r="D111" s="219"/>
      <c r="E111" s="214" t="str">
        <f t="shared" si="30"/>
        <v>TFML-C</v>
      </c>
      <c r="F111" s="252">
        <f t="shared" si="20"/>
        <v>0.10292</v>
      </c>
      <c r="G111" s="252">
        <f t="shared" si="15"/>
        <v>0.10446</v>
      </c>
      <c r="H111" s="252">
        <f t="shared" si="16"/>
        <v>0.10897999999999999</v>
      </c>
      <c r="I111" s="252">
        <f t="shared" si="17"/>
        <v>0.11167000000000001</v>
      </c>
      <c r="J111" s="252">
        <f t="shared" si="18"/>
        <v>0.11448999999999999</v>
      </c>
      <c r="M111" s="216" t="s">
        <v>435</v>
      </c>
      <c r="N111" s="224"/>
      <c r="O111" s="224" t="s">
        <v>478</v>
      </c>
      <c r="P111" s="106">
        <f t="shared" ref="P111:T111" si="39">P137/1.1</f>
        <v>971.63299663299654</v>
      </c>
      <c r="Q111" s="106">
        <f t="shared" si="39"/>
        <v>957.33276157804448</v>
      </c>
      <c r="R111" s="106">
        <f t="shared" si="39"/>
        <v>917.5639894086496</v>
      </c>
      <c r="S111" s="106">
        <f t="shared" si="39"/>
        <v>895.52238805970148</v>
      </c>
      <c r="T111" s="106">
        <f t="shared" si="39"/>
        <v>873.46938775510205</v>
      </c>
      <c r="W111" s="117" t="s">
        <v>517</v>
      </c>
    </row>
    <row r="112" spans="2:23" x14ac:dyDescent="0.3">
      <c r="B112" s="214" t="s">
        <v>452</v>
      </c>
      <c r="C112" s="214" t="str">
        <f t="shared" si="33"/>
        <v>TFMELPG101</v>
      </c>
      <c r="D112" s="219"/>
      <c r="E112" s="214" t="str">
        <f t="shared" si="30"/>
        <v>TFML</v>
      </c>
      <c r="F112" s="252">
        <f t="shared" si="20"/>
        <v>9.2439999999999994E-2</v>
      </c>
      <c r="G112" s="252">
        <f t="shared" si="15"/>
        <v>9.3619999999999995E-2</v>
      </c>
      <c r="H112" s="252">
        <f t="shared" si="16"/>
        <v>9.7350000000000006E-2</v>
      </c>
      <c r="I112" s="252">
        <f t="shared" si="17"/>
        <v>0.1</v>
      </c>
      <c r="J112" s="252">
        <f t="shared" si="18"/>
        <v>0.1028</v>
      </c>
      <c r="M112" s="216" t="s">
        <v>410</v>
      </c>
      <c r="N112" s="224"/>
      <c r="O112" s="224" t="s">
        <v>364</v>
      </c>
      <c r="P112" s="106">
        <f t="shared" ref="P112:T112" si="40">P138/1.1</f>
        <v>1081.8181818181818</v>
      </c>
      <c r="Q112" s="106">
        <f t="shared" si="40"/>
        <v>1068.181818181818</v>
      </c>
      <c r="R112" s="106">
        <f t="shared" si="40"/>
        <v>1027.2727272727273</v>
      </c>
      <c r="S112" s="106">
        <f t="shared" si="40"/>
        <v>999.99999999999989</v>
      </c>
      <c r="T112" s="106">
        <f t="shared" si="40"/>
        <v>972.72727272727263</v>
      </c>
      <c r="W112" s="117" t="s">
        <v>517</v>
      </c>
    </row>
    <row r="113" spans="2:23" x14ac:dyDescent="0.3">
      <c r="B113" s="214" t="s">
        <v>452</v>
      </c>
      <c r="C113" s="214" t="str">
        <f t="shared" si="33"/>
        <v>TFMELPG901</v>
      </c>
      <c r="D113" s="219"/>
      <c r="E113" s="214" t="str">
        <f t="shared" si="30"/>
        <v>TFML-C</v>
      </c>
      <c r="F113" s="252">
        <f t="shared" si="20"/>
        <v>9.2439999999999994E-2</v>
      </c>
      <c r="G113" s="252">
        <f t="shared" si="15"/>
        <v>9.3619999999999995E-2</v>
      </c>
      <c r="H113" s="252">
        <f t="shared" si="16"/>
        <v>9.7350000000000006E-2</v>
      </c>
      <c r="I113" s="252">
        <f t="shared" si="17"/>
        <v>0.1</v>
      </c>
      <c r="J113" s="252">
        <f t="shared" si="18"/>
        <v>0.1028</v>
      </c>
      <c r="M113" s="216" t="s">
        <v>437</v>
      </c>
      <c r="N113" s="224"/>
      <c r="O113" s="224" t="s">
        <v>478</v>
      </c>
      <c r="P113" s="106">
        <f t="shared" ref="P113:T113" si="41">P139/1.1</f>
        <v>1081.8181818181818</v>
      </c>
      <c r="Q113" s="106">
        <f t="shared" si="41"/>
        <v>1068.181818181818</v>
      </c>
      <c r="R113" s="106">
        <f t="shared" si="41"/>
        <v>1027.2727272727273</v>
      </c>
      <c r="S113" s="106">
        <f t="shared" si="41"/>
        <v>999.99999999999989</v>
      </c>
      <c r="T113" s="106">
        <f t="shared" si="41"/>
        <v>972.72727272727263</v>
      </c>
      <c r="W113" s="117" t="s">
        <v>517</v>
      </c>
    </row>
    <row r="114" spans="2:23" x14ac:dyDescent="0.3">
      <c r="B114" s="214" t="s">
        <v>452</v>
      </c>
      <c r="C114" s="214" t="str">
        <f t="shared" si="33"/>
        <v>TFMEMTH101</v>
      </c>
      <c r="D114" s="219"/>
      <c r="E114" s="214" t="str">
        <f t="shared" si="30"/>
        <v>TFML</v>
      </c>
      <c r="F114" s="252">
        <f t="shared" si="20"/>
        <v>9.2439999999999994E-2</v>
      </c>
      <c r="G114" s="252">
        <f t="shared" si="15"/>
        <v>9.3619999999999995E-2</v>
      </c>
      <c r="H114" s="252">
        <f t="shared" si="16"/>
        <v>9.7350000000000006E-2</v>
      </c>
      <c r="I114" s="252">
        <f t="shared" si="17"/>
        <v>0.1</v>
      </c>
      <c r="J114" s="252">
        <f t="shared" si="18"/>
        <v>0.1028</v>
      </c>
      <c r="M114" s="216" t="s">
        <v>594</v>
      </c>
      <c r="N114" s="224"/>
      <c r="O114" s="224" t="s">
        <v>364</v>
      </c>
      <c r="P114" s="106">
        <f t="shared" ref="P114:T114" si="42">P140/1.1</f>
        <v>1081.8181818181818</v>
      </c>
      <c r="Q114" s="106">
        <f t="shared" si="42"/>
        <v>1068.181818181818</v>
      </c>
      <c r="R114" s="106">
        <f t="shared" si="42"/>
        <v>1027.2727272727273</v>
      </c>
      <c r="S114" s="106">
        <f t="shared" si="42"/>
        <v>999.99999999999989</v>
      </c>
      <c r="T114" s="106">
        <f t="shared" si="42"/>
        <v>972.72727272727263</v>
      </c>
      <c r="W114" s="117" t="s">
        <v>517</v>
      </c>
    </row>
    <row r="115" spans="2:23" x14ac:dyDescent="0.3">
      <c r="B115" s="214" t="s">
        <v>452</v>
      </c>
      <c r="C115" s="214" t="str">
        <f t="shared" si="33"/>
        <v>TFMEMTH901</v>
      </c>
      <c r="D115" s="219"/>
      <c r="E115" s="214" t="str">
        <f t="shared" si="30"/>
        <v>TFML-C</v>
      </c>
      <c r="F115" s="252">
        <f t="shared" si="20"/>
        <v>9.2439999999999994E-2</v>
      </c>
      <c r="G115" s="252">
        <f t="shared" si="15"/>
        <v>9.3619999999999995E-2</v>
      </c>
      <c r="H115" s="252">
        <f t="shared" si="16"/>
        <v>9.7350000000000006E-2</v>
      </c>
      <c r="I115" s="252">
        <f t="shared" si="17"/>
        <v>0.1</v>
      </c>
      <c r="J115" s="252">
        <f t="shared" si="18"/>
        <v>0.1028</v>
      </c>
      <c r="M115" s="216" t="s">
        <v>589</v>
      </c>
      <c r="N115" s="224"/>
      <c r="O115" s="224" t="s">
        <v>478</v>
      </c>
      <c r="P115" s="106">
        <f t="shared" ref="P115:T115" si="43">P141/1.1</f>
        <v>1081.8181818181818</v>
      </c>
      <c r="Q115" s="106">
        <f t="shared" si="43"/>
        <v>1068.181818181818</v>
      </c>
      <c r="R115" s="106">
        <f t="shared" si="43"/>
        <v>1027.2727272727273</v>
      </c>
      <c r="S115" s="106">
        <f t="shared" si="43"/>
        <v>999.99999999999989</v>
      </c>
      <c r="T115" s="106">
        <f t="shared" si="43"/>
        <v>972.72727272727263</v>
      </c>
      <c r="W115" s="117" t="s">
        <v>517</v>
      </c>
    </row>
    <row r="116" spans="2:23" x14ac:dyDescent="0.3">
      <c r="B116" s="214" t="s">
        <v>452</v>
      </c>
      <c r="C116" s="214" t="str">
        <f t="shared" si="33"/>
        <v>TFMEPYD101</v>
      </c>
      <c r="D116" s="219"/>
      <c r="E116" s="214" t="str">
        <f t="shared" si="30"/>
        <v>TFML</v>
      </c>
      <c r="F116" s="252">
        <f t="shared" si="20"/>
        <v>0.10185</v>
      </c>
      <c r="G116" s="252">
        <f t="shared" si="15"/>
        <v>0.10377</v>
      </c>
      <c r="H116" s="252">
        <f t="shared" si="16"/>
        <v>0.10680000000000001</v>
      </c>
      <c r="I116" s="252">
        <f t="shared" si="17"/>
        <v>0.10945000000000001</v>
      </c>
      <c r="J116" s="252">
        <f t="shared" si="18"/>
        <v>0.11224000000000001</v>
      </c>
      <c r="M116" s="216" t="s">
        <v>407</v>
      </c>
      <c r="N116" s="224"/>
      <c r="O116" s="224" t="s">
        <v>364</v>
      </c>
      <c r="P116" s="106">
        <f t="shared" ref="P116:T116" si="44">P142/1.1</f>
        <v>981.81818181818176</v>
      </c>
      <c r="Q116" s="106">
        <f t="shared" si="44"/>
        <v>963.63636363636351</v>
      </c>
      <c r="R116" s="106">
        <f t="shared" si="44"/>
        <v>936.36363636363626</v>
      </c>
      <c r="S116" s="106">
        <f t="shared" si="44"/>
        <v>913.63636363636351</v>
      </c>
      <c r="T116" s="106">
        <f t="shared" si="44"/>
        <v>890.90909090909088</v>
      </c>
      <c r="W116" s="117" t="s">
        <v>517</v>
      </c>
    </row>
    <row r="117" spans="2:23" x14ac:dyDescent="0.3">
      <c r="B117" s="214" t="s">
        <v>452</v>
      </c>
      <c r="C117" s="214" t="str">
        <f t="shared" si="33"/>
        <v>TFMEPYD901</v>
      </c>
      <c r="D117" s="219"/>
      <c r="E117" s="214" t="str">
        <f t="shared" si="30"/>
        <v>TFML-C</v>
      </c>
      <c r="F117" s="252">
        <f t="shared" si="20"/>
        <v>0.10185</v>
      </c>
      <c r="G117" s="252">
        <f t="shared" si="15"/>
        <v>0.10377</v>
      </c>
      <c r="H117" s="252">
        <f t="shared" si="16"/>
        <v>0.10680000000000001</v>
      </c>
      <c r="I117" s="252">
        <f t="shared" si="17"/>
        <v>0.10945000000000001</v>
      </c>
      <c r="J117" s="252">
        <f t="shared" si="18"/>
        <v>0.11224000000000001</v>
      </c>
      <c r="M117" s="216" t="s">
        <v>439</v>
      </c>
      <c r="N117" s="224"/>
      <c r="O117" s="224" t="s">
        <v>478</v>
      </c>
      <c r="P117" s="106">
        <f t="shared" ref="P117:T117" si="45">P143/1.1</f>
        <v>981.81818181818176</v>
      </c>
      <c r="Q117" s="106">
        <f t="shared" si="45"/>
        <v>963.63636363636351</v>
      </c>
      <c r="R117" s="106">
        <f t="shared" si="45"/>
        <v>936.36363636363626</v>
      </c>
      <c r="S117" s="106">
        <f t="shared" si="45"/>
        <v>913.63636363636351</v>
      </c>
      <c r="T117" s="106">
        <f t="shared" si="45"/>
        <v>890.90909090909088</v>
      </c>
      <c r="W117" s="117" t="s">
        <v>517</v>
      </c>
    </row>
    <row r="118" spans="2:23" x14ac:dyDescent="0.3">
      <c r="B118" s="214" t="s">
        <v>452</v>
      </c>
      <c r="C118" s="214" t="str">
        <f t="shared" si="33"/>
        <v>TFMEPYG101</v>
      </c>
      <c r="D118" s="219"/>
      <c r="E118" s="214" t="str">
        <f t="shared" si="30"/>
        <v>TFML</v>
      </c>
      <c r="F118" s="252">
        <f t="shared" si="20"/>
        <v>9.2439999999999994E-2</v>
      </c>
      <c r="G118" s="252">
        <f t="shared" si="15"/>
        <v>9.3619999999999995E-2</v>
      </c>
      <c r="H118" s="252">
        <f t="shared" si="16"/>
        <v>9.7350000000000006E-2</v>
      </c>
      <c r="I118" s="252">
        <f t="shared" si="17"/>
        <v>0.1</v>
      </c>
      <c r="J118" s="252">
        <f t="shared" si="18"/>
        <v>0.1028</v>
      </c>
      <c r="M118" s="216" t="s">
        <v>409</v>
      </c>
      <c r="N118" s="224"/>
      <c r="O118" s="224" t="s">
        <v>364</v>
      </c>
      <c r="P118" s="106">
        <f t="shared" ref="P118:T118" si="46">P144/1.1</f>
        <v>1081.8181818181818</v>
      </c>
      <c r="Q118" s="106">
        <f t="shared" si="46"/>
        <v>1068.181818181818</v>
      </c>
      <c r="R118" s="106">
        <f t="shared" si="46"/>
        <v>1027.2727272727273</v>
      </c>
      <c r="S118" s="106">
        <f t="shared" si="46"/>
        <v>999.99999999999989</v>
      </c>
      <c r="T118" s="106">
        <f t="shared" si="46"/>
        <v>972.72727272727263</v>
      </c>
      <c r="W118" s="117" t="s">
        <v>517</v>
      </c>
    </row>
    <row r="119" spans="2:23" x14ac:dyDescent="0.3">
      <c r="B119" s="217" t="s">
        <v>452</v>
      </c>
      <c r="C119" s="217" t="str">
        <f t="shared" si="33"/>
        <v>TFMEPYG901</v>
      </c>
      <c r="D119" s="220"/>
      <c r="E119" s="217" t="str">
        <f t="shared" si="30"/>
        <v>TFML-C</v>
      </c>
      <c r="F119" s="254">
        <f t="shared" si="20"/>
        <v>9.2439999999999994E-2</v>
      </c>
      <c r="G119" s="254">
        <f t="shared" si="15"/>
        <v>9.3619999999999995E-2</v>
      </c>
      <c r="H119" s="254">
        <f t="shared" si="16"/>
        <v>9.7350000000000006E-2</v>
      </c>
      <c r="I119" s="254">
        <f t="shared" si="17"/>
        <v>0.1</v>
      </c>
      <c r="J119" s="254">
        <f t="shared" si="18"/>
        <v>0.1028</v>
      </c>
      <c r="M119" s="221" t="s">
        <v>440</v>
      </c>
      <c r="N119" s="225"/>
      <c r="O119" s="225" t="s">
        <v>478</v>
      </c>
      <c r="P119" s="111">
        <f t="shared" ref="P119:T119" si="47">P145/1.1</f>
        <v>1081.8181818181818</v>
      </c>
      <c r="Q119" s="111">
        <f t="shared" si="47"/>
        <v>1068.181818181818</v>
      </c>
      <c r="R119" s="111">
        <f t="shared" si="47"/>
        <v>1027.2727272727273</v>
      </c>
      <c r="S119" s="111">
        <f t="shared" si="47"/>
        <v>999.99999999999989</v>
      </c>
      <c r="T119" s="111">
        <f t="shared" si="47"/>
        <v>972.72727272727263</v>
      </c>
      <c r="W119" s="145" t="s">
        <v>517</v>
      </c>
    </row>
    <row r="120" spans="2:23" x14ac:dyDescent="0.3">
      <c r="B120" s="214" t="s">
        <v>452</v>
      </c>
      <c r="C120" s="214" t="str">
        <f t="shared" si="33"/>
        <v>TFREBDL101</v>
      </c>
      <c r="D120" s="219"/>
      <c r="E120" s="214" t="str">
        <f t="shared" si="30"/>
        <v>TFRL</v>
      </c>
      <c r="F120" s="252">
        <f t="shared" si="20"/>
        <v>9.2590000000000006E-2</v>
      </c>
      <c r="G120" s="252">
        <f t="shared" si="15"/>
        <v>9.4339999999999993E-2</v>
      </c>
      <c r="H120" s="252">
        <f t="shared" si="16"/>
        <v>9.7089999999999996E-2</v>
      </c>
      <c r="I120" s="252">
        <f t="shared" si="17"/>
        <v>9.9500000000000005E-2</v>
      </c>
      <c r="J120" s="252">
        <f t="shared" si="18"/>
        <v>0.10204000000000001</v>
      </c>
      <c r="M120" s="216" t="s">
        <v>155</v>
      </c>
      <c r="N120" s="224"/>
      <c r="O120" s="224" t="s">
        <v>334</v>
      </c>
      <c r="P120" s="106">
        <v>1080</v>
      </c>
      <c r="Q120" s="106">
        <v>1060</v>
      </c>
      <c r="R120" s="106">
        <v>1030</v>
      </c>
      <c r="S120" s="106">
        <v>1005</v>
      </c>
      <c r="T120" s="106">
        <v>980</v>
      </c>
      <c r="W120" s="117" t="s">
        <v>295</v>
      </c>
    </row>
    <row r="121" spans="2:23" x14ac:dyDescent="0.3">
      <c r="B121" s="214" t="s">
        <v>452</v>
      </c>
      <c r="C121" s="214" t="str">
        <f t="shared" si="33"/>
        <v>TFREBDL901</v>
      </c>
      <c r="D121" s="219"/>
      <c r="E121" s="214" t="str">
        <f t="shared" si="30"/>
        <v>TFRL-C</v>
      </c>
      <c r="F121" s="252">
        <f t="shared" si="20"/>
        <v>9.2590000000000006E-2</v>
      </c>
      <c r="G121" s="252">
        <f t="shared" si="15"/>
        <v>9.4339999999999993E-2</v>
      </c>
      <c r="H121" s="252">
        <f t="shared" si="16"/>
        <v>9.7089999999999996E-2</v>
      </c>
      <c r="I121" s="252">
        <f t="shared" si="17"/>
        <v>9.9500000000000005E-2</v>
      </c>
      <c r="J121" s="252">
        <f t="shared" si="18"/>
        <v>0.10204000000000001</v>
      </c>
      <c r="M121" s="216" t="s">
        <v>253</v>
      </c>
      <c r="N121" s="224"/>
      <c r="O121" s="224" t="s">
        <v>479</v>
      </c>
      <c r="P121" s="106">
        <v>1080</v>
      </c>
      <c r="Q121" s="106">
        <v>1060</v>
      </c>
      <c r="R121" s="106">
        <v>1030</v>
      </c>
      <c r="S121" s="106">
        <v>1005</v>
      </c>
      <c r="T121" s="106">
        <v>980</v>
      </c>
      <c r="W121" s="117" t="s">
        <v>295</v>
      </c>
    </row>
    <row r="122" spans="2:23" x14ac:dyDescent="0.3">
      <c r="B122" s="214" t="s">
        <v>452</v>
      </c>
      <c r="C122" s="214" t="str">
        <f t="shared" si="33"/>
        <v>TFREDME101</v>
      </c>
      <c r="D122" s="219"/>
      <c r="E122" s="214" t="str">
        <f t="shared" si="30"/>
        <v>TFRL</v>
      </c>
      <c r="F122" s="252">
        <f t="shared" si="20"/>
        <v>9.2590000000000006E-2</v>
      </c>
      <c r="G122" s="252">
        <f t="shared" si="15"/>
        <v>9.4339999999999993E-2</v>
      </c>
      <c r="H122" s="252">
        <f t="shared" si="16"/>
        <v>9.7089999999999996E-2</v>
      </c>
      <c r="I122" s="252">
        <f t="shared" si="17"/>
        <v>9.9500000000000005E-2</v>
      </c>
      <c r="J122" s="252">
        <f t="shared" si="18"/>
        <v>0.10204000000000001</v>
      </c>
      <c r="M122" s="216" t="s">
        <v>157</v>
      </c>
      <c r="N122" s="224"/>
      <c r="O122" s="224" t="s">
        <v>334</v>
      </c>
      <c r="P122" s="106">
        <v>1080</v>
      </c>
      <c r="Q122" s="106">
        <v>1060</v>
      </c>
      <c r="R122" s="106">
        <v>1030</v>
      </c>
      <c r="S122" s="106">
        <v>1005</v>
      </c>
      <c r="T122" s="106">
        <v>980</v>
      </c>
      <c r="W122" s="117" t="s">
        <v>415</v>
      </c>
    </row>
    <row r="123" spans="2:23" x14ac:dyDescent="0.3">
      <c r="B123" s="214" t="s">
        <v>452</v>
      </c>
      <c r="C123" s="214" t="str">
        <f t="shared" si="33"/>
        <v>TFREDME901</v>
      </c>
      <c r="D123" s="219"/>
      <c r="E123" s="214" t="str">
        <f t="shared" si="30"/>
        <v>TFRL-C</v>
      </c>
      <c r="F123" s="252">
        <f t="shared" si="20"/>
        <v>9.2590000000000006E-2</v>
      </c>
      <c r="G123" s="252">
        <f t="shared" si="15"/>
        <v>9.4339999999999993E-2</v>
      </c>
      <c r="H123" s="252">
        <f t="shared" si="16"/>
        <v>9.7089999999999996E-2</v>
      </c>
      <c r="I123" s="252">
        <f t="shared" si="17"/>
        <v>9.9500000000000005E-2</v>
      </c>
      <c r="J123" s="252">
        <f t="shared" si="18"/>
        <v>0.10204000000000001</v>
      </c>
      <c r="M123" s="216" t="s">
        <v>255</v>
      </c>
      <c r="N123" s="224"/>
      <c r="O123" s="224" t="s">
        <v>479</v>
      </c>
      <c r="P123" s="106">
        <v>1080</v>
      </c>
      <c r="Q123" s="106">
        <v>1060</v>
      </c>
      <c r="R123" s="106">
        <v>1030</v>
      </c>
      <c r="S123" s="106">
        <v>1005</v>
      </c>
      <c r="T123" s="106">
        <v>980</v>
      </c>
      <c r="W123" s="117" t="s">
        <v>415</v>
      </c>
    </row>
    <row r="124" spans="2:23" x14ac:dyDescent="0.3">
      <c r="B124" s="214" t="s">
        <v>452</v>
      </c>
      <c r="C124" s="214" t="str">
        <f t="shared" si="33"/>
        <v>TFREDST101</v>
      </c>
      <c r="D124" s="219"/>
      <c r="E124" s="214" t="str">
        <f t="shared" si="30"/>
        <v>TFRL</v>
      </c>
      <c r="F124" s="252">
        <f t="shared" si="20"/>
        <v>9.2590000000000006E-2</v>
      </c>
      <c r="G124" s="252">
        <f t="shared" si="15"/>
        <v>9.4339999999999993E-2</v>
      </c>
      <c r="H124" s="252">
        <f t="shared" si="16"/>
        <v>9.7089999999999996E-2</v>
      </c>
      <c r="I124" s="252">
        <f t="shared" si="17"/>
        <v>9.9500000000000005E-2</v>
      </c>
      <c r="J124" s="252">
        <f t="shared" si="18"/>
        <v>0.10204000000000001</v>
      </c>
      <c r="M124" s="216" t="s">
        <v>159</v>
      </c>
      <c r="N124" s="224"/>
      <c r="O124" s="224" t="s">
        <v>334</v>
      </c>
      <c r="P124" s="106">
        <v>1080</v>
      </c>
      <c r="Q124" s="106">
        <v>1060</v>
      </c>
      <c r="R124" s="106">
        <v>1030</v>
      </c>
      <c r="S124" s="106">
        <v>1005</v>
      </c>
      <c r="T124" s="106">
        <v>980</v>
      </c>
      <c r="W124" s="117" t="s">
        <v>295</v>
      </c>
    </row>
    <row r="125" spans="2:23" x14ac:dyDescent="0.3">
      <c r="B125" s="214" t="s">
        <v>452</v>
      </c>
      <c r="C125" s="214" t="str">
        <f t="shared" si="33"/>
        <v>TFREDST901</v>
      </c>
      <c r="D125" s="219"/>
      <c r="E125" s="214" t="str">
        <f t="shared" si="30"/>
        <v>TFRL-C</v>
      </c>
      <c r="F125" s="252">
        <f t="shared" si="20"/>
        <v>9.2590000000000006E-2</v>
      </c>
      <c r="G125" s="252">
        <f t="shared" si="15"/>
        <v>9.4339999999999993E-2</v>
      </c>
      <c r="H125" s="252">
        <f t="shared" si="16"/>
        <v>9.7089999999999996E-2</v>
      </c>
      <c r="I125" s="252">
        <f t="shared" si="17"/>
        <v>9.9500000000000005E-2</v>
      </c>
      <c r="J125" s="252">
        <f t="shared" si="18"/>
        <v>0.10204000000000001</v>
      </c>
      <c r="M125" s="216" t="s">
        <v>257</v>
      </c>
      <c r="N125" s="224"/>
      <c r="O125" s="224" t="s">
        <v>479</v>
      </c>
      <c r="P125" s="106">
        <v>1080</v>
      </c>
      <c r="Q125" s="106">
        <v>1060</v>
      </c>
      <c r="R125" s="106">
        <v>1030</v>
      </c>
      <c r="S125" s="106">
        <v>1005</v>
      </c>
      <c r="T125" s="106">
        <v>980</v>
      </c>
      <c r="W125" s="117" t="s">
        <v>295</v>
      </c>
    </row>
    <row r="126" spans="2:23" x14ac:dyDescent="0.3">
      <c r="B126" s="214" t="s">
        <v>452</v>
      </c>
      <c r="C126" s="214" t="str">
        <f t="shared" si="33"/>
        <v>TFREETH101</v>
      </c>
      <c r="D126" s="219"/>
      <c r="E126" s="214" t="str">
        <f t="shared" si="30"/>
        <v>TFRL</v>
      </c>
      <c r="F126" s="252">
        <f t="shared" si="20"/>
        <v>9.2590000000000006E-2</v>
      </c>
      <c r="G126" s="252">
        <f t="shared" si="15"/>
        <v>9.4339999999999993E-2</v>
      </c>
      <c r="H126" s="252">
        <f t="shared" si="16"/>
        <v>9.7089999999999996E-2</v>
      </c>
      <c r="I126" s="252">
        <f t="shared" si="17"/>
        <v>9.9500000000000005E-2</v>
      </c>
      <c r="J126" s="252">
        <f t="shared" si="18"/>
        <v>0.10204000000000001</v>
      </c>
      <c r="M126" s="216" t="s">
        <v>162</v>
      </c>
      <c r="N126" s="224"/>
      <c r="O126" s="224" t="s">
        <v>334</v>
      </c>
      <c r="P126" s="106">
        <f>P124</f>
        <v>1080</v>
      </c>
      <c r="Q126" s="106">
        <f t="shared" ref="Q126:T126" si="48">Q124</f>
        <v>1060</v>
      </c>
      <c r="R126" s="106">
        <f t="shared" si="48"/>
        <v>1030</v>
      </c>
      <c r="S126" s="106">
        <f t="shared" si="48"/>
        <v>1005</v>
      </c>
      <c r="T126" s="106">
        <f t="shared" si="48"/>
        <v>980</v>
      </c>
      <c r="W126" s="117" t="s">
        <v>645</v>
      </c>
    </row>
    <row r="127" spans="2:23" x14ac:dyDescent="0.3">
      <c r="B127" s="214" t="s">
        <v>452</v>
      </c>
      <c r="C127" s="214" t="str">
        <f t="shared" si="33"/>
        <v>TFREETH901</v>
      </c>
      <c r="D127" s="219"/>
      <c r="E127" s="214" t="str">
        <f t="shared" si="30"/>
        <v>TFRL-C</v>
      </c>
      <c r="F127" s="252">
        <f t="shared" si="20"/>
        <v>9.2590000000000006E-2</v>
      </c>
      <c r="G127" s="252">
        <f t="shared" si="15"/>
        <v>9.4339999999999993E-2</v>
      </c>
      <c r="H127" s="252">
        <f t="shared" si="16"/>
        <v>9.7089999999999996E-2</v>
      </c>
      <c r="I127" s="252">
        <f t="shared" si="17"/>
        <v>9.9500000000000005E-2</v>
      </c>
      <c r="J127" s="252">
        <f t="shared" si="18"/>
        <v>0.10204000000000001</v>
      </c>
      <c r="M127" s="216" t="s">
        <v>260</v>
      </c>
      <c r="N127" s="224"/>
      <c r="O127" s="224" t="s">
        <v>479</v>
      </c>
      <c r="P127" s="106">
        <f t="shared" ref="P127:T127" si="49">P125</f>
        <v>1080</v>
      </c>
      <c r="Q127" s="106">
        <f t="shared" si="49"/>
        <v>1060</v>
      </c>
      <c r="R127" s="106">
        <f t="shared" si="49"/>
        <v>1030</v>
      </c>
      <c r="S127" s="106">
        <f t="shared" si="49"/>
        <v>1005</v>
      </c>
      <c r="T127" s="106">
        <f t="shared" si="49"/>
        <v>980</v>
      </c>
      <c r="W127" s="117" t="s">
        <v>645</v>
      </c>
    </row>
    <row r="128" spans="2:23" x14ac:dyDescent="0.3">
      <c r="B128" s="214" t="s">
        <v>452</v>
      </c>
      <c r="C128" s="214" t="str">
        <f t="shared" si="33"/>
        <v>TFREGAS101</v>
      </c>
      <c r="D128" s="219"/>
      <c r="E128" s="214" t="str">
        <f t="shared" si="30"/>
        <v>TFRL</v>
      </c>
      <c r="F128" s="252">
        <f t="shared" si="20"/>
        <v>8.4029999999999994E-2</v>
      </c>
      <c r="G128" s="252">
        <f t="shared" si="15"/>
        <v>8.5110000000000005E-2</v>
      </c>
      <c r="H128" s="252">
        <f t="shared" si="16"/>
        <v>8.8499999999999995E-2</v>
      </c>
      <c r="I128" s="252">
        <f t="shared" si="17"/>
        <v>9.0910000000000005E-2</v>
      </c>
      <c r="J128" s="252">
        <f t="shared" si="18"/>
        <v>9.3460000000000001E-2</v>
      </c>
      <c r="M128" s="216" t="s">
        <v>164</v>
      </c>
      <c r="N128" s="224"/>
      <c r="O128" s="224" t="s">
        <v>334</v>
      </c>
      <c r="P128" s="106">
        <v>1190</v>
      </c>
      <c r="Q128" s="106">
        <v>1175</v>
      </c>
      <c r="R128" s="106">
        <v>1130</v>
      </c>
      <c r="S128" s="106">
        <v>1100</v>
      </c>
      <c r="T128" s="106">
        <v>1070</v>
      </c>
      <c r="W128" s="117" t="s">
        <v>607</v>
      </c>
    </row>
    <row r="129" spans="2:23" x14ac:dyDescent="0.3">
      <c r="B129" s="214" t="s">
        <v>452</v>
      </c>
      <c r="C129" s="214" t="str">
        <f t="shared" si="33"/>
        <v>TFREGAS901</v>
      </c>
      <c r="D129" s="219"/>
      <c r="E129" s="214" t="str">
        <f t="shared" si="30"/>
        <v>TFRL-C</v>
      </c>
      <c r="F129" s="252">
        <f t="shared" si="20"/>
        <v>8.4029999999999994E-2</v>
      </c>
      <c r="G129" s="252">
        <f t="shared" si="15"/>
        <v>8.5110000000000005E-2</v>
      </c>
      <c r="H129" s="252">
        <f t="shared" si="16"/>
        <v>8.8499999999999995E-2</v>
      </c>
      <c r="I129" s="252">
        <f t="shared" si="17"/>
        <v>9.0910000000000005E-2</v>
      </c>
      <c r="J129" s="252">
        <f t="shared" si="18"/>
        <v>9.3460000000000001E-2</v>
      </c>
      <c r="M129" s="216" t="s">
        <v>262</v>
      </c>
      <c r="N129" s="224"/>
      <c r="O129" s="224" t="s">
        <v>479</v>
      </c>
      <c r="P129" s="106">
        <v>1190</v>
      </c>
      <c r="Q129" s="106">
        <v>1175</v>
      </c>
      <c r="R129" s="106">
        <v>1130</v>
      </c>
      <c r="S129" s="106">
        <v>1100</v>
      </c>
      <c r="T129" s="106">
        <v>1070</v>
      </c>
      <c r="W129" s="117" t="s">
        <v>607</v>
      </c>
    </row>
    <row r="130" spans="2:23" x14ac:dyDescent="0.3">
      <c r="B130" s="214" t="s">
        <v>452</v>
      </c>
      <c r="C130" s="214" t="str">
        <f t="shared" si="33"/>
        <v>TFREGSL101</v>
      </c>
      <c r="D130" s="219"/>
      <c r="E130" s="214" t="str">
        <f t="shared" si="30"/>
        <v>TFRL</v>
      </c>
      <c r="F130" s="252">
        <f t="shared" si="20"/>
        <v>8.4029999999999994E-2</v>
      </c>
      <c r="G130" s="252">
        <f t="shared" si="15"/>
        <v>8.5110000000000005E-2</v>
      </c>
      <c r="H130" s="252">
        <f t="shared" si="16"/>
        <v>8.8499999999999995E-2</v>
      </c>
      <c r="I130" s="252">
        <f t="shared" si="17"/>
        <v>9.0910000000000005E-2</v>
      </c>
      <c r="J130" s="252">
        <f t="shared" si="18"/>
        <v>9.3460000000000001E-2</v>
      </c>
      <c r="M130" s="216" t="s">
        <v>166</v>
      </c>
      <c r="N130" s="224"/>
      <c r="O130" s="224" t="s">
        <v>334</v>
      </c>
      <c r="P130" s="106">
        <v>1190</v>
      </c>
      <c r="Q130" s="106">
        <v>1175</v>
      </c>
      <c r="R130" s="106">
        <v>1130</v>
      </c>
      <c r="S130" s="106">
        <v>1100</v>
      </c>
      <c r="T130" s="106">
        <v>1070</v>
      </c>
      <c r="W130" s="117" t="s">
        <v>295</v>
      </c>
    </row>
    <row r="131" spans="2:23" x14ac:dyDescent="0.3">
      <c r="B131" s="214" t="s">
        <v>452</v>
      </c>
      <c r="C131" s="214" t="str">
        <f t="shared" si="33"/>
        <v>TFREGSL901</v>
      </c>
      <c r="D131" s="219"/>
      <c r="E131" s="214" t="str">
        <f t="shared" si="30"/>
        <v>TFRL-C</v>
      </c>
      <c r="F131" s="252">
        <f t="shared" si="20"/>
        <v>8.4029999999999994E-2</v>
      </c>
      <c r="G131" s="252">
        <f t="shared" si="15"/>
        <v>8.5110000000000005E-2</v>
      </c>
      <c r="H131" s="252">
        <f t="shared" si="16"/>
        <v>8.8499999999999995E-2</v>
      </c>
      <c r="I131" s="252">
        <f t="shared" si="17"/>
        <v>9.0910000000000005E-2</v>
      </c>
      <c r="J131" s="252">
        <f t="shared" si="18"/>
        <v>9.3460000000000001E-2</v>
      </c>
      <c r="M131" s="216" t="s">
        <v>264</v>
      </c>
      <c r="N131" s="224"/>
      <c r="O131" s="224" t="s">
        <v>479</v>
      </c>
      <c r="P131" s="106">
        <v>1190</v>
      </c>
      <c r="Q131" s="106">
        <v>1175</v>
      </c>
      <c r="R131" s="106">
        <v>1130</v>
      </c>
      <c r="S131" s="106">
        <v>1100</v>
      </c>
      <c r="T131" s="106">
        <v>1070</v>
      </c>
      <c r="W131" s="117" t="s">
        <v>295</v>
      </c>
    </row>
    <row r="132" spans="2:23" x14ac:dyDescent="0.3">
      <c r="B132" s="214" t="s">
        <v>452</v>
      </c>
      <c r="C132" s="214" t="str">
        <f>M132</f>
        <v>TFREHFC101</v>
      </c>
      <c r="D132" s="219"/>
      <c r="E132" s="214" t="str">
        <f>O132</f>
        <v>TFRL</v>
      </c>
      <c r="F132" s="252">
        <f t="shared" si="20"/>
        <v>0.15384999999999999</v>
      </c>
      <c r="G132" s="252">
        <f t="shared" si="15"/>
        <v>0.15625</v>
      </c>
      <c r="H132" s="252">
        <f t="shared" si="16"/>
        <v>0.16392999999999999</v>
      </c>
      <c r="I132" s="252">
        <f t="shared" si="17"/>
        <v>0.16807</v>
      </c>
      <c r="J132" s="252">
        <f t="shared" si="18"/>
        <v>0.17241000000000001</v>
      </c>
      <c r="M132" s="216" t="s">
        <v>168</v>
      </c>
      <c r="N132" s="224"/>
      <c r="O132" s="224" t="s">
        <v>334</v>
      </c>
      <c r="P132" s="106">
        <v>650</v>
      </c>
      <c r="Q132" s="106">
        <v>640</v>
      </c>
      <c r="R132" s="106">
        <v>610</v>
      </c>
      <c r="S132" s="106">
        <v>595</v>
      </c>
      <c r="T132" s="106">
        <v>580</v>
      </c>
      <c r="W132" s="117"/>
    </row>
    <row r="133" spans="2:23" x14ac:dyDescent="0.3">
      <c r="B133" s="214" t="s">
        <v>452</v>
      </c>
      <c r="C133" s="214" t="str">
        <f>M133</f>
        <v>TFREHFC901</v>
      </c>
      <c r="D133" s="219"/>
      <c r="E133" s="214" t="str">
        <f>O133</f>
        <v>TFRL-C</v>
      </c>
      <c r="F133" s="252">
        <f t="shared" si="20"/>
        <v>0.15384999999999999</v>
      </c>
      <c r="G133" s="252">
        <f t="shared" si="15"/>
        <v>0.15625</v>
      </c>
      <c r="H133" s="252">
        <f t="shared" si="16"/>
        <v>0.16392999999999999</v>
      </c>
      <c r="I133" s="252">
        <f t="shared" si="17"/>
        <v>0.16807</v>
      </c>
      <c r="J133" s="252">
        <f t="shared" si="18"/>
        <v>0.17241000000000001</v>
      </c>
      <c r="M133" s="216" t="s">
        <v>266</v>
      </c>
      <c r="N133" s="224"/>
      <c r="O133" s="224" t="s">
        <v>479</v>
      </c>
      <c r="P133" s="106">
        <v>650</v>
      </c>
      <c r="Q133" s="106">
        <v>640</v>
      </c>
      <c r="R133" s="106">
        <v>610</v>
      </c>
      <c r="S133" s="106">
        <v>595</v>
      </c>
      <c r="T133" s="106">
        <v>580</v>
      </c>
      <c r="W133" s="117"/>
    </row>
    <row r="134" spans="2:23" x14ac:dyDescent="0.3">
      <c r="B134" s="214" t="s">
        <v>452</v>
      </c>
      <c r="C134" s="214" t="str">
        <f t="shared" si="33"/>
        <v>TFREHYD101</v>
      </c>
      <c r="D134" s="219"/>
      <c r="E134" s="214" t="str">
        <f t="shared" ref="E134:E149" si="50">O134</f>
        <v>TFRL</v>
      </c>
      <c r="F134" s="252">
        <f t="shared" si="20"/>
        <v>0.10309</v>
      </c>
      <c r="G134" s="252">
        <f t="shared" si="15"/>
        <v>0.10526000000000001</v>
      </c>
      <c r="H134" s="252">
        <f t="shared" si="16"/>
        <v>0.1087</v>
      </c>
      <c r="I134" s="252">
        <f t="shared" si="17"/>
        <v>0.11111</v>
      </c>
      <c r="J134" s="252">
        <f t="shared" si="18"/>
        <v>0.11364</v>
      </c>
      <c r="M134" s="216" t="s">
        <v>344</v>
      </c>
      <c r="N134" s="224"/>
      <c r="O134" s="224" t="s">
        <v>334</v>
      </c>
      <c r="P134" s="106">
        <v>970</v>
      </c>
      <c r="Q134" s="106">
        <v>950</v>
      </c>
      <c r="R134" s="106">
        <v>920</v>
      </c>
      <c r="S134" s="106">
        <v>900</v>
      </c>
      <c r="T134" s="106">
        <v>880</v>
      </c>
      <c r="W134" s="117" t="s">
        <v>295</v>
      </c>
    </row>
    <row r="135" spans="2:23" x14ac:dyDescent="0.3">
      <c r="B135" s="214" t="s">
        <v>452</v>
      </c>
      <c r="C135" s="214" t="str">
        <f t="shared" si="33"/>
        <v>TFREHYD901</v>
      </c>
      <c r="D135" s="219"/>
      <c r="E135" s="214" t="str">
        <f t="shared" si="50"/>
        <v>TFRL-C</v>
      </c>
      <c r="F135" s="252">
        <f t="shared" si="20"/>
        <v>0.10309</v>
      </c>
      <c r="G135" s="252">
        <f t="shared" si="15"/>
        <v>0.10526000000000001</v>
      </c>
      <c r="H135" s="252">
        <f t="shared" si="16"/>
        <v>0.1087</v>
      </c>
      <c r="I135" s="252">
        <f t="shared" si="17"/>
        <v>0.11111</v>
      </c>
      <c r="J135" s="252">
        <f t="shared" si="18"/>
        <v>0.11364</v>
      </c>
      <c r="M135" s="216" t="s">
        <v>421</v>
      </c>
      <c r="N135" s="224"/>
      <c r="O135" s="224" t="s">
        <v>479</v>
      </c>
      <c r="P135" s="106">
        <v>970</v>
      </c>
      <c r="Q135" s="106">
        <v>950</v>
      </c>
      <c r="R135" s="106">
        <v>920</v>
      </c>
      <c r="S135" s="106">
        <v>900</v>
      </c>
      <c r="T135" s="106">
        <v>880</v>
      </c>
      <c r="W135" s="117" t="s">
        <v>295</v>
      </c>
    </row>
    <row r="136" spans="2:23" x14ac:dyDescent="0.3">
      <c r="B136" s="214" t="s">
        <v>452</v>
      </c>
      <c r="C136" s="214" t="str">
        <f t="shared" ref="C136:C149" si="51">M136</f>
        <v>TFREHYG101</v>
      </c>
      <c r="D136" s="219"/>
      <c r="E136" s="214" t="str">
        <f t="shared" si="50"/>
        <v>TFRL</v>
      </c>
      <c r="F136" s="252">
        <f t="shared" si="20"/>
        <v>9.3560000000000004E-2</v>
      </c>
      <c r="G136" s="252">
        <f t="shared" ref="G136:G156" si="52">IF(Q136=0, "-", ROUND(10^2/Q136,5))</f>
        <v>9.4960000000000003E-2</v>
      </c>
      <c r="H136" s="252">
        <f t="shared" ref="H136:H156" si="53">IF(R136=0, "-", ROUND(10^2/R136,5))</f>
        <v>9.9080000000000001E-2</v>
      </c>
      <c r="I136" s="252">
        <f t="shared" ref="I136:I156" si="54">IF(S136=0, "-", ROUND(10^2/S136,5))</f>
        <v>0.10152</v>
      </c>
      <c r="J136" s="252">
        <f t="shared" ref="J136:J156" si="55">IF(T136=0, "-", ROUND(10^2/T136,5))</f>
        <v>0.10408000000000001</v>
      </c>
      <c r="M136" s="216" t="s">
        <v>411</v>
      </c>
      <c r="N136" s="224"/>
      <c r="O136" s="224" t="s">
        <v>334</v>
      </c>
      <c r="P136" s="106">
        <v>1068.7962962962963</v>
      </c>
      <c r="Q136" s="106">
        <v>1053.066037735849</v>
      </c>
      <c r="R136" s="106">
        <v>1009.3203883495146</v>
      </c>
      <c r="S136" s="106">
        <v>985.07462686567169</v>
      </c>
      <c r="T136" s="106">
        <v>960.81632653061229</v>
      </c>
      <c r="W136" s="117" t="s">
        <v>553</v>
      </c>
    </row>
    <row r="137" spans="2:23" x14ac:dyDescent="0.3">
      <c r="B137" s="214" t="s">
        <v>452</v>
      </c>
      <c r="C137" s="214" t="str">
        <f t="shared" si="51"/>
        <v>TFREHYG901</v>
      </c>
      <c r="D137" s="219"/>
      <c r="E137" s="214" t="str">
        <f t="shared" si="50"/>
        <v>TFRL-C</v>
      </c>
      <c r="F137" s="252">
        <f t="shared" si="20"/>
        <v>9.3560000000000004E-2</v>
      </c>
      <c r="G137" s="252">
        <f t="shared" si="52"/>
        <v>9.4960000000000003E-2</v>
      </c>
      <c r="H137" s="252">
        <f t="shared" si="53"/>
        <v>9.9080000000000001E-2</v>
      </c>
      <c r="I137" s="252">
        <f t="shared" si="54"/>
        <v>0.10152</v>
      </c>
      <c r="J137" s="252">
        <f t="shared" si="55"/>
        <v>0.10408000000000001</v>
      </c>
      <c r="M137" s="216" t="s">
        <v>422</v>
      </c>
      <c r="N137" s="224"/>
      <c r="O137" s="224" t="s">
        <v>479</v>
      </c>
      <c r="P137" s="106">
        <v>1068.7962962962963</v>
      </c>
      <c r="Q137" s="106">
        <v>1053.066037735849</v>
      </c>
      <c r="R137" s="106">
        <v>1009.3203883495146</v>
      </c>
      <c r="S137" s="106">
        <v>985.07462686567169</v>
      </c>
      <c r="T137" s="106">
        <v>960.81632653061229</v>
      </c>
      <c r="W137" s="117" t="s">
        <v>553</v>
      </c>
    </row>
    <row r="138" spans="2:23" x14ac:dyDescent="0.3">
      <c r="B138" s="214" t="s">
        <v>452</v>
      </c>
      <c r="C138" s="214" t="str">
        <f t="shared" si="51"/>
        <v>TFRELPG101</v>
      </c>
      <c r="D138" s="219"/>
      <c r="E138" s="214" t="str">
        <f t="shared" si="50"/>
        <v>TFRL</v>
      </c>
      <c r="F138" s="252">
        <f t="shared" si="20"/>
        <v>8.4029999999999994E-2</v>
      </c>
      <c r="G138" s="252">
        <f t="shared" si="52"/>
        <v>8.5110000000000005E-2</v>
      </c>
      <c r="H138" s="252">
        <f t="shared" si="53"/>
        <v>8.8499999999999995E-2</v>
      </c>
      <c r="I138" s="252">
        <f t="shared" si="54"/>
        <v>9.0910000000000005E-2</v>
      </c>
      <c r="J138" s="252">
        <f t="shared" si="55"/>
        <v>9.3460000000000001E-2</v>
      </c>
      <c r="M138" s="216" t="s">
        <v>412</v>
      </c>
      <c r="N138" s="224"/>
      <c r="O138" s="224" t="s">
        <v>334</v>
      </c>
      <c r="P138" s="106">
        <v>1190</v>
      </c>
      <c r="Q138" s="106">
        <v>1175</v>
      </c>
      <c r="R138" s="106">
        <v>1130</v>
      </c>
      <c r="S138" s="106">
        <v>1100</v>
      </c>
      <c r="T138" s="106">
        <v>1070</v>
      </c>
      <c r="W138" s="117" t="s">
        <v>642</v>
      </c>
    </row>
    <row r="139" spans="2:23" x14ac:dyDescent="0.3">
      <c r="B139" s="214" t="s">
        <v>452</v>
      </c>
      <c r="C139" s="214" t="str">
        <f t="shared" si="51"/>
        <v>TFRELPG901</v>
      </c>
      <c r="D139" s="219"/>
      <c r="E139" s="214" t="str">
        <f t="shared" si="50"/>
        <v>TFRL-C</v>
      </c>
      <c r="F139" s="252">
        <f t="shared" si="20"/>
        <v>8.4029999999999994E-2</v>
      </c>
      <c r="G139" s="252">
        <f t="shared" si="52"/>
        <v>8.5110000000000005E-2</v>
      </c>
      <c r="H139" s="252">
        <f t="shared" si="53"/>
        <v>8.8499999999999995E-2</v>
      </c>
      <c r="I139" s="252">
        <f t="shared" si="54"/>
        <v>9.0910000000000005E-2</v>
      </c>
      <c r="J139" s="252">
        <f t="shared" si="55"/>
        <v>9.3460000000000001E-2</v>
      </c>
      <c r="M139" s="216" t="s">
        <v>423</v>
      </c>
      <c r="N139" s="224"/>
      <c r="O139" s="224" t="s">
        <v>479</v>
      </c>
      <c r="P139" s="106">
        <v>1190</v>
      </c>
      <c r="Q139" s="106">
        <v>1175</v>
      </c>
      <c r="R139" s="106">
        <v>1130</v>
      </c>
      <c r="S139" s="106">
        <v>1100</v>
      </c>
      <c r="T139" s="106">
        <v>1070</v>
      </c>
      <c r="W139" s="117" t="s">
        <v>642</v>
      </c>
    </row>
    <row r="140" spans="2:23" x14ac:dyDescent="0.3">
      <c r="B140" s="214" t="s">
        <v>452</v>
      </c>
      <c r="C140" s="214" t="str">
        <f t="shared" si="51"/>
        <v>TFREMTH101</v>
      </c>
      <c r="D140" s="219"/>
      <c r="E140" s="214" t="str">
        <f t="shared" si="50"/>
        <v>TFRL</v>
      </c>
      <c r="F140" s="252">
        <f t="shared" si="20"/>
        <v>8.4029999999999994E-2</v>
      </c>
      <c r="G140" s="252">
        <f t="shared" si="52"/>
        <v>8.5110000000000005E-2</v>
      </c>
      <c r="H140" s="252">
        <f t="shared" si="53"/>
        <v>8.8499999999999995E-2</v>
      </c>
      <c r="I140" s="252">
        <f t="shared" si="54"/>
        <v>9.0910000000000005E-2</v>
      </c>
      <c r="J140" s="252">
        <f t="shared" si="55"/>
        <v>9.3460000000000001E-2</v>
      </c>
      <c r="M140" s="216" t="s">
        <v>590</v>
      </c>
      <c r="N140" s="224"/>
      <c r="O140" s="224" t="s">
        <v>334</v>
      </c>
      <c r="P140" s="106">
        <v>1190</v>
      </c>
      <c r="Q140" s="106">
        <v>1175</v>
      </c>
      <c r="R140" s="106">
        <v>1130</v>
      </c>
      <c r="S140" s="106">
        <v>1100</v>
      </c>
      <c r="T140" s="106">
        <v>1070</v>
      </c>
      <c r="W140" s="117"/>
    </row>
    <row r="141" spans="2:23" x14ac:dyDescent="0.3">
      <c r="B141" s="214" t="s">
        <v>452</v>
      </c>
      <c r="C141" s="214" t="str">
        <f t="shared" si="51"/>
        <v>TFREMTH901</v>
      </c>
      <c r="D141" s="219"/>
      <c r="E141" s="214" t="str">
        <f t="shared" si="50"/>
        <v>TFRL-C</v>
      </c>
      <c r="F141" s="252">
        <f t="shared" si="20"/>
        <v>8.4029999999999994E-2</v>
      </c>
      <c r="G141" s="252">
        <f t="shared" si="52"/>
        <v>8.5110000000000005E-2</v>
      </c>
      <c r="H141" s="252">
        <f t="shared" si="53"/>
        <v>8.8499999999999995E-2</v>
      </c>
      <c r="I141" s="252">
        <f t="shared" si="54"/>
        <v>9.0910000000000005E-2</v>
      </c>
      <c r="J141" s="252">
        <f t="shared" si="55"/>
        <v>9.3460000000000001E-2</v>
      </c>
      <c r="M141" s="216" t="s">
        <v>591</v>
      </c>
      <c r="N141" s="224"/>
      <c r="O141" s="224" t="s">
        <v>479</v>
      </c>
      <c r="P141" s="106">
        <v>1190</v>
      </c>
      <c r="Q141" s="106">
        <v>1175</v>
      </c>
      <c r="R141" s="106">
        <v>1130</v>
      </c>
      <c r="S141" s="106">
        <v>1100</v>
      </c>
      <c r="T141" s="106">
        <v>1070</v>
      </c>
      <c r="W141" s="117"/>
    </row>
    <row r="142" spans="2:23" x14ac:dyDescent="0.3">
      <c r="B142" s="214" t="s">
        <v>452</v>
      </c>
      <c r="C142" s="214" t="str">
        <f t="shared" si="51"/>
        <v>TFREPYD101</v>
      </c>
      <c r="D142" s="219"/>
      <c r="E142" s="214" t="str">
        <f t="shared" si="50"/>
        <v>TFRL</v>
      </c>
      <c r="F142" s="252">
        <f t="shared" si="20"/>
        <v>9.2590000000000006E-2</v>
      </c>
      <c r="G142" s="252">
        <f t="shared" si="52"/>
        <v>9.4339999999999993E-2</v>
      </c>
      <c r="H142" s="252">
        <f t="shared" si="53"/>
        <v>9.7089999999999996E-2</v>
      </c>
      <c r="I142" s="252">
        <f t="shared" si="54"/>
        <v>9.9500000000000005E-2</v>
      </c>
      <c r="J142" s="252">
        <f t="shared" si="55"/>
        <v>0.10204000000000001</v>
      </c>
      <c r="M142" s="216" t="s">
        <v>413</v>
      </c>
      <c r="N142" s="224"/>
      <c r="O142" s="224" t="s">
        <v>334</v>
      </c>
      <c r="P142" s="106">
        <v>1080</v>
      </c>
      <c r="Q142" s="106">
        <v>1060</v>
      </c>
      <c r="R142" s="106">
        <v>1030</v>
      </c>
      <c r="S142" s="106">
        <v>1005</v>
      </c>
      <c r="T142" s="106">
        <v>980</v>
      </c>
      <c r="W142" s="117" t="s">
        <v>456</v>
      </c>
    </row>
    <row r="143" spans="2:23" x14ac:dyDescent="0.3">
      <c r="B143" s="214" t="s">
        <v>452</v>
      </c>
      <c r="C143" s="214" t="str">
        <f t="shared" si="51"/>
        <v>TFREPYD901</v>
      </c>
      <c r="D143" s="219"/>
      <c r="E143" s="214" t="str">
        <f t="shared" si="50"/>
        <v>TFRL-C</v>
      </c>
      <c r="F143" s="252">
        <f t="shared" si="20"/>
        <v>9.2590000000000006E-2</v>
      </c>
      <c r="G143" s="252">
        <f t="shared" si="52"/>
        <v>9.4339999999999993E-2</v>
      </c>
      <c r="H143" s="252">
        <f t="shared" si="53"/>
        <v>9.7089999999999996E-2</v>
      </c>
      <c r="I143" s="252">
        <f t="shared" si="54"/>
        <v>9.9500000000000005E-2</v>
      </c>
      <c r="J143" s="252">
        <f t="shared" si="55"/>
        <v>0.10204000000000001</v>
      </c>
      <c r="M143" s="216" t="s">
        <v>425</v>
      </c>
      <c r="N143" s="224"/>
      <c r="O143" s="224" t="s">
        <v>479</v>
      </c>
      <c r="P143" s="106">
        <v>1080</v>
      </c>
      <c r="Q143" s="106">
        <v>1060</v>
      </c>
      <c r="R143" s="106">
        <v>1030</v>
      </c>
      <c r="S143" s="106">
        <v>1005</v>
      </c>
      <c r="T143" s="106">
        <v>980</v>
      </c>
      <c r="W143" s="117" t="s">
        <v>456</v>
      </c>
    </row>
    <row r="144" spans="2:23" x14ac:dyDescent="0.3">
      <c r="B144" s="214" t="s">
        <v>452</v>
      </c>
      <c r="C144" s="214" t="str">
        <f t="shared" si="51"/>
        <v>TFREPYG101</v>
      </c>
      <c r="D144" s="219"/>
      <c r="E144" s="214" t="str">
        <f t="shared" si="50"/>
        <v>TFRL</v>
      </c>
      <c r="F144" s="252">
        <f t="shared" si="20"/>
        <v>8.4029999999999994E-2</v>
      </c>
      <c r="G144" s="252">
        <f t="shared" si="52"/>
        <v>8.5110000000000005E-2</v>
      </c>
      <c r="H144" s="252">
        <f t="shared" si="53"/>
        <v>8.8499999999999995E-2</v>
      </c>
      <c r="I144" s="252">
        <f t="shared" si="54"/>
        <v>9.0910000000000005E-2</v>
      </c>
      <c r="J144" s="252">
        <f t="shared" si="55"/>
        <v>9.3460000000000001E-2</v>
      </c>
      <c r="M144" s="216" t="s">
        <v>414</v>
      </c>
      <c r="N144" s="224"/>
      <c r="O144" s="224" t="s">
        <v>334</v>
      </c>
      <c r="P144" s="106">
        <v>1190</v>
      </c>
      <c r="Q144" s="106">
        <v>1175</v>
      </c>
      <c r="R144" s="106">
        <v>1130</v>
      </c>
      <c r="S144" s="106">
        <v>1100</v>
      </c>
      <c r="T144" s="106">
        <v>1070</v>
      </c>
      <c r="W144" s="117" t="s">
        <v>457</v>
      </c>
    </row>
    <row r="145" spans="2:23" x14ac:dyDescent="0.3">
      <c r="B145" s="217" t="s">
        <v>452</v>
      </c>
      <c r="C145" s="217" t="str">
        <f t="shared" si="51"/>
        <v>TFREPYG901</v>
      </c>
      <c r="D145" s="220"/>
      <c r="E145" s="217" t="str">
        <f t="shared" si="50"/>
        <v>TFRL-C</v>
      </c>
      <c r="F145" s="254">
        <f t="shared" si="20"/>
        <v>8.4029999999999994E-2</v>
      </c>
      <c r="G145" s="254">
        <f t="shared" si="52"/>
        <v>8.5110000000000005E-2</v>
      </c>
      <c r="H145" s="254">
        <f t="shared" si="53"/>
        <v>8.8499999999999995E-2</v>
      </c>
      <c r="I145" s="254">
        <f t="shared" si="54"/>
        <v>9.0910000000000005E-2</v>
      </c>
      <c r="J145" s="254">
        <f t="shared" si="55"/>
        <v>9.3460000000000001E-2</v>
      </c>
      <c r="M145" s="221" t="s">
        <v>426</v>
      </c>
      <c r="N145" s="225"/>
      <c r="O145" s="225" t="s">
        <v>479</v>
      </c>
      <c r="P145" s="111">
        <v>1190</v>
      </c>
      <c r="Q145" s="111">
        <v>1175</v>
      </c>
      <c r="R145" s="111">
        <v>1130</v>
      </c>
      <c r="S145" s="111">
        <v>1100</v>
      </c>
      <c r="T145" s="111">
        <v>1070</v>
      </c>
      <c r="W145" s="145" t="s">
        <v>457</v>
      </c>
    </row>
    <row r="146" spans="2:23" x14ac:dyDescent="0.3">
      <c r="B146" s="214" t="s">
        <v>453</v>
      </c>
      <c r="C146" s="214" t="str">
        <f t="shared" si="51"/>
        <v>TNA101</v>
      </c>
      <c r="D146" s="219"/>
      <c r="E146" s="214" t="str">
        <f t="shared" si="50"/>
        <v>TNA, TNA-C</v>
      </c>
      <c r="F146" s="292">
        <f t="shared" si="20"/>
        <v>1.7000000000000001E-4</v>
      </c>
      <c r="G146" s="292">
        <f t="shared" si="52"/>
        <v>1.7000000000000001E-4</v>
      </c>
      <c r="H146" s="292">
        <f t="shared" si="53"/>
        <v>1.7000000000000001E-4</v>
      </c>
      <c r="I146" s="292">
        <f t="shared" si="54"/>
        <v>1.7000000000000001E-4</v>
      </c>
      <c r="J146" s="292">
        <f t="shared" si="55"/>
        <v>1.7000000000000001E-4</v>
      </c>
      <c r="M146" s="216" t="s">
        <v>270</v>
      </c>
      <c r="N146" s="216"/>
      <c r="O146" s="216" t="s">
        <v>483</v>
      </c>
      <c r="P146" s="113">
        <v>600000</v>
      </c>
      <c r="Q146" s="113">
        <v>600000</v>
      </c>
      <c r="R146" s="113">
        <v>600000</v>
      </c>
      <c r="S146" s="113">
        <v>600000</v>
      </c>
      <c r="T146" s="113">
        <v>600000</v>
      </c>
      <c r="W146" s="135" t="s">
        <v>643</v>
      </c>
    </row>
    <row r="147" spans="2:23" x14ac:dyDescent="0.3">
      <c r="B147" s="214" t="s">
        <v>453</v>
      </c>
      <c r="C147" s="214" t="str">
        <f t="shared" si="51"/>
        <v>TNB101</v>
      </c>
      <c r="D147" s="219"/>
      <c r="E147" s="214" t="str">
        <f t="shared" si="50"/>
        <v>TNB, TNB-C</v>
      </c>
      <c r="F147" s="292">
        <f t="shared" si="20"/>
        <v>1.7000000000000001E-4</v>
      </c>
      <c r="G147" s="292">
        <f t="shared" si="52"/>
        <v>1.7000000000000001E-4</v>
      </c>
      <c r="H147" s="292">
        <f t="shared" si="53"/>
        <v>1.7000000000000001E-4</v>
      </c>
      <c r="I147" s="292">
        <f t="shared" si="54"/>
        <v>1.7000000000000001E-4</v>
      </c>
      <c r="J147" s="292">
        <f t="shared" si="55"/>
        <v>1.7000000000000001E-4</v>
      </c>
      <c r="M147" s="216" t="s">
        <v>187</v>
      </c>
      <c r="N147" s="224"/>
      <c r="O147" s="224" t="s">
        <v>484</v>
      </c>
      <c r="P147" s="113">
        <v>600000</v>
      </c>
      <c r="Q147" s="113">
        <v>600000</v>
      </c>
      <c r="R147" s="113">
        <v>600000</v>
      </c>
      <c r="S147" s="113">
        <v>600000</v>
      </c>
      <c r="T147" s="113">
        <v>600000</v>
      </c>
      <c r="W147" s="135" t="s">
        <v>643</v>
      </c>
    </row>
    <row r="148" spans="2:23" x14ac:dyDescent="0.3">
      <c r="B148" s="214" t="s">
        <v>453</v>
      </c>
      <c r="C148" s="214" t="str">
        <f t="shared" si="51"/>
        <v>TNB201</v>
      </c>
      <c r="D148" s="219"/>
      <c r="E148" s="214" t="str">
        <f t="shared" si="50"/>
        <v>TNB, TNB-C</v>
      </c>
      <c r="F148" s="292">
        <f t="shared" ref="F148:F149" si="56">IF(P148=0, "-", ROUND(10^2/P148,5))</f>
        <v>1.7000000000000001E-4</v>
      </c>
      <c r="G148" s="292">
        <f t="shared" ref="G148:G149" si="57">IF(Q148=0, "-", ROUND(10^2/Q148,5))</f>
        <v>1.7000000000000001E-4</v>
      </c>
      <c r="H148" s="292">
        <f t="shared" ref="H148:H149" si="58">IF(R148=0, "-", ROUND(10^2/R148,5))</f>
        <v>1.7000000000000001E-4</v>
      </c>
      <c r="I148" s="292">
        <f t="shared" ref="I148:I149" si="59">IF(S148=0, "-", ROUND(10^2/S148,5))</f>
        <v>1.7000000000000001E-4</v>
      </c>
      <c r="J148" s="292">
        <f t="shared" ref="J148:J149" si="60">IF(T148=0, "-", ROUND(10^2/T148,5))</f>
        <v>1.7000000000000001E-4</v>
      </c>
      <c r="M148" s="216" t="s">
        <v>678</v>
      </c>
      <c r="N148" s="224"/>
      <c r="O148" s="224" t="s">
        <v>484</v>
      </c>
      <c r="P148" s="113">
        <v>600000</v>
      </c>
      <c r="Q148" s="113">
        <v>600000</v>
      </c>
      <c r="R148" s="113">
        <v>600000</v>
      </c>
      <c r="S148" s="113">
        <v>600000</v>
      </c>
      <c r="T148" s="113">
        <v>600000</v>
      </c>
      <c r="W148" s="135"/>
    </row>
    <row r="149" spans="2:23" x14ac:dyDescent="0.3">
      <c r="B149" s="217" t="s">
        <v>453</v>
      </c>
      <c r="C149" s="217" t="str">
        <f t="shared" si="51"/>
        <v>TNB301</v>
      </c>
      <c r="D149" s="220"/>
      <c r="E149" s="217" t="str">
        <f t="shared" si="50"/>
        <v>TNB, TNB-C</v>
      </c>
      <c r="F149" s="293">
        <f t="shared" si="56"/>
        <v>1.7000000000000001E-4</v>
      </c>
      <c r="G149" s="293">
        <f t="shared" si="57"/>
        <v>1.7000000000000001E-4</v>
      </c>
      <c r="H149" s="293">
        <f t="shared" si="58"/>
        <v>1.7000000000000001E-4</v>
      </c>
      <c r="I149" s="293">
        <f t="shared" si="59"/>
        <v>1.7000000000000001E-4</v>
      </c>
      <c r="J149" s="293">
        <f t="shared" si="60"/>
        <v>1.7000000000000001E-4</v>
      </c>
      <c r="M149" s="221" t="s">
        <v>680</v>
      </c>
      <c r="N149" s="225"/>
      <c r="O149" s="225" t="s">
        <v>484</v>
      </c>
      <c r="P149" s="198">
        <v>600000</v>
      </c>
      <c r="Q149" s="198">
        <v>600000</v>
      </c>
      <c r="R149" s="198">
        <v>600000</v>
      </c>
      <c r="S149" s="198">
        <v>600000</v>
      </c>
      <c r="T149" s="198">
        <v>600000</v>
      </c>
      <c r="W149" s="135"/>
    </row>
    <row r="150" spans="2:23" x14ac:dyDescent="0.3">
      <c r="B150" s="214" t="s">
        <v>449</v>
      </c>
      <c r="C150" s="214" t="str">
        <f t="shared" ref="C150:C156" si="61">M150</f>
        <v>TTFLDST100</v>
      </c>
      <c r="D150" s="219"/>
      <c r="E150" s="214" t="str">
        <f t="shared" ref="E150:E156" si="62">O150</f>
        <v>TTF</v>
      </c>
      <c r="F150" s="252">
        <f t="shared" si="20"/>
        <v>5.2500000000000003E-3</v>
      </c>
      <c r="G150" s="252">
        <f t="shared" si="52"/>
        <v>5.2500000000000003E-3</v>
      </c>
      <c r="H150" s="252">
        <f t="shared" si="53"/>
        <v>5.2500000000000003E-3</v>
      </c>
      <c r="I150" s="252">
        <f t="shared" si="54"/>
        <v>5.2500000000000003E-3</v>
      </c>
      <c r="J150" s="252">
        <f t="shared" si="55"/>
        <v>5.2500000000000003E-3</v>
      </c>
      <c r="M150" s="216" t="s">
        <v>311</v>
      </c>
      <c r="N150" s="216"/>
      <c r="O150" s="216" t="s">
        <v>175</v>
      </c>
      <c r="P150" s="106">
        <v>19047.507701473412</v>
      </c>
      <c r="Q150" s="106">
        <v>19047.507701473412</v>
      </c>
      <c r="R150" s="106">
        <v>19047.507701473412</v>
      </c>
      <c r="S150" s="106">
        <v>19047.507701473412</v>
      </c>
      <c r="T150" s="106">
        <v>19047.507701473412</v>
      </c>
      <c r="W150" s="117"/>
    </row>
    <row r="151" spans="2:23" x14ac:dyDescent="0.3">
      <c r="B151" s="214" t="s">
        <v>449</v>
      </c>
      <c r="C151" s="214" t="str">
        <f t="shared" si="61"/>
        <v>TTFLELC100</v>
      </c>
      <c r="D151" s="219"/>
      <c r="E151" s="214" t="str">
        <f t="shared" si="62"/>
        <v>TTF</v>
      </c>
      <c r="F151" s="252">
        <f t="shared" si="20"/>
        <v>1.1350000000000001E-2</v>
      </c>
      <c r="G151" s="252">
        <f t="shared" si="52"/>
        <v>1.1350000000000001E-2</v>
      </c>
      <c r="H151" s="252">
        <f t="shared" si="53"/>
        <v>1.1350000000000001E-2</v>
      </c>
      <c r="I151" s="252">
        <f t="shared" si="54"/>
        <v>1.1350000000000001E-2</v>
      </c>
      <c r="J151" s="252">
        <f t="shared" si="55"/>
        <v>1.1350000000000001E-2</v>
      </c>
      <c r="M151" s="216" t="s">
        <v>312</v>
      </c>
      <c r="N151" s="216"/>
      <c r="O151" s="216" t="s">
        <v>175</v>
      </c>
      <c r="P151" s="106">
        <v>8806.7745601407314</v>
      </c>
      <c r="Q151" s="106">
        <v>8806.7745601407314</v>
      </c>
      <c r="R151" s="106">
        <v>8806.7745601407314</v>
      </c>
      <c r="S151" s="106">
        <v>8806.7745601407314</v>
      </c>
      <c r="T151" s="106">
        <v>8806.7745601407314</v>
      </c>
      <c r="W151" s="117"/>
    </row>
    <row r="152" spans="2:23" x14ac:dyDescent="0.3">
      <c r="B152" s="214" t="s">
        <v>449</v>
      </c>
      <c r="C152" s="214" t="str">
        <f t="shared" si="61"/>
        <v>TTPHELC100</v>
      </c>
      <c r="D152" s="219"/>
      <c r="E152" s="214" t="str">
        <f t="shared" si="62"/>
        <v>TTP</v>
      </c>
      <c r="F152" s="252">
        <f t="shared" si="20"/>
        <v>2.0889999999999999E-2</v>
      </c>
      <c r="G152" s="252">
        <f t="shared" si="52"/>
        <v>2.0889999999999999E-2</v>
      </c>
      <c r="H152" s="252">
        <f t="shared" si="53"/>
        <v>2.0889999999999999E-2</v>
      </c>
      <c r="I152" s="252">
        <f t="shared" si="54"/>
        <v>2.0889999999999999E-2</v>
      </c>
      <c r="J152" s="252">
        <f t="shared" si="55"/>
        <v>2.0889999999999999E-2</v>
      </c>
      <c r="M152" s="216" t="s">
        <v>308</v>
      </c>
      <c r="N152" s="216"/>
      <c r="O152" s="216" t="s">
        <v>117</v>
      </c>
      <c r="P152" s="106">
        <v>4786.2637868171787</v>
      </c>
      <c r="Q152" s="106">
        <v>4786.2637868171787</v>
      </c>
      <c r="R152" s="106">
        <v>4786.2637868171787</v>
      </c>
      <c r="S152" s="106">
        <v>4786.2637868171787</v>
      </c>
      <c r="T152" s="106">
        <v>4786.2637868171787</v>
      </c>
      <c r="W152" s="117"/>
    </row>
    <row r="153" spans="2:23" x14ac:dyDescent="0.3">
      <c r="B153" s="214" t="s">
        <v>449</v>
      </c>
      <c r="C153" s="214" t="str">
        <f t="shared" si="61"/>
        <v>TTPLDST100</v>
      </c>
      <c r="D153" s="219"/>
      <c r="E153" s="214" t="str">
        <f t="shared" si="62"/>
        <v>TTP</v>
      </c>
      <c r="F153" s="252">
        <f t="shared" si="20"/>
        <v>2.76E-2</v>
      </c>
      <c r="G153" s="252">
        <f t="shared" si="52"/>
        <v>2.76E-2</v>
      </c>
      <c r="H153" s="252">
        <f t="shared" si="53"/>
        <v>2.76E-2</v>
      </c>
      <c r="I153" s="252">
        <f t="shared" si="54"/>
        <v>2.76E-2</v>
      </c>
      <c r="J153" s="252">
        <f t="shared" si="55"/>
        <v>2.76E-2</v>
      </c>
      <c r="M153" s="216" t="s">
        <v>309</v>
      </c>
      <c r="N153" s="216"/>
      <c r="O153" s="216" t="s">
        <v>117</v>
      </c>
      <c r="P153" s="106">
        <v>3622.881513776686</v>
      </c>
      <c r="Q153" s="106">
        <v>3622.881513776686</v>
      </c>
      <c r="R153" s="106">
        <v>3622.881513776686</v>
      </c>
      <c r="S153" s="106">
        <v>3622.881513776686</v>
      </c>
      <c r="T153" s="106">
        <v>3622.881513776686</v>
      </c>
      <c r="W153" s="117"/>
    </row>
    <row r="154" spans="2:23" x14ac:dyDescent="0.3">
      <c r="B154" s="214" t="s">
        <v>449</v>
      </c>
      <c r="C154" s="214" t="str">
        <f t="shared" si="61"/>
        <v>TTPLELC100</v>
      </c>
      <c r="D154" s="219"/>
      <c r="E154" s="214" t="str">
        <f t="shared" si="62"/>
        <v>TTP</v>
      </c>
      <c r="F154" s="252">
        <f t="shared" si="20"/>
        <v>2.0889999999999999E-2</v>
      </c>
      <c r="G154" s="252">
        <f t="shared" si="52"/>
        <v>2.0889999999999999E-2</v>
      </c>
      <c r="H154" s="252">
        <f t="shared" si="53"/>
        <v>2.0889999999999999E-2</v>
      </c>
      <c r="I154" s="252">
        <f t="shared" si="54"/>
        <v>2.0889999999999999E-2</v>
      </c>
      <c r="J154" s="252">
        <f t="shared" si="55"/>
        <v>2.0889999999999999E-2</v>
      </c>
      <c r="M154" s="216" t="s">
        <v>307</v>
      </c>
      <c r="N154" s="216"/>
      <c r="O154" s="216" t="s">
        <v>117</v>
      </c>
      <c r="P154" s="106">
        <v>4786.2637868171787</v>
      </c>
      <c r="Q154" s="106">
        <v>4786.2637868171787</v>
      </c>
      <c r="R154" s="106">
        <v>4786.2637868171787</v>
      </c>
      <c r="S154" s="106">
        <v>4786.2637868171787</v>
      </c>
      <c r="T154" s="106">
        <v>4786.2637868171787</v>
      </c>
      <c r="W154" s="117"/>
    </row>
    <row r="155" spans="2:23" x14ac:dyDescent="0.3">
      <c r="B155" s="214" t="s">
        <v>449</v>
      </c>
      <c r="C155" s="214" t="str">
        <f t="shared" si="61"/>
        <v>TTPRDST100</v>
      </c>
      <c r="D155" s="219"/>
      <c r="E155" s="214" t="str">
        <f t="shared" si="62"/>
        <v>TTP</v>
      </c>
      <c r="F155" s="252">
        <f t="shared" ref="F155:F156" si="63">IF(P155=0, "-", ROUND(10^2/P155,5))</f>
        <v>2.76E-2</v>
      </c>
      <c r="G155" s="252">
        <f t="shared" si="52"/>
        <v>2.76E-2</v>
      </c>
      <c r="H155" s="252">
        <f t="shared" si="53"/>
        <v>2.76E-2</v>
      </c>
      <c r="I155" s="252">
        <f t="shared" si="54"/>
        <v>2.76E-2</v>
      </c>
      <c r="J155" s="252">
        <f t="shared" si="55"/>
        <v>2.76E-2</v>
      </c>
      <c r="M155" s="216" t="s">
        <v>310</v>
      </c>
      <c r="N155" s="216"/>
      <c r="O155" s="216" t="s">
        <v>117</v>
      </c>
      <c r="P155" s="106">
        <v>3622.881513776686</v>
      </c>
      <c r="Q155" s="106">
        <v>3622.881513776686</v>
      </c>
      <c r="R155" s="106">
        <v>3622.881513776686</v>
      </c>
      <c r="S155" s="106">
        <v>3622.881513776686</v>
      </c>
      <c r="T155" s="106">
        <v>3622.881513776686</v>
      </c>
      <c r="W155" s="117"/>
    </row>
    <row r="156" spans="2:23" x14ac:dyDescent="0.3">
      <c r="B156" s="214" t="s">
        <v>449</v>
      </c>
      <c r="C156" s="214" t="str">
        <f t="shared" si="61"/>
        <v>TTPRELC100</v>
      </c>
      <c r="D156" s="219"/>
      <c r="E156" s="214" t="str">
        <f t="shared" si="62"/>
        <v>TTP</v>
      </c>
      <c r="F156" s="252">
        <f t="shared" si="63"/>
        <v>2.0889999999999999E-2</v>
      </c>
      <c r="G156" s="252">
        <f t="shared" si="52"/>
        <v>2.0889999999999999E-2</v>
      </c>
      <c r="H156" s="252">
        <f t="shared" si="53"/>
        <v>2.0889999999999999E-2</v>
      </c>
      <c r="I156" s="252">
        <f t="shared" si="54"/>
        <v>2.0889999999999999E-2</v>
      </c>
      <c r="J156" s="252">
        <f t="shared" si="55"/>
        <v>2.0889999999999999E-2</v>
      </c>
      <c r="M156" s="216" t="s">
        <v>306</v>
      </c>
      <c r="N156" s="216"/>
      <c r="O156" s="216" t="s">
        <v>117</v>
      </c>
      <c r="P156" s="106">
        <v>4786.2637868171787</v>
      </c>
      <c r="Q156" s="106">
        <v>4786.2637868171787</v>
      </c>
      <c r="R156" s="106">
        <v>4786.2637868171787</v>
      </c>
      <c r="S156" s="106">
        <v>4786.2637868171787</v>
      </c>
      <c r="T156" s="106">
        <v>4786.2637868171787</v>
      </c>
      <c r="W156" s="117"/>
    </row>
    <row r="157" spans="2:23" x14ac:dyDescent="0.3">
      <c r="C157" s="95"/>
      <c r="D157" s="95"/>
      <c r="E157" s="95"/>
      <c r="F157" s="95"/>
      <c r="G157" s="92"/>
      <c r="H157" s="92"/>
      <c r="I157" s="92"/>
      <c r="J157" s="92"/>
      <c r="K157" s="92"/>
      <c r="M157" s="95"/>
      <c r="N157" s="90"/>
      <c r="O157" s="95"/>
      <c r="P157" s="95"/>
      <c r="Q157" s="92"/>
      <c r="R157" s="92"/>
      <c r="S157" s="92"/>
      <c r="T157" s="92"/>
      <c r="U157" s="92"/>
      <c r="W157" s="117"/>
    </row>
    <row r="158" spans="2:23" x14ac:dyDescent="0.3">
      <c r="B158" s="87" t="s">
        <v>301</v>
      </c>
      <c r="C158" s="88"/>
      <c r="D158" s="88"/>
      <c r="E158" s="88"/>
      <c r="F158" s="88"/>
      <c r="G158" s="89"/>
      <c r="H158" s="88"/>
      <c r="M158" s="87" t="s">
        <v>550</v>
      </c>
      <c r="N158" s="88"/>
      <c r="O158" s="88"/>
    </row>
    <row r="159" spans="2:23" x14ac:dyDescent="0.3">
      <c r="B159" s="214" t="s">
        <v>653</v>
      </c>
      <c r="C159" s="90"/>
      <c r="D159" s="90"/>
      <c r="E159" s="90"/>
      <c r="F159" s="90"/>
      <c r="G159" s="91"/>
      <c r="H159" s="92"/>
      <c r="I159" s="92"/>
      <c r="J159" s="92"/>
      <c r="M159" s="216" t="s">
        <v>293</v>
      </c>
      <c r="N159" s="90"/>
      <c r="O159" s="90"/>
    </row>
    <row r="160" spans="2:23" x14ac:dyDescent="0.3">
      <c r="B160" s="93" t="s">
        <v>552</v>
      </c>
      <c r="M160" s="93" t="s">
        <v>492</v>
      </c>
    </row>
    <row r="161" spans="2:23" x14ac:dyDescent="0.3">
      <c r="B161" s="103" t="s">
        <v>443</v>
      </c>
      <c r="C161" s="103" t="s">
        <v>2</v>
      </c>
      <c r="D161" s="103" t="s">
        <v>4</v>
      </c>
      <c r="E161" s="103" t="s">
        <v>6</v>
      </c>
      <c r="F161" s="104">
        <v>2018</v>
      </c>
      <c r="G161" s="104">
        <v>2020</v>
      </c>
      <c r="H161" s="104">
        <v>2030</v>
      </c>
      <c r="I161" s="104">
        <v>2040</v>
      </c>
      <c r="J161" s="104">
        <v>2050</v>
      </c>
      <c r="M161" s="103" t="s">
        <v>2</v>
      </c>
      <c r="N161" s="103" t="s">
        <v>4</v>
      </c>
      <c r="O161" s="103" t="s">
        <v>6</v>
      </c>
      <c r="P161" s="104">
        <v>2018</v>
      </c>
      <c r="Q161" s="104">
        <v>2020</v>
      </c>
      <c r="R161" s="104">
        <v>2030</v>
      </c>
      <c r="S161" s="104">
        <v>2040</v>
      </c>
      <c r="T161" s="104">
        <v>2050</v>
      </c>
      <c r="W161" s="103" t="s">
        <v>555</v>
      </c>
    </row>
    <row r="162" spans="2:23" x14ac:dyDescent="0.3">
      <c r="B162" s="94"/>
      <c r="C162" s="94"/>
      <c r="D162" s="94"/>
      <c r="E162" s="94"/>
      <c r="F162" s="94"/>
      <c r="G162" s="94"/>
      <c r="H162" s="94"/>
      <c r="I162" s="94"/>
      <c r="J162" s="94"/>
      <c r="M162" s="94"/>
      <c r="N162" s="94"/>
      <c r="O162" s="94"/>
      <c r="P162" s="94"/>
      <c r="Q162" s="94"/>
      <c r="R162" s="94"/>
      <c r="S162" s="94"/>
      <c r="T162" s="94"/>
      <c r="W162" s="103"/>
    </row>
    <row r="163" spans="2:23" x14ac:dyDescent="0.3">
      <c r="B163" s="214" t="s">
        <v>445</v>
      </c>
      <c r="C163" s="214" t="str">
        <f t="shared" ref="C163:C193" si="64">M163</f>
        <v>TBUSBDL101</v>
      </c>
      <c r="D163" s="219"/>
      <c r="E163" s="214" t="str">
        <f t="shared" ref="E163:E193" si="65">O163</f>
        <v>TBU, TBU-C</v>
      </c>
      <c r="F163" s="252">
        <f t="shared" ref="F163:F226" si="66">IF(P163=0, "-", ROUND(10^2/P163,5))</f>
        <v>7.1940000000000004E-2</v>
      </c>
      <c r="G163" s="252">
        <f t="shared" ref="G163:G226" si="67">IF(Q163=0, "-", ROUND(10^2/Q163,5))</f>
        <v>7.6980000000000007E-2</v>
      </c>
      <c r="H163" s="252">
        <f t="shared" ref="H163:H226" si="68">IF(R163=0, "-", ROUND(10^2/R163,5))</f>
        <v>8.0909999999999996E-2</v>
      </c>
      <c r="I163" s="252">
        <f t="shared" ref="I163:I226" si="69">IF(S163=0, "-", ROUND(10^2/S163,5))</f>
        <v>8.5250000000000006E-2</v>
      </c>
      <c r="J163" s="252">
        <f t="shared" ref="J163:J226" si="70">IF(T163=0, "-", ROUND(10^2/T163,5))</f>
        <v>8.9450000000000002E-2</v>
      </c>
      <c r="M163" s="216" t="s">
        <v>66</v>
      </c>
      <c r="N163" s="216"/>
      <c r="O163" s="216" t="s">
        <v>488</v>
      </c>
      <c r="P163" s="106">
        <v>1390</v>
      </c>
      <c r="Q163" s="106">
        <v>1299</v>
      </c>
      <c r="R163" s="106">
        <v>1236</v>
      </c>
      <c r="S163" s="106">
        <v>1173</v>
      </c>
      <c r="T163" s="106">
        <v>1118</v>
      </c>
      <c r="W163" s="117" t="s">
        <v>302</v>
      </c>
    </row>
    <row r="164" spans="2:23" x14ac:dyDescent="0.3">
      <c r="B164" s="214" t="s">
        <v>445</v>
      </c>
      <c r="C164" s="214" t="str">
        <f t="shared" si="64"/>
        <v>TBUSDME101</v>
      </c>
      <c r="D164" s="219"/>
      <c r="E164" s="214" t="str">
        <f t="shared" si="65"/>
        <v>TBU, TBU-C</v>
      </c>
      <c r="F164" s="252">
        <f t="shared" si="66"/>
        <v>7.1940000000000004E-2</v>
      </c>
      <c r="G164" s="252">
        <f t="shared" si="67"/>
        <v>7.6980000000000007E-2</v>
      </c>
      <c r="H164" s="252">
        <f t="shared" si="68"/>
        <v>8.0909999999999996E-2</v>
      </c>
      <c r="I164" s="252">
        <f t="shared" si="69"/>
        <v>8.5250000000000006E-2</v>
      </c>
      <c r="J164" s="252">
        <f t="shared" si="70"/>
        <v>8.9450000000000002E-2</v>
      </c>
      <c r="M164" s="216" t="s">
        <v>69</v>
      </c>
      <c r="N164" s="216"/>
      <c r="O164" s="216" t="s">
        <v>488</v>
      </c>
      <c r="P164" s="106">
        <v>1390</v>
      </c>
      <c r="Q164" s="106">
        <v>1299</v>
      </c>
      <c r="R164" s="106">
        <v>1236</v>
      </c>
      <c r="S164" s="106">
        <v>1173</v>
      </c>
      <c r="T164" s="106">
        <v>1118</v>
      </c>
      <c r="W164" s="117"/>
    </row>
    <row r="165" spans="2:23" x14ac:dyDescent="0.3">
      <c r="B165" s="214" t="s">
        <v>445</v>
      </c>
      <c r="C165" s="214" t="str">
        <f t="shared" si="64"/>
        <v>TBUSDST101</v>
      </c>
      <c r="D165" s="219"/>
      <c r="E165" s="214" t="str">
        <f t="shared" si="65"/>
        <v>TBU, TBU-C</v>
      </c>
      <c r="F165" s="252">
        <f t="shared" si="66"/>
        <v>7.1940000000000004E-2</v>
      </c>
      <c r="G165" s="252">
        <f t="shared" si="67"/>
        <v>7.6980000000000007E-2</v>
      </c>
      <c r="H165" s="252">
        <f t="shared" si="68"/>
        <v>8.0909999999999996E-2</v>
      </c>
      <c r="I165" s="252">
        <f t="shared" si="69"/>
        <v>8.5250000000000006E-2</v>
      </c>
      <c r="J165" s="252">
        <f t="shared" si="70"/>
        <v>8.9450000000000002E-2</v>
      </c>
      <c r="M165" s="216" t="s">
        <v>72</v>
      </c>
      <c r="N165" s="216"/>
      <c r="O165" s="216" t="s">
        <v>488</v>
      </c>
      <c r="P165" s="106">
        <v>1390</v>
      </c>
      <c r="Q165" s="106">
        <v>1299</v>
      </c>
      <c r="R165" s="106">
        <v>1236</v>
      </c>
      <c r="S165" s="106">
        <v>1173</v>
      </c>
      <c r="T165" s="106">
        <v>1118</v>
      </c>
      <c r="W165" s="117" t="s">
        <v>303</v>
      </c>
    </row>
    <row r="166" spans="2:23" x14ac:dyDescent="0.3">
      <c r="B166" s="214" t="s">
        <v>445</v>
      </c>
      <c r="C166" s="214" t="str">
        <f t="shared" si="64"/>
        <v>TBUSELC101</v>
      </c>
      <c r="D166" s="219"/>
      <c r="E166" s="214" t="str">
        <f t="shared" si="65"/>
        <v>TBU, TBU-C</v>
      </c>
      <c r="F166" s="252">
        <f t="shared" si="66"/>
        <v>0.17985999999999999</v>
      </c>
      <c r="G166" s="252">
        <f t="shared" si="67"/>
        <v>0.17985999999999999</v>
      </c>
      <c r="H166" s="252">
        <f t="shared" si="68"/>
        <v>0.18970999999999999</v>
      </c>
      <c r="I166" s="252">
        <f t="shared" si="69"/>
        <v>0.19783999999999999</v>
      </c>
      <c r="J166" s="252">
        <f t="shared" si="70"/>
        <v>0.20982999999999999</v>
      </c>
      <c r="M166" s="216" t="s">
        <v>74</v>
      </c>
      <c r="N166" s="216"/>
      <c r="O166" s="216" t="s">
        <v>488</v>
      </c>
      <c r="P166" s="106">
        <f>P165/2.5</f>
        <v>556</v>
      </c>
      <c r="Q166" s="106">
        <f>P166*Q31/P31</f>
        <v>556</v>
      </c>
      <c r="R166" s="106">
        <f>Q166*R31/Q31</f>
        <v>527.11688311688317</v>
      </c>
      <c r="S166" s="106">
        <f>R166*S31/R31</f>
        <v>505.45454545454555</v>
      </c>
      <c r="T166" s="106">
        <f>S166*T31/S31</f>
        <v>476.57142857142867</v>
      </c>
      <c r="W166" s="117" t="s">
        <v>296</v>
      </c>
    </row>
    <row r="167" spans="2:23" x14ac:dyDescent="0.3">
      <c r="B167" s="214" t="s">
        <v>445</v>
      </c>
      <c r="C167" s="214" t="str">
        <f t="shared" si="64"/>
        <v>TBUSETH101</v>
      </c>
      <c r="D167" s="219"/>
      <c r="E167" s="214" t="str">
        <f t="shared" si="65"/>
        <v>TBU, TBU-C</v>
      </c>
      <c r="F167" s="252">
        <f t="shared" si="66"/>
        <v>7.1940000000000004E-2</v>
      </c>
      <c r="G167" s="252">
        <f t="shared" si="67"/>
        <v>7.6980000000000007E-2</v>
      </c>
      <c r="H167" s="252">
        <f t="shared" si="68"/>
        <v>8.0909999999999996E-2</v>
      </c>
      <c r="I167" s="252">
        <f t="shared" si="69"/>
        <v>8.5250000000000006E-2</v>
      </c>
      <c r="J167" s="252">
        <f t="shared" si="70"/>
        <v>8.9450000000000002E-2</v>
      </c>
      <c r="M167" s="216" t="s">
        <v>76</v>
      </c>
      <c r="N167" s="216"/>
      <c r="O167" s="216" t="s">
        <v>488</v>
      </c>
      <c r="P167" s="106">
        <f>P165</f>
        <v>1390</v>
      </c>
      <c r="Q167" s="106">
        <f t="shared" ref="Q167:T167" si="71">Q165</f>
        <v>1299</v>
      </c>
      <c r="R167" s="106">
        <f t="shared" si="71"/>
        <v>1236</v>
      </c>
      <c r="S167" s="106">
        <f t="shared" si="71"/>
        <v>1173</v>
      </c>
      <c r="T167" s="106">
        <f t="shared" si="71"/>
        <v>1118</v>
      </c>
      <c r="W167" s="117" t="s">
        <v>645</v>
      </c>
    </row>
    <row r="168" spans="2:23" x14ac:dyDescent="0.3">
      <c r="B168" s="214" t="s">
        <v>445</v>
      </c>
      <c r="C168" s="214" t="str">
        <f t="shared" si="64"/>
        <v>TBUSGAS101</v>
      </c>
      <c r="D168" s="219"/>
      <c r="E168" s="214" t="str">
        <f t="shared" si="65"/>
        <v>TBU, TBU-C</v>
      </c>
      <c r="F168" s="252">
        <f t="shared" si="66"/>
        <v>4.8079999999999998E-2</v>
      </c>
      <c r="G168" s="252">
        <f t="shared" si="67"/>
        <v>5.1360000000000003E-2</v>
      </c>
      <c r="H168" s="252">
        <f t="shared" si="68"/>
        <v>5.4050000000000001E-2</v>
      </c>
      <c r="I168" s="252">
        <f t="shared" si="69"/>
        <v>5.679E-2</v>
      </c>
      <c r="J168" s="252">
        <f t="shared" si="70"/>
        <v>5.9769999999999997E-2</v>
      </c>
      <c r="M168" s="216" t="s">
        <v>78</v>
      </c>
      <c r="N168" s="216"/>
      <c r="O168" s="216" t="s">
        <v>488</v>
      </c>
      <c r="P168" s="106">
        <v>2080</v>
      </c>
      <c r="Q168" s="106">
        <v>1947</v>
      </c>
      <c r="R168" s="106">
        <v>1850</v>
      </c>
      <c r="S168" s="106">
        <v>1761</v>
      </c>
      <c r="T168" s="106">
        <v>1673</v>
      </c>
      <c r="W168" s="117" t="s">
        <v>495</v>
      </c>
    </row>
    <row r="169" spans="2:23" x14ac:dyDescent="0.3">
      <c r="B169" s="214" t="s">
        <v>445</v>
      </c>
      <c r="C169" s="214" t="str">
        <f t="shared" si="64"/>
        <v>TBUSGSL101</v>
      </c>
      <c r="D169" s="219"/>
      <c r="E169" s="214" t="str">
        <f t="shared" si="65"/>
        <v>TBU, TBU-C</v>
      </c>
      <c r="F169" s="252">
        <f t="shared" si="66"/>
        <v>4.8079999999999998E-2</v>
      </c>
      <c r="G169" s="252">
        <f t="shared" si="67"/>
        <v>5.1360000000000003E-2</v>
      </c>
      <c r="H169" s="252">
        <f t="shared" si="68"/>
        <v>5.4050000000000001E-2</v>
      </c>
      <c r="I169" s="252">
        <f t="shared" si="69"/>
        <v>5.679E-2</v>
      </c>
      <c r="J169" s="252">
        <f t="shared" si="70"/>
        <v>5.9769999999999997E-2</v>
      </c>
      <c r="M169" s="216" t="s">
        <v>80</v>
      </c>
      <c r="N169" s="216"/>
      <c r="O169" s="216" t="s">
        <v>488</v>
      </c>
      <c r="P169" s="106">
        <v>2080</v>
      </c>
      <c r="Q169" s="106">
        <v>1947</v>
      </c>
      <c r="R169" s="106">
        <v>1850</v>
      </c>
      <c r="S169" s="106">
        <v>1761</v>
      </c>
      <c r="T169" s="106">
        <v>1673</v>
      </c>
      <c r="W169" s="117" t="s">
        <v>496</v>
      </c>
    </row>
    <row r="170" spans="2:23" x14ac:dyDescent="0.3">
      <c r="B170" s="214" t="s">
        <v>445</v>
      </c>
      <c r="C170" s="214" t="str">
        <f t="shared" si="64"/>
        <v>TBUSHYD101</v>
      </c>
      <c r="D170" s="219"/>
      <c r="E170" s="214" t="str">
        <f t="shared" si="65"/>
        <v>TBU, TBU-C</v>
      </c>
      <c r="F170" s="252">
        <f t="shared" si="66"/>
        <v>7.9939999999999997E-2</v>
      </c>
      <c r="G170" s="252">
        <f t="shared" si="67"/>
        <v>8.5540000000000005E-2</v>
      </c>
      <c r="H170" s="252">
        <f t="shared" si="68"/>
        <v>8.9899999999999994E-2</v>
      </c>
      <c r="I170" s="252">
        <f t="shared" si="69"/>
        <v>9.4719999999999999E-2</v>
      </c>
      <c r="J170" s="252">
        <f t="shared" si="70"/>
        <v>9.9379999999999996E-2</v>
      </c>
      <c r="M170" s="216" t="s">
        <v>338</v>
      </c>
      <c r="N170" s="216"/>
      <c r="O170" s="216" t="s">
        <v>488</v>
      </c>
      <c r="P170" s="106">
        <f>P165*0.9</f>
        <v>1251</v>
      </c>
      <c r="Q170" s="106">
        <f t="shared" ref="Q170:T170" si="72">Q165*0.9</f>
        <v>1169.1000000000001</v>
      </c>
      <c r="R170" s="106">
        <f t="shared" si="72"/>
        <v>1112.4000000000001</v>
      </c>
      <c r="S170" s="106">
        <f t="shared" si="72"/>
        <v>1055.7</v>
      </c>
      <c r="T170" s="106">
        <f t="shared" si="72"/>
        <v>1006.2</v>
      </c>
      <c r="W170" s="117" t="s">
        <v>676</v>
      </c>
    </row>
    <row r="171" spans="2:23" x14ac:dyDescent="0.3">
      <c r="B171" s="214" t="s">
        <v>445</v>
      </c>
      <c r="C171" s="214" t="str">
        <f t="shared" si="64"/>
        <v>TBUSHYG101</v>
      </c>
      <c r="D171" s="219"/>
      <c r="E171" s="214" t="str">
        <f t="shared" si="65"/>
        <v>TBU, TBU-C</v>
      </c>
      <c r="F171" s="252">
        <f t="shared" si="66"/>
        <v>5.3420000000000002E-2</v>
      </c>
      <c r="G171" s="252">
        <f t="shared" si="67"/>
        <v>5.7070000000000003E-2</v>
      </c>
      <c r="H171" s="252">
        <f t="shared" si="68"/>
        <v>6.0060000000000002E-2</v>
      </c>
      <c r="I171" s="252">
        <f t="shared" si="69"/>
        <v>6.3100000000000003E-2</v>
      </c>
      <c r="J171" s="252">
        <f t="shared" si="70"/>
        <v>6.6409999999999997E-2</v>
      </c>
      <c r="M171" s="216" t="s">
        <v>375</v>
      </c>
      <c r="N171" s="216"/>
      <c r="O171" s="216" t="s">
        <v>488</v>
      </c>
      <c r="P171" s="106">
        <f>P169*0.9</f>
        <v>1872</v>
      </c>
      <c r="Q171" s="106">
        <f t="shared" ref="Q171:T171" si="73">Q169*0.9</f>
        <v>1752.3</v>
      </c>
      <c r="R171" s="106">
        <f t="shared" si="73"/>
        <v>1665</v>
      </c>
      <c r="S171" s="106">
        <f t="shared" si="73"/>
        <v>1584.9</v>
      </c>
      <c r="T171" s="106">
        <f t="shared" si="73"/>
        <v>1505.7</v>
      </c>
      <c r="W171" s="117" t="s">
        <v>677</v>
      </c>
    </row>
    <row r="172" spans="2:23" x14ac:dyDescent="0.3">
      <c r="B172" s="214" t="s">
        <v>445</v>
      </c>
      <c r="C172" s="214" t="str">
        <f t="shared" si="64"/>
        <v>TBUSHFC101</v>
      </c>
      <c r="D172" s="219"/>
      <c r="E172" s="214" t="str">
        <f t="shared" si="65"/>
        <v>TBU, TBU-C</v>
      </c>
      <c r="F172" s="252">
        <f t="shared" si="66"/>
        <v>0.11990000000000001</v>
      </c>
      <c r="G172" s="252">
        <f t="shared" si="67"/>
        <v>0.1283</v>
      </c>
      <c r="H172" s="252">
        <f t="shared" si="68"/>
        <v>0.13483999999999999</v>
      </c>
      <c r="I172" s="252">
        <f t="shared" si="69"/>
        <v>0.14208999999999999</v>
      </c>
      <c r="J172" s="252">
        <f t="shared" si="70"/>
        <v>0.14907999999999999</v>
      </c>
      <c r="M172" s="216" t="s">
        <v>82</v>
      </c>
      <c r="N172" s="216"/>
      <c r="O172" s="216" t="s">
        <v>488</v>
      </c>
      <c r="P172" s="106">
        <f>P165*0.6</f>
        <v>834</v>
      </c>
      <c r="Q172" s="106">
        <f>Q165*0.6</f>
        <v>779.4</v>
      </c>
      <c r="R172" s="106">
        <f>R165*0.6</f>
        <v>741.6</v>
      </c>
      <c r="S172" s="106">
        <f>S165*0.6</f>
        <v>703.8</v>
      </c>
      <c r="T172" s="106">
        <f>T165*0.6</f>
        <v>670.8</v>
      </c>
      <c r="W172" s="117" t="s">
        <v>497</v>
      </c>
    </row>
    <row r="173" spans="2:23" x14ac:dyDescent="0.3">
      <c r="B173" s="214" t="s">
        <v>445</v>
      </c>
      <c r="C173" s="214" t="str">
        <f t="shared" si="64"/>
        <v>TBUSLPG101</v>
      </c>
      <c r="D173" s="219"/>
      <c r="E173" s="214" t="str">
        <f t="shared" si="65"/>
        <v>TBU, TBU-C</v>
      </c>
      <c r="F173" s="252">
        <f t="shared" si="66"/>
        <v>4.8079999999999998E-2</v>
      </c>
      <c r="G173" s="252">
        <f t="shared" si="67"/>
        <v>5.1360000000000003E-2</v>
      </c>
      <c r="H173" s="252">
        <f t="shared" si="68"/>
        <v>5.4050000000000001E-2</v>
      </c>
      <c r="I173" s="252">
        <f t="shared" si="69"/>
        <v>5.679E-2</v>
      </c>
      <c r="J173" s="252">
        <f t="shared" si="70"/>
        <v>5.9769999999999997E-2</v>
      </c>
      <c r="M173" s="216" t="s">
        <v>84</v>
      </c>
      <c r="N173" s="216"/>
      <c r="O173" s="216" t="s">
        <v>488</v>
      </c>
      <c r="P173" s="106">
        <v>2080</v>
      </c>
      <c r="Q173" s="106">
        <v>1947</v>
      </c>
      <c r="R173" s="106">
        <v>1850</v>
      </c>
      <c r="S173" s="106">
        <v>1761</v>
      </c>
      <c r="T173" s="106">
        <v>1673</v>
      </c>
      <c r="W173" s="117"/>
    </row>
    <row r="174" spans="2:23" x14ac:dyDescent="0.3">
      <c r="B174" s="214" t="s">
        <v>445</v>
      </c>
      <c r="C174" s="214" t="str">
        <f t="shared" si="64"/>
        <v>TBUSMDE101</v>
      </c>
      <c r="D174" s="219"/>
      <c r="E174" s="214" t="str">
        <f t="shared" si="65"/>
        <v>TBU, TBU-C</v>
      </c>
      <c r="F174" s="252">
        <f t="shared" si="66"/>
        <v>7.1940000000000004E-2</v>
      </c>
      <c r="G174" s="252">
        <f t="shared" si="67"/>
        <v>7.6980000000000007E-2</v>
      </c>
      <c r="H174" s="252">
        <f t="shared" si="68"/>
        <v>8.0909999999999996E-2</v>
      </c>
      <c r="I174" s="252">
        <f t="shared" si="69"/>
        <v>8.5250000000000006E-2</v>
      </c>
      <c r="J174" s="252">
        <f t="shared" si="70"/>
        <v>8.9450000000000002E-2</v>
      </c>
      <c r="M174" s="216" t="s">
        <v>85</v>
      </c>
      <c r="N174" s="216"/>
      <c r="O174" s="216" t="s">
        <v>488</v>
      </c>
      <c r="P174" s="106">
        <v>1390</v>
      </c>
      <c r="Q174" s="106">
        <v>1299</v>
      </c>
      <c r="R174" s="106">
        <v>1236</v>
      </c>
      <c r="S174" s="106">
        <v>1173</v>
      </c>
      <c r="T174" s="106">
        <v>1118</v>
      </c>
      <c r="W174" s="117" t="s">
        <v>493</v>
      </c>
    </row>
    <row r="175" spans="2:23" x14ac:dyDescent="0.3">
      <c r="B175" s="214" t="s">
        <v>445</v>
      </c>
      <c r="C175" s="214" t="str">
        <f t="shared" si="64"/>
        <v>TBUSMTH101</v>
      </c>
      <c r="D175" s="219"/>
      <c r="E175" s="214" t="str">
        <f t="shared" si="65"/>
        <v>TBU, TBU-C</v>
      </c>
      <c r="F175" s="252">
        <f t="shared" si="66"/>
        <v>4.8079999999999998E-2</v>
      </c>
      <c r="G175" s="252">
        <f t="shared" si="67"/>
        <v>5.1360000000000003E-2</v>
      </c>
      <c r="H175" s="252">
        <f t="shared" si="68"/>
        <v>5.4050000000000001E-2</v>
      </c>
      <c r="I175" s="252">
        <f t="shared" si="69"/>
        <v>5.679E-2</v>
      </c>
      <c r="J175" s="252">
        <f t="shared" si="70"/>
        <v>5.9769999999999997E-2</v>
      </c>
      <c r="M175" s="216" t="s">
        <v>587</v>
      </c>
      <c r="N175" s="216"/>
      <c r="O175" s="216" t="s">
        <v>488</v>
      </c>
      <c r="P175" s="106">
        <v>2080</v>
      </c>
      <c r="Q175" s="106">
        <v>1947</v>
      </c>
      <c r="R175" s="106">
        <v>1850</v>
      </c>
      <c r="S175" s="106">
        <v>1761</v>
      </c>
      <c r="T175" s="106">
        <v>1673</v>
      </c>
      <c r="W175" s="117"/>
    </row>
    <row r="176" spans="2:23" x14ac:dyDescent="0.3">
      <c r="B176" s="214" t="s">
        <v>445</v>
      </c>
      <c r="C176" s="214" t="str">
        <f t="shared" si="64"/>
        <v>TBUSPYD101</v>
      </c>
      <c r="D176" s="219"/>
      <c r="E176" s="214" t="str">
        <f t="shared" si="65"/>
        <v>TBU, TBU-C</v>
      </c>
      <c r="F176" s="252">
        <f t="shared" si="66"/>
        <v>0.10277</v>
      </c>
      <c r="G176" s="252">
        <f t="shared" si="67"/>
        <v>0.10997</v>
      </c>
      <c r="H176" s="252">
        <f t="shared" si="68"/>
        <v>0.11558</v>
      </c>
      <c r="I176" s="252">
        <f t="shared" si="69"/>
        <v>0.12179</v>
      </c>
      <c r="J176" s="252">
        <f t="shared" si="70"/>
        <v>0.12778</v>
      </c>
      <c r="M176" s="216" t="s">
        <v>340</v>
      </c>
      <c r="N176" s="216"/>
      <c r="O176" s="216" t="s">
        <v>488</v>
      </c>
      <c r="P176" s="106">
        <f>P165*0.7</f>
        <v>972.99999999999989</v>
      </c>
      <c r="Q176" s="106">
        <f t="shared" ref="Q176:T176" si="74">Q165*0.7</f>
        <v>909.3</v>
      </c>
      <c r="R176" s="106">
        <f t="shared" si="74"/>
        <v>865.19999999999993</v>
      </c>
      <c r="S176" s="106">
        <f t="shared" si="74"/>
        <v>821.09999999999991</v>
      </c>
      <c r="T176" s="106">
        <f t="shared" si="74"/>
        <v>782.59999999999991</v>
      </c>
      <c r="W176" s="117" t="s">
        <v>673</v>
      </c>
    </row>
    <row r="177" spans="2:23" x14ac:dyDescent="0.3">
      <c r="B177" s="217" t="s">
        <v>445</v>
      </c>
      <c r="C177" s="217" t="str">
        <f t="shared" si="64"/>
        <v>TBUSPYG101</v>
      </c>
      <c r="D177" s="220"/>
      <c r="E177" s="217" t="str">
        <f t="shared" si="65"/>
        <v>TBU, TBU-C</v>
      </c>
      <c r="F177" s="254">
        <f t="shared" si="66"/>
        <v>6.8680000000000005E-2</v>
      </c>
      <c r="G177" s="254">
        <f t="shared" si="67"/>
        <v>7.3370000000000005E-2</v>
      </c>
      <c r="H177" s="254">
        <f t="shared" si="68"/>
        <v>7.7219999999999997E-2</v>
      </c>
      <c r="I177" s="254">
        <f t="shared" si="69"/>
        <v>8.1119999999999998E-2</v>
      </c>
      <c r="J177" s="254">
        <f t="shared" si="70"/>
        <v>8.5389999999999994E-2</v>
      </c>
      <c r="M177" s="221" t="s">
        <v>378</v>
      </c>
      <c r="N177" s="221"/>
      <c r="O177" s="221" t="s">
        <v>488</v>
      </c>
      <c r="P177" s="111">
        <f>P169*0.7</f>
        <v>1456</v>
      </c>
      <c r="Q177" s="111">
        <f t="shared" ref="Q177:T177" si="75">Q169*0.7</f>
        <v>1362.8999999999999</v>
      </c>
      <c r="R177" s="111">
        <f t="shared" si="75"/>
        <v>1295</v>
      </c>
      <c r="S177" s="111">
        <f t="shared" si="75"/>
        <v>1232.6999999999998</v>
      </c>
      <c r="T177" s="111">
        <f t="shared" si="75"/>
        <v>1171.0999999999999</v>
      </c>
      <c r="W177" s="145" t="s">
        <v>674</v>
      </c>
    </row>
    <row r="178" spans="2:23" x14ac:dyDescent="0.3">
      <c r="B178" s="214" t="s">
        <v>446</v>
      </c>
      <c r="C178" s="214" t="str">
        <f t="shared" si="64"/>
        <v>TCARBDL101</v>
      </c>
      <c r="D178" s="219"/>
      <c r="E178" s="214" t="str">
        <f t="shared" si="65"/>
        <v>TCS</v>
      </c>
      <c r="F178" s="252">
        <f t="shared" si="66"/>
        <v>0.50251000000000001</v>
      </c>
      <c r="G178" s="252">
        <f t="shared" si="67"/>
        <v>0.53763000000000005</v>
      </c>
      <c r="H178" s="252">
        <f t="shared" si="68"/>
        <v>0.56496999999999997</v>
      </c>
      <c r="I178" s="252">
        <f t="shared" si="69"/>
        <v>0.59523999999999999</v>
      </c>
      <c r="J178" s="252">
        <f t="shared" si="70"/>
        <v>0.625</v>
      </c>
      <c r="M178" s="216" t="s">
        <v>43</v>
      </c>
      <c r="N178" s="216"/>
      <c r="O178" s="216" t="s">
        <v>46</v>
      </c>
      <c r="P178" s="106">
        <v>199</v>
      </c>
      <c r="Q178" s="106">
        <v>186</v>
      </c>
      <c r="R178" s="106">
        <v>177</v>
      </c>
      <c r="S178" s="106">
        <v>168</v>
      </c>
      <c r="T178" s="106">
        <v>160</v>
      </c>
      <c r="W178" s="117" t="s">
        <v>295</v>
      </c>
    </row>
    <row r="179" spans="2:23" x14ac:dyDescent="0.3">
      <c r="B179" s="214" t="s">
        <v>446</v>
      </c>
      <c r="C179" s="214" t="str">
        <f t="shared" si="64"/>
        <v>TCARBDL101P</v>
      </c>
      <c r="D179" s="219"/>
      <c r="E179" s="214" t="str">
        <f t="shared" si="65"/>
        <v>TCS-P</v>
      </c>
      <c r="F179" s="252">
        <f t="shared" si="66"/>
        <v>0.50251000000000001</v>
      </c>
      <c r="G179" s="252">
        <f t="shared" si="67"/>
        <v>0.53763000000000005</v>
      </c>
      <c r="H179" s="252">
        <f t="shared" si="68"/>
        <v>0.56496999999999997</v>
      </c>
      <c r="I179" s="252">
        <f t="shared" si="69"/>
        <v>0.59523999999999999</v>
      </c>
      <c r="J179" s="252">
        <f t="shared" si="70"/>
        <v>0.625</v>
      </c>
      <c r="M179" s="216" t="s">
        <v>572</v>
      </c>
      <c r="N179" s="216"/>
      <c r="O179" s="216" t="s">
        <v>455</v>
      </c>
      <c r="P179" s="106">
        <v>199</v>
      </c>
      <c r="Q179" s="106">
        <v>186</v>
      </c>
      <c r="R179" s="106">
        <v>177</v>
      </c>
      <c r="S179" s="106">
        <v>168</v>
      </c>
      <c r="T179" s="106">
        <v>160</v>
      </c>
      <c r="W179" s="117"/>
    </row>
    <row r="180" spans="2:23" x14ac:dyDescent="0.3">
      <c r="B180" s="214" t="s">
        <v>446</v>
      </c>
      <c r="C180" s="214" t="str">
        <f t="shared" si="64"/>
        <v>TCARBDL901</v>
      </c>
      <c r="D180" s="219"/>
      <c r="E180" s="214" t="str">
        <f t="shared" si="65"/>
        <v>TCS-C</v>
      </c>
      <c r="F180" s="252">
        <f t="shared" si="66"/>
        <v>0.50251000000000001</v>
      </c>
      <c r="G180" s="252">
        <f t="shared" si="67"/>
        <v>0.53763000000000005</v>
      </c>
      <c r="H180" s="252">
        <f t="shared" si="68"/>
        <v>0.56496999999999997</v>
      </c>
      <c r="I180" s="252">
        <f t="shared" si="69"/>
        <v>0.59523999999999999</v>
      </c>
      <c r="J180" s="252">
        <f t="shared" si="70"/>
        <v>0.625</v>
      </c>
      <c r="M180" s="216" t="s">
        <v>213</v>
      </c>
      <c r="N180" s="216"/>
      <c r="O180" s="216" t="s">
        <v>289</v>
      </c>
      <c r="P180" s="106">
        <v>199</v>
      </c>
      <c r="Q180" s="106">
        <v>186</v>
      </c>
      <c r="R180" s="106">
        <v>177</v>
      </c>
      <c r="S180" s="106">
        <v>168</v>
      </c>
      <c r="T180" s="106">
        <v>160</v>
      </c>
      <c r="W180" s="117"/>
    </row>
    <row r="181" spans="2:23" x14ac:dyDescent="0.3">
      <c r="B181" s="214" t="s">
        <v>446</v>
      </c>
      <c r="C181" s="214" t="str">
        <f t="shared" si="64"/>
        <v>TCARDST101</v>
      </c>
      <c r="D181" s="219"/>
      <c r="E181" s="214" t="str">
        <f t="shared" si="65"/>
        <v>TCS</v>
      </c>
      <c r="F181" s="252">
        <f t="shared" si="66"/>
        <v>0.50251000000000001</v>
      </c>
      <c r="G181" s="252">
        <f t="shared" si="67"/>
        <v>0.53763000000000005</v>
      </c>
      <c r="H181" s="252">
        <f t="shared" si="68"/>
        <v>0.56496999999999997</v>
      </c>
      <c r="I181" s="252">
        <f t="shared" si="69"/>
        <v>0.59523999999999999</v>
      </c>
      <c r="J181" s="252">
        <f t="shared" si="70"/>
        <v>0.625</v>
      </c>
      <c r="M181" s="216" t="s">
        <v>47</v>
      </c>
      <c r="N181" s="216"/>
      <c r="O181" s="216" t="s">
        <v>46</v>
      </c>
      <c r="P181" s="106">
        <v>199</v>
      </c>
      <c r="Q181" s="106">
        <v>186</v>
      </c>
      <c r="R181" s="106">
        <v>177</v>
      </c>
      <c r="S181" s="106">
        <v>168</v>
      </c>
      <c r="T181" s="106">
        <v>160</v>
      </c>
      <c r="W181" s="117" t="s">
        <v>295</v>
      </c>
    </row>
    <row r="182" spans="2:23" x14ac:dyDescent="0.3">
      <c r="B182" s="214" t="s">
        <v>446</v>
      </c>
      <c r="C182" s="214" t="str">
        <f t="shared" si="64"/>
        <v>TCARDST101P</v>
      </c>
      <c r="D182" s="219"/>
      <c r="E182" s="214" t="str">
        <f t="shared" si="65"/>
        <v>TCS-P</v>
      </c>
      <c r="F182" s="252">
        <f t="shared" si="66"/>
        <v>0.50251000000000001</v>
      </c>
      <c r="G182" s="252">
        <f t="shared" si="67"/>
        <v>0.53763000000000005</v>
      </c>
      <c r="H182" s="252">
        <f t="shared" si="68"/>
        <v>0.56496999999999997</v>
      </c>
      <c r="I182" s="252">
        <f t="shared" si="69"/>
        <v>0.59523999999999999</v>
      </c>
      <c r="J182" s="252">
        <f t="shared" si="70"/>
        <v>0.625</v>
      </c>
      <c r="M182" s="216" t="s">
        <v>561</v>
      </c>
      <c r="N182" s="216"/>
      <c r="O182" s="216" t="s">
        <v>455</v>
      </c>
      <c r="P182" s="106">
        <v>199</v>
      </c>
      <c r="Q182" s="106">
        <v>186</v>
      </c>
      <c r="R182" s="106">
        <v>177</v>
      </c>
      <c r="S182" s="106">
        <v>168</v>
      </c>
      <c r="T182" s="106">
        <v>160</v>
      </c>
      <c r="W182" s="117"/>
    </row>
    <row r="183" spans="2:23" x14ac:dyDescent="0.3">
      <c r="B183" s="214" t="s">
        <v>446</v>
      </c>
      <c r="C183" s="214" t="str">
        <f t="shared" si="64"/>
        <v>TCARDST901</v>
      </c>
      <c r="D183" s="219"/>
      <c r="E183" s="214" t="str">
        <f t="shared" si="65"/>
        <v>TCS-C</v>
      </c>
      <c r="F183" s="252">
        <f t="shared" si="66"/>
        <v>0.50251000000000001</v>
      </c>
      <c r="G183" s="252">
        <f t="shared" si="67"/>
        <v>0.53763000000000005</v>
      </c>
      <c r="H183" s="252">
        <f t="shared" si="68"/>
        <v>0.56496999999999997</v>
      </c>
      <c r="I183" s="252">
        <f t="shared" si="69"/>
        <v>0.59523999999999999</v>
      </c>
      <c r="J183" s="252">
        <f t="shared" si="70"/>
        <v>0.625</v>
      </c>
      <c r="M183" s="216" t="s">
        <v>214</v>
      </c>
      <c r="N183" s="216"/>
      <c r="O183" s="216" t="s">
        <v>289</v>
      </c>
      <c r="P183" s="106">
        <v>199</v>
      </c>
      <c r="Q183" s="106">
        <v>186</v>
      </c>
      <c r="R183" s="106">
        <v>177</v>
      </c>
      <c r="S183" s="106">
        <v>168</v>
      </c>
      <c r="T183" s="106">
        <v>160</v>
      </c>
      <c r="W183" s="117" t="s">
        <v>295</v>
      </c>
    </row>
    <row r="184" spans="2:23" x14ac:dyDescent="0.3">
      <c r="B184" s="214" t="s">
        <v>446</v>
      </c>
      <c r="C184" s="214" t="str">
        <f t="shared" si="64"/>
        <v>TCARELC101</v>
      </c>
      <c r="D184" s="219"/>
      <c r="E184" s="214" t="str">
        <f t="shared" si="65"/>
        <v>TCS</v>
      </c>
      <c r="F184" s="252">
        <f t="shared" si="66"/>
        <v>1.6129</v>
      </c>
      <c r="G184" s="252">
        <f t="shared" si="67"/>
        <v>1.6129</v>
      </c>
      <c r="H184" s="252">
        <f t="shared" si="68"/>
        <v>1.69492</v>
      </c>
      <c r="I184" s="252">
        <f t="shared" si="69"/>
        <v>1.7857099999999999</v>
      </c>
      <c r="J184" s="252">
        <f t="shared" si="70"/>
        <v>1.88679</v>
      </c>
      <c r="M184" s="216" t="s">
        <v>49</v>
      </c>
      <c r="N184" s="216"/>
      <c r="O184" s="216" t="s">
        <v>46</v>
      </c>
      <c r="P184" s="106">
        <v>62</v>
      </c>
      <c r="Q184" s="106">
        <v>62</v>
      </c>
      <c r="R184" s="106">
        <v>59</v>
      </c>
      <c r="S184" s="106">
        <v>56</v>
      </c>
      <c r="T184" s="106">
        <v>53</v>
      </c>
      <c r="W184" s="117" t="s">
        <v>295</v>
      </c>
    </row>
    <row r="185" spans="2:23" x14ac:dyDescent="0.3">
      <c r="B185" s="214" t="s">
        <v>446</v>
      </c>
      <c r="C185" s="214" t="str">
        <f t="shared" si="64"/>
        <v>TCARELC101P</v>
      </c>
      <c r="D185" s="219"/>
      <c r="E185" s="214" t="str">
        <f t="shared" si="65"/>
        <v>TCS-P</v>
      </c>
      <c r="F185" s="252">
        <f t="shared" si="66"/>
        <v>1.6129</v>
      </c>
      <c r="G185" s="252">
        <f t="shared" si="67"/>
        <v>1.6129</v>
      </c>
      <c r="H185" s="252">
        <f t="shared" si="68"/>
        <v>1.69492</v>
      </c>
      <c r="I185" s="252">
        <f t="shared" si="69"/>
        <v>1.7857099999999999</v>
      </c>
      <c r="J185" s="252">
        <f t="shared" si="70"/>
        <v>1.88679</v>
      </c>
      <c r="M185" s="216" t="s">
        <v>562</v>
      </c>
      <c r="N185" s="216"/>
      <c r="O185" s="216" t="s">
        <v>455</v>
      </c>
      <c r="P185" s="106">
        <v>62</v>
      </c>
      <c r="Q185" s="106">
        <v>62</v>
      </c>
      <c r="R185" s="106">
        <v>59</v>
      </c>
      <c r="S185" s="106">
        <v>56</v>
      </c>
      <c r="T185" s="106">
        <v>53</v>
      </c>
      <c r="W185" s="117"/>
    </row>
    <row r="186" spans="2:23" x14ac:dyDescent="0.3">
      <c r="B186" s="214" t="s">
        <v>446</v>
      </c>
      <c r="C186" s="214" t="str">
        <f t="shared" si="64"/>
        <v>TCARELC901</v>
      </c>
      <c r="D186" s="219"/>
      <c r="E186" s="214" t="str">
        <f t="shared" si="65"/>
        <v>TCS-C</v>
      </c>
      <c r="F186" s="252">
        <f t="shared" si="66"/>
        <v>1.6129</v>
      </c>
      <c r="G186" s="252">
        <f t="shared" si="67"/>
        <v>1.6129</v>
      </c>
      <c r="H186" s="252">
        <f t="shared" si="68"/>
        <v>1.69492</v>
      </c>
      <c r="I186" s="252">
        <f t="shared" si="69"/>
        <v>1.7857099999999999</v>
      </c>
      <c r="J186" s="252">
        <f t="shared" si="70"/>
        <v>1.88679</v>
      </c>
      <c r="M186" s="216" t="s">
        <v>216</v>
      </c>
      <c r="N186" s="216"/>
      <c r="O186" s="216" t="s">
        <v>289</v>
      </c>
      <c r="P186" s="106">
        <v>62</v>
      </c>
      <c r="Q186" s="106">
        <v>62</v>
      </c>
      <c r="R186" s="106">
        <v>59</v>
      </c>
      <c r="S186" s="106">
        <v>56</v>
      </c>
      <c r="T186" s="106">
        <v>53</v>
      </c>
      <c r="W186" s="117" t="s">
        <v>295</v>
      </c>
    </row>
    <row r="187" spans="2:23" x14ac:dyDescent="0.3">
      <c r="B187" s="214" t="s">
        <v>446</v>
      </c>
      <c r="C187" s="214" t="str">
        <f t="shared" si="64"/>
        <v>TCARETH101</v>
      </c>
      <c r="D187" s="219"/>
      <c r="E187" s="214" t="str">
        <f t="shared" si="65"/>
        <v>TCS</v>
      </c>
      <c r="F187" s="252">
        <f t="shared" si="66"/>
        <v>0.42553000000000002</v>
      </c>
      <c r="G187" s="252">
        <f t="shared" si="67"/>
        <v>0.45455000000000001</v>
      </c>
      <c r="H187" s="252">
        <f t="shared" si="68"/>
        <v>0.47847000000000001</v>
      </c>
      <c r="I187" s="252">
        <f t="shared" si="69"/>
        <v>0.50251000000000001</v>
      </c>
      <c r="J187" s="252">
        <f t="shared" si="70"/>
        <v>0.52910000000000001</v>
      </c>
      <c r="M187" s="216" t="s">
        <v>50</v>
      </c>
      <c r="N187" s="216"/>
      <c r="O187" s="216" t="s">
        <v>46</v>
      </c>
      <c r="P187" s="106">
        <v>235</v>
      </c>
      <c r="Q187" s="106">
        <v>220</v>
      </c>
      <c r="R187" s="106">
        <v>209</v>
      </c>
      <c r="S187" s="106">
        <v>199</v>
      </c>
      <c r="T187" s="106">
        <v>189</v>
      </c>
      <c r="W187" s="117" t="s">
        <v>295</v>
      </c>
    </row>
    <row r="188" spans="2:23" x14ac:dyDescent="0.3">
      <c r="B188" s="214" t="s">
        <v>446</v>
      </c>
      <c r="C188" s="214" t="str">
        <f t="shared" si="64"/>
        <v>TCARETH101P</v>
      </c>
      <c r="D188" s="219"/>
      <c r="E188" s="214" t="str">
        <f t="shared" si="65"/>
        <v>TCS-P</v>
      </c>
      <c r="F188" s="252">
        <f t="shared" si="66"/>
        <v>0.42553000000000002</v>
      </c>
      <c r="G188" s="252">
        <f t="shared" si="67"/>
        <v>0.45455000000000001</v>
      </c>
      <c r="H188" s="252">
        <f t="shared" si="68"/>
        <v>0.47847000000000001</v>
      </c>
      <c r="I188" s="252">
        <f t="shared" si="69"/>
        <v>0.50251000000000001</v>
      </c>
      <c r="J188" s="252">
        <f t="shared" si="70"/>
        <v>0.52910000000000001</v>
      </c>
      <c r="M188" s="216" t="s">
        <v>563</v>
      </c>
      <c r="N188" s="216"/>
      <c r="O188" s="216" t="s">
        <v>455</v>
      </c>
      <c r="P188" s="106">
        <v>235</v>
      </c>
      <c r="Q188" s="106">
        <v>220</v>
      </c>
      <c r="R188" s="106">
        <v>209</v>
      </c>
      <c r="S188" s="106">
        <v>199</v>
      </c>
      <c r="T188" s="106">
        <v>189</v>
      </c>
      <c r="W188" s="117"/>
    </row>
    <row r="189" spans="2:23" x14ac:dyDescent="0.3">
      <c r="B189" s="214" t="s">
        <v>446</v>
      </c>
      <c r="C189" s="214" t="str">
        <f t="shared" si="64"/>
        <v>TCARETH901</v>
      </c>
      <c r="D189" s="219"/>
      <c r="E189" s="214" t="str">
        <f t="shared" si="65"/>
        <v>TCS-C</v>
      </c>
      <c r="F189" s="252">
        <f t="shared" si="66"/>
        <v>0.42553000000000002</v>
      </c>
      <c r="G189" s="252">
        <f t="shared" si="67"/>
        <v>0.45455000000000001</v>
      </c>
      <c r="H189" s="252">
        <f t="shared" si="68"/>
        <v>0.47847000000000001</v>
      </c>
      <c r="I189" s="252">
        <f t="shared" si="69"/>
        <v>0.50251000000000001</v>
      </c>
      <c r="J189" s="252">
        <f t="shared" si="70"/>
        <v>0.52910000000000001</v>
      </c>
      <c r="M189" s="216" t="s">
        <v>218</v>
      </c>
      <c r="N189" s="216"/>
      <c r="O189" s="216" t="s">
        <v>289</v>
      </c>
      <c r="P189" s="106">
        <v>235</v>
      </c>
      <c r="Q189" s="106">
        <v>220</v>
      </c>
      <c r="R189" s="106">
        <v>209</v>
      </c>
      <c r="S189" s="106">
        <v>199</v>
      </c>
      <c r="T189" s="106">
        <v>189</v>
      </c>
      <c r="W189" s="117" t="s">
        <v>295</v>
      </c>
    </row>
    <row r="190" spans="2:23" x14ac:dyDescent="0.3">
      <c r="B190" s="214" t="s">
        <v>446</v>
      </c>
      <c r="C190" s="214" t="str">
        <f t="shared" si="64"/>
        <v>TCARGAS101</v>
      </c>
      <c r="D190" s="219"/>
      <c r="E190" s="214" t="str">
        <f t="shared" si="65"/>
        <v>TCS</v>
      </c>
      <c r="F190" s="252">
        <f t="shared" si="66"/>
        <v>0.42553000000000002</v>
      </c>
      <c r="G190" s="252">
        <f t="shared" si="67"/>
        <v>0.45455000000000001</v>
      </c>
      <c r="H190" s="252">
        <f t="shared" si="68"/>
        <v>0.47847000000000001</v>
      </c>
      <c r="I190" s="252">
        <f t="shared" si="69"/>
        <v>0.50251000000000001</v>
      </c>
      <c r="J190" s="252">
        <f t="shared" si="70"/>
        <v>0.52910000000000001</v>
      </c>
      <c r="M190" s="216" t="s">
        <v>52</v>
      </c>
      <c r="N190" s="216"/>
      <c r="O190" s="216" t="s">
        <v>46</v>
      </c>
      <c r="P190" s="106">
        <v>235</v>
      </c>
      <c r="Q190" s="106">
        <v>220</v>
      </c>
      <c r="R190" s="106">
        <v>209</v>
      </c>
      <c r="S190" s="106">
        <v>199</v>
      </c>
      <c r="T190" s="106">
        <v>189</v>
      </c>
      <c r="W190" s="117" t="s">
        <v>295</v>
      </c>
    </row>
    <row r="191" spans="2:23" x14ac:dyDescent="0.3">
      <c r="B191" s="214" t="s">
        <v>446</v>
      </c>
      <c r="C191" s="214" t="str">
        <f t="shared" si="64"/>
        <v>TCARGAS101P</v>
      </c>
      <c r="D191" s="219"/>
      <c r="E191" s="214" t="str">
        <f t="shared" si="65"/>
        <v>TCS-P</v>
      </c>
      <c r="F191" s="252">
        <f t="shared" si="66"/>
        <v>0.42553000000000002</v>
      </c>
      <c r="G191" s="252">
        <f t="shared" si="67"/>
        <v>0.45455000000000001</v>
      </c>
      <c r="H191" s="252">
        <f t="shared" si="68"/>
        <v>0.47847000000000001</v>
      </c>
      <c r="I191" s="252">
        <f t="shared" si="69"/>
        <v>0.50251000000000001</v>
      </c>
      <c r="J191" s="252">
        <f t="shared" si="70"/>
        <v>0.52910000000000001</v>
      </c>
      <c r="M191" s="216" t="s">
        <v>564</v>
      </c>
      <c r="N191" s="216"/>
      <c r="O191" s="216" t="s">
        <v>455</v>
      </c>
      <c r="P191" s="106">
        <v>235</v>
      </c>
      <c r="Q191" s="106">
        <v>220</v>
      </c>
      <c r="R191" s="106">
        <v>209</v>
      </c>
      <c r="S191" s="106">
        <v>199</v>
      </c>
      <c r="T191" s="106">
        <v>189</v>
      </c>
      <c r="W191" s="117"/>
    </row>
    <row r="192" spans="2:23" x14ac:dyDescent="0.3">
      <c r="B192" s="214" t="s">
        <v>446</v>
      </c>
      <c r="C192" s="214" t="str">
        <f t="shared" si="64"/>
        <v>TCARGAS901</v>
      </c>
      <c r="D192" s="219"/>
      <c r="E192" s="214" t="str">
        <f t="shared" si="65"/>
        <v>TCS-C</v>
      </c>
      <c r="F192" s="252">
        <f t="shared" si="66"/>
        <v>0.42553000000000002</v>
      </c>
      <c r="G192" s="252">
        <f t="shared" si="67"/>
        <v>0.45455000000000001</v>
      </c>
      <c r="H192" s="252">
        <f t="shared" si="68"/>
        <v>0.47847000000000001</v>
      </c>
      <c r="I192" s="252">
        <f t="shared" si="69"/>
        <v>0.50251000000000001</v>
      </c>
      <c r="J192" s="252">
        <f t="shared" si="70"/>
        <v>0.52910000000000001</v>
      </c>
      <c r="M192" s="216" t="s">
        <v>220</v>
      </c>
      <c r="N192" s="216"/>
      <c r="O192" s="216" t="s">
        <v>289</v>
      </c>
      <c r="P192" s="106">
        <v>235</v>
      </c>
      <c r="Q192" s="106">
        <v>220</v>
      </c>
      <c r="R192" s="106">
        <v>209</v>
      </c>
      <c r="S192" s="106">
        <v>199</v>
      </c>
      <c r="T192" s="106">
        <v>189</v>
      </c>
      <c r="W192" s="117" t="s">
        <v>295</v>
      </c>
    </row>
    <row r="193" spans="2:23" x14ac:dyDescent="0.3">
      <c r="B193" s="214" t="s">
        <v>446</v>
      </c>
      <c r="C193" s="214" t="str">
        <f t="shared" si="64"/>
        <v>TCARGSL101</v>
      </c>
      <c r="D193" s="219"/>
      <c r="E193" s="214" t="str">
        <f t="shared" si="65"/>
        <v>TCS</v>
      </c>
      <c r="F193" s="252">
        <f t="shared" si="66"/>
        <v>0.42553000000000002</v>
      </c>
      <c r="G193" s="252">
        <f t="shared" si="67"/>
        <v>0.45455000000000001</v>
      </c>
      <c r="H193" s="252">
        <f t="shared" si="68"/>
        <v>0.47847000000000001</v>
      </c>
      <c r="I193" s="252">
        <f t="shared" si="69"/>
        <v>0.50251000000000001</v>
      </c>
      <c r="J193" s="252">
        <f t="shared" si="70"/>
        <v>0.52910000000000001</v>
      </c>
      <c r="M193" s="216" t="s">
        <v>55</v>
      </c>
      <c r="N193" s="216"/>
      <c r="O193" s="216" t="s">
        <v>46</v>
      </c>
      <c r="P193" s="106">
        <v>235</v>
      </c>
      <c r="Q193" s="106">
        <v>220</v>
      </c>
      <c r="R193" s="106">
        <v>209</v>
      </c>
      <c r="S193" s="106">
        <v>199</v>
      </c>
      <c r="T193" s="106">
        <v>189</v>
      </c>
      <c r="W193" s="117" t="s">
        <v>296</v>
      </c>
    </row>
    <row r="194" spans="2:23" x14ac:dyDescent="0.3">
      <c r="B194" s="214" t="s">
        <v>446</v>
      </c>
      <c r="C194" s="214" t="str">
        <f t="shared" ref="C194:C225" si="76">M194</f>
        <v>TCARGSL101P</v>
      </c>
      <c r="D194" s="219"/>
      <c r="E194" s="214" t="str">
        <f t="shared" ref="E194:E225" si="77">O194</f>
        <v>TCS-P</v>
      </c>
      <c r="F194" s="252">
        <f t="shared" si="66"/>
        <v>0.42553000000000002</v>
      </c>
      <c r="G194" s="252">
        <f t="shared" si="67"/>
        <v>0.45455000000000001</v>
      </c>
      <c r="H194" s="252">
        <f t="shared" si="68"/>
        <v>0.47847000000000001</v>
      </c>
      <c r="I194" s="252">
        <f t="shared" si="69"/>
        <v>0.50251000000000001</v>
      </c>
      <c r="J194" s="252">
        <f t="shared" si="70"/>
        <v>0.52910000000000001</v>
      </c>
      <c r="M194" s="216" t="s">
        <v>565</v>
      </c>
      <c r="N194" s="216"/>
      <c r="O194" s="216" t="s">
        <v>455</v>
      </c>
      <c r="P194" s="106">
        <v>235</v>
      </c>
      <c r="Q194" s="106">
        <v>220</v>
      </c>
      <c r="R194" s="106">
        <v>209</v>
      </c>
      <c r="S194" s="106">
        <v>199</v>
      </c>
      <c r="T194" s="106">
        <v>189</v>
      </c>
      <c r="W194" s="117"/>
    </row>
    <row r="195" spans="2:23" x14ac:dyDescent="0.3">
      <c r="B195" s="214" t="s">
        <v>446</v>
      </c>
      <c r="C195" s="214" t="str">
        <f t="shared" si="76"/>
        <v>TCARGSL901</v>
      </c>
      <c r="D195" s="219"/>
      <c r="E195" s="214" t="str">
        <f t="shared" si="77"/>
        <v>TCS-C</v>
      </c>
      <c r="F195" s="252">
        <f t="shared" si="66"/>
        <v>0.42553000000000002</v>
      </c>
      <c r="G195" s="252">
        <f t="shared" si="67"/>
        <v>0.45455000000000001</v>
      </c>
      <c r="H195" s="252">
        <f t="shared" si="68"/>
        <v>0.47847000000000001</v>
      </c>
      <c r="I195" s="252">
        <f t="shared" si="69"/>
        <v>0.50251000000000001</v>
      </c>
      <c r="J195" s="252">
        <f t="shared" si="70"/>
        <v>0.52910000000000001</v>
      </c>
      <c r="M195" s="216" t="s">
        <v>222</v>
      </c>
      <c r="N195" s="216"/>
      <c r="O195" s="216" t="s">
        <v>289</v>
      </c>
      <c r="P195" s="106">
        <v>235</v>
      </c>
      <c r="Q195" s="106">
        <v>220</v>
      </c>
      <c r="R195" s="106">
        <v>209</v>
      </c>
      <c r="S195" s="106">
        <v>199</v>
      </c>
      <c r="T195" s="106">
        <v>189</v>
      </c>
      <c r="W195" s="117"/>
    </row>
    <row r="196" spans="2:23" x14ac:dyDescent="0.3">
      <c r="B196" s="214" t="s">
        <v>446</v>
      </c>
      <c r="C196" s="214" t="str">
        <f t="shared" si="76"/>
        <v>TCARHFC101</v>
      </c>
      <c r="D196" s="219"/>
      <c r="E196" s="214" t="str">
        <f t="shared" si="77"/>
        <v>TCS</v>
      </c>
      <c r="F196" s="252">
        <f t="shared" si="66"/>
        <v>0.80645</v>
      </c>
      <c r="G196" s="252">
        <f t="shared" si="67"/>
        <v>0.80645</v>
      </c>
      <c r="H196" s="252">
        <f t="shared" si="68"/>
        <v>0.89285999999999999</v>
      </c>
      <c r="I196" s="252">
        <f t="shared" si="69"/>
        <v>0.99009999999999998</v>
      </c>
      <c r="J196" s="252">
        <f t="shared" si="70"/>
        <v>1.0989</v>
      </c>
      <c r="M196" s="216" t="s">
        <v>56</v>
      </c>
      <c r="N196" s="216"/>
      <c r="O196" s="216" t="s">
        <v>46</v>
      </c>
      <c r="P196" s="106">
        <v>124</v>
      </c>
      <c r="Q196" s="106">
        <v>124</v>
      </c>
      <c r="R196" s="106">
        <v>112</v>
      </c>
      <c r="S196" s="106">
        <v>101</v>
      </c>
      <c r="T196" s="106">
        <v>91</v>
      </c>
      <c r="W196" s="117"/>
    </row>
    <row r="197" spans="2:23" x14ac:dyDescent="0.3">
      <c r="B197" s="214" t="s">
        <v>446</v>
      </c>
      <c r="C197" s="214" t="str">
        <f t="shared" si="76"/>
        <v>TCARHFC101P</v>
      </c>
      <c r="D197" s="219"/>
      <c r="E197" s="214" t="str">
        <f t="shared" si="77"/>
        <v>TCS-P</v>
      </c>
      <c r="F197" s="252">
        <f t="shared" si="66"/>
        <v>0.80645</v>
      </c>
      <c r="G197" s="252">
        <f t="shared" si="67"/>
        <v>0.80645</v>
      </c>
      <c r="H197" s="252">
        <f t="shared" si="68"/>
        <v>0.89285999999999999</v>
      </c>
      <c r="I197" s="252">
        <f t="shared" si="69"/>
        <v>0.99009999999999998</v>
      </c>
      <c r="J197" s="252">
        <f t="shared" si="70"/>
        <v>1.0989</v>
      </c>
      <c r="M197" s="216" t="s">
        <v>566</v>
      </c>
      <c r="N197" s="216"/>
      <c r="O197" s="216" t="s">
        <v>455</v>
      </c>
      <c r="P197" s="106">
        <v>124</v>
      </c>
      <c r="Q197" s="106">
        <v>124</v>
      </c>
      <c r="R197" s="106">
        <v>112</v>
      </c>
      <c r="S197" s="106">
        <v>101</v>
      </c>
      <c r="T197" s="106">
        <v>91</v>
      </c>
      <c r="W197" s="117"/>
    </row>
    <row r="198" spans="2:23" x14ac:dyDescent="0.3">
      <c r="B198" s="214" t="s">
        <v>446</v>
      </c>
      <c r="C198" s="214" t="str">
        <f t="shared" si="76"/>
        <v>TCARHFC901</v>
      </c>
      <c r="D198" s="219"/>
      <c r="E198" s="214" t="str">
        <f t="shared" si="77"/>
        <v>TCS-C</v>
      </c>
      <c r="F198" s="252">
        <f t="shared" si="66"/>
        <v>0.80645</v>
      </c>
      <c r="G198" s="252">
        <f t="shared" si="67"/>
        <v>0.80645</v>
      </c>
      <c r="H198" s="252">
        <f t="shared" si="68"/>
        <v>0.89285999999999999</v>
      </c>
      <c r="I198" s="252">
        <f t="shared" si="69"/>
        <v>0.99009999999999998</v>
      </c>
      <c r="J198" s="252">
        <f t="shared" si="70"/>
        <v>1.0989</v>
      </c>
      <c r="M198" s="216" t="s">
        <v>224</v>
      </c>
      <c r="N198" s="216"/>
      <c r="O198" s="216" t="s">
        <v>289</v>
      </c>
      <c r="P198" s="106">
        <v>124</v>
      </c>
      <c r="Q198" s="106">
        <v>124</v>
      </c>
      <c r="R198" s="106">
        <v>112</v>
      </c>
      <c r="S198" s="106">
        <v>101</v>
      </c>
      <c r="T198" s="106">
        <v>91</v>
      </c>
      <c r="W198" s="117"/>
    </row>
    <row r="199" spans="2:23" x14ac:dyDescent="0.3">
      <c r="B199" s="214" t="s">
        <v>446</v>
      </c>
      <c r="C199" s="214" t="str">
        <f t="shared" si="76"/>
        <v>TCARHYD101</v>
      </c>
      <c r="D199" s="219"/>
      <c r="E199" s="214" t="str">
        <f t="shared" si="77"/>
        <v>TCS</v>
      </c>
      <c r="F199" s="252">
        <f t="shared" si="66"/>
        <v>0.62112000000000001</v>
      </c>
      <c r="G199" s="252">
        <f t="shared" si="67"/>
        <v>0.65788999999999997</v>
      </c>
      <c r="H199" s="252">
        <f t="shared" si="68"/>
        <v>0.72992999999999997</v>
      </c>
      <c r="I199" s="252">
        <f t="shared" si="69"/>
        <v>0.80645</v>
      </c>
      <c r="J199" s="252">
        <f t="shared" si="70"/>
        <v>0.89285999999999999</v>
      </c>
      <c r="M199" s="216" t="s">
        <v>58</v>
      </c>
      <c r="N199" s="216"/>
      <c r="O199" s="216" t="s">
        <v>46</v>
      </c>
      <c r="P199" s="106">
        <v>161</v>
      </c>
      <c r="Q199" s="106">
        <v>152</v>
      </c>
      <c r="R199" s="106">
        <v>137</v>
      </c>
      <c r="S199" s="106">
        <v>124</v>
      </c>
      <c r="T199" s="106">
        <v>112</v>
      </c>
      <c r="W199" s="117"/>
    </row>
    <row r="200" spans="2:23" x14ac:dyDescent="0.3">
      <c r="B200" s="214" t="s">
        <v>446</v>
      </c>
      <c r="C200" s="214" t="str">
        <f t="shared" si="76"/>
        <v>TCARHYD101P</v>
      </c>
      <c r="D200" s="219"/>
      <c r="E200" s="214" t="str">
        <f t="shared" si="77"/>
        <v>TCS-P</v>
      </c>
      <c r="F200" s="252">
        <f t="shared" si="66"/>
        <v>0.62112000000000001</v>
      </c>
      <c r="G200" s="252">
        <f t="shared" si="67"/>
        <v>0.65788999999999997</v>
      </c>
      <c r="H200" s="252">
        <f t="shared" si="68"/>
        <v>0.72992999999999997</v>
      </c>
      <c r="I200" s="252">
        <f t="shared" si="69"/>
        <v>0.80645</v>
      </c>
      <c r="J200" s="252">
        <f t="shared" si="70"/>
        <v>0.89285999999999999</v>
      </c>
      <c r="M200" s="216" t="s">
        <v>567</v>
      </c>
      <c r="N200" s="216"/>
      <c r="O200" s="216" t="s">
        <v>455</v>
      </c>
      <c r="P200" s="106">
        <v>161</v>
      </c>
      <c r="Q200" s="106">
        <v>152</v>
      </c>
      <c r="R200" s="106">
        <v>137</v>
      </c>
      <c r="S200" s="106">
        <v>124</v>
      </c>
      <c r="T200" s="106">
        <v>112</v>
      </c>
      <c r="W200" s="117"/>
    </row>
    <row r="201" spans="2:23" x14ac:dyDescent="0.3">
      <c r="B201" s="214" t="s">
        <v>446</v>
      </c>
      <c r="C201" s="214" t="str">
        <f t="shared" si="76"/>
        <v>TCARHYD901</v>
      </c>
      <c r="D201" s="219"/>
      <c r="E201" s="214" t="str">
        <f t="shared" si="77"/>
        <v>TCS-C</v>
      </c>
      <c r="F201" s="252">
        <f t="shared" si="66"/>
        <v>0.62112000000000001</v>
      </c>
      <c r="G201" s="252">
        <f t="shared" si="67"/>
        <v>0.65788999999999997</v>
      </c>
      <c r="H201" s="252">
        <f t="shared" si="68"/>
        <v>0.72992999999999997</v>
      </c>
      <c r="I201" s="252">
        <f t="shared" si="69"/>
        <v>0.80645</v>
      </c>
      <c r="J201" s="252">
        <f t="shared" si="70"/>
        <v>0.89285999999999999</v>
      </c>
      <c r="M201" s="216" t="s">
        <v>226</v>
      </c>
      <c r="N201" s="216"/>
      <c r="O201" s="216" t="s">
        <v>289</v>
      </c>
      <c r="P201" s="106">
        <v>161</v>
      </c>
      <c r="Q201" s="106">
        <v>152</v>
      </c>
      <c r="R201" s="106">
        <v>137</v>
      </c>
      <c r="S201" s="106">
        <v>124</v>
      </c>
      <c r="T201" s="106">
        <v>112</v>
      </c>
      <c r="W201" s="117"/>
    </row>
    <row r="202" spans="2:23" x14ac:dyDescent="0.3">
      <c r="B202" s="214" t="s">
        <v>446</v>
      </c>
      <c r="C202" s="214" t="str">
        <f t="shared" si="76"/>
        <v>TCARHYG101</v>
      </c>
      <c r="D202" s="219"/>
      <c r="E202" s="214" t="str">
        <f t="shared" si="77"/>
        <v>TCS</v>
      </c>
      <c r="F202" s="252">
        <f t="shared" si="66"/>
        <v>0.52356000000000003</v>
      </c>
      <c r="G202" s="252">
        <f t="shared" si="67"/>
        <v>0.55249000000000004</v>
      </c>
      <c r="H202" s="252">
        <f t="shared" si="68"/>
        <v>0.61350000000000005</v>
      </c>
      <c r="I202" s="252">
        <f t="shared" si="69"/>
        <v>0.68027000000000004</v>
      </c>
      <c r="J202" s="252">
        <f t="shared" si="70"/>
        <v>0.75187999999999999</v>
      </c>
      <c r="M202" s="216" t="s">
        <v>59</v>
      </c>
      <c r="N202" s="216"/>
      <c r="O202" s="216" t="s">
        <v>46</v>
      </c>
      <c r="P202" s="106">
        <v>191</v>
      </c>
      <c r="Q202" s="106">
        <v>181</v>
      </c>
      <c r="R202" s="106">
        <v>163</v>
      </c>
      <c r="S202" s="106">
        <v>147</v>
      </c>
      <c r="T202" s="106">
        <v>133</v>
      </c>
      <c r="W202" s="117"/>
    </row>
    <row r="203" spans="2:23" x14ac:dyDescent="0.3">
      <c r="B203" s="214" t="s">
        <v>446</v>
      </c>
      <c r="C203" s="214" t="str">
        <f t="shared" si="76"/>
        <v>TCARHYG101P</v>
      </c>
      <c r="D203" s="219"/>
      <c r="E203" s="214" t="str">
        <f t="shared" si="77"/>
        <v>TCS-P</v>
      </c>
      <c r="F203" s="252">
        <f t="shared" si="66"/>
        <v>0.52356000000000003</v>
      </c>
      <c r="G203" s="252">
        <f t="shared" si="67"/>
        <v>0.55249000000000004</v>
      </c>
      <c r="H203" s="252">
        <f t="shared" si="68"/>
        <v>0.61350000000000005</v>
      </c>
      <c r="I203" s="252">
        <f t="shared" si="69"/>
        <v>0.68027000000000004</v>
      </c>
      <c r="J203" s="252">
        <f t="shared" si="70"/>
        <v>0.75187999999999999</v>
      </c>
      <c r="M203" s="216" t="s">
        <v>568</v>
      </c>
      <c r="N203" s="216"/>
      <c r="O203" s="216" t="s">
        <v>455</v>
      </c>
      <c r="P203" s="106">
        <v>191</v>
      </c>
      <c r="Q203" s="106">
        <v>181</v>
      </c>
      <c r="R203" s="106">
        <v>163</v>
      </c>
      <c r="S203" s="106">
        <v>147</v>
      </c>
      <c r="T203" s="106">
        <v>133</v>
      </c>
      <c r="W203" s="117"/>
    </row>
    <row r="204" spans="2:23" x14ac:dyDescent="0.3">
      <c r="B204" s="214" t="s">
        <v>446</v>
      </c>
      <c r="C204" s="214" t="str">
        <f t="shared" si="76"/>
        <v>TCARHYG901</v>
      </c>
      <c r="D204" s="219"/>
      <c r="E204" s="214" t="str">
        <f t="shared" si="77"/>
        <v>TCS-C</v>
      </c>
      <c r="F204" s="252">
        <f t="shared" si="66"/>
        <v>0.52356000000000003</v>
      </c>
      <c r="G204" s="252">
        <f t="shared" si="67"/>
        <v>0.55249000000000004</v>
      </c>
      <c r="H204" s="252">
        <f t="shared" si="68"/>
        <v>0.61350000000000005</v>
      </c>
      <c r="I204" s="252">
        <f t="shared" si="69"/>
        <v>0.68027000000000004</v>
      </c>
      <c r="J204" s="252">
        <f t="shared" si="70"/>
        <v>0.75187999999999999</v>
      </c>
      <c r="M204" s="216" t="s">
        <v>228</v>
      </c>
      <c r="N204" s="216"/>
      <c r="O204" s="216" t="s">
        <v>289</v>
      </c>
      <c r="P204" s="106">
        <v>191</v>
      </c>
      <c r="Q204" s="106">
        <v>181</v>
      </c>
      <c r="R204" s="106">
        <v>163</v>
      </c>
      <c r="S204" s="106">
        <v>147</v>
      </c>
      <c r="T204" s="106">
        <v>133</v>
      </c>
      <c r="W204" s="117"/>
    </row>
    <row r="205" spans="2:23" x14ac:dyDescent="0.3">
      <c r="B205" s="214" t="s">
        <v>446</v>
      </c>
      <c r="C205" s="214" t="str">
        <f t="shared" si="76"/>
        <v>TCARLPG101</v>
      </c>
      <c r="D205" s="219"/>
      <c r="E205" s="214" t="str">
        <f t="shared" si="77"/>
        <v>TCS</v>
      </c>
      <c r="F205" s="252">
        <f t="shared" si="66"/>
        <v>0.42553000000000002</v>
      </c>
      <c r="G205" s="252">
        <f t="shared" si="67"/>
        <v>0.45455000000000001</v>
      </c>
      <c r="H205" s="252">
        <f t="shared" si="68"/>
        <v>0.47847000000000001</v>
      </c>
      <c r="I205" s="252">
        <f t="shared" si="69"/>
        <v>0.50251000000000001</v>
      </c>
      <c r="J205" s="252">
        <f t="shared" si="70"/>
        <v>0.52910000000000001</v>
      </c>
      <c r="M205" s="216" t="s">
        <v>60</v>
      </c>
      <c r="N205" s="216"/>
      <c r="O205" s="216" t="s">
        <v>46</v>
      </c>
      <c r="P205" s="106">
        <v>235</v>
      </c>
      <c r="Q205" s="106">
        <v>220</v>
      </c>
      <c r="R205" s="106">
        <v>209</v>
      </c>
      <c r="S205" s="106">
        <v>199</v>
      </c>
      <c r="T205" s="106">
        <v>189</v>
      </c>
      <c r="W205" s="117"/>
    </row>
    <row r="206" spans="2:23" x14ac:dyDescent="0.3">
      <c r="B206" s="214" t="s">
        <v>446</v>
      </c>
      <c r="C206" s="214" t="str">
        <f t="shared" si="76"/>
        <v>TCARLPG101P</v>
      </c>
      <c r="D206" s="219"/>
      <c r="E206" s="214" t="str">
        <f t="shared" si="77"/>
        <v>TCS-P</v>
      </c>
      <c r="F206" s="252">
        <f t="shared" si="66"/>
        <v>0.42553000000000002</v>
      </c>
      <c r="G206" s="252">
        <f t="shared" si="67"/>
        <v>0.45455000000000001</v>
      </c>
      <c r="H206" s="252">
        <f t="shared" si="68"/>
        <v>0.47847000000000001</v>
      </c>
      <c r="I206" s="252">
        <f t="shared" si="69"/>
        <v>0.50251000000000001</v>
      </c>
      <c r="J206" s="252">
        <f t="shared" si="70"/>
        <v>0.52910000000000001</v>
      </c>
      <c r="M206" s="216" t="s">
        <v>569</v>
      </c>
      <c r="N206" s="216"/>
      <c r="O206" s="216" t="s">
        <v>455</v>
      </c>
      <c r="P206" s="106">
        <v>235</v>
      </c>
      <c r="Q206" s="106">
        <v>220</v>
      </c>
      <c r="R206" s="106">
        <v>209</v>
      </c>
      <c r="S206" s="106">
        <v>199</v>
      </c>
      <c r="T206" s="106">
        <v>189</v>
      </c>
      <c r="W206" s="117"/>
    </row>
    <row r="207" spans="2:23" x14ac:dyDescent="0.3">
      <c r="B207" s="214" t="s">
        <v>446</v>
      </c>
      <c r="C207" s="214" t="str">
        <f t="shared" si="76"/>
        <v>TCARLPG901</v>
      </c>
      <c r="D207" s="219"/>
      <c r="E207" s="214" t="str">
        <f t="shared" si="77"/>
        <v>TCS-C</v>
      </c>
      <c r="F207" s="252">
        <f t="shared" si="66"/>
        <v>0.42553000000000002</v>
      </c>
      <c r="G207" s="252">
        <f t="shared" si="67"/>
        <v>0.45455000000000001</v>
      </c>
      <c r="H207" s="252">
        <f t="shared" si="68"/>
        <v>0.47847000000000001</v>
      </c>
      <c r="I207" s="252">
        <f t="shared" si="69"/>
        <v>0.50251000000000001</v>
      </c>
      <c r="J207" s="252">
        <f t="shared" si="70"/>
        <v>0.52910000000000001</v>
      </c>
      <c r="M207" s="216" t="s">
        <v>230</v>
      </c>
      <c r="N207" s="216"/>
      <c r="O207" s="216" t="s">
        <v>289</v>
      </c>
      <c r="P207" s="106">
        <v>235</v>
      </c>
      <c r="Q207" s="106">
        <v>220</v>
      </c>
      <c r="R207" s="106">
        <v>209</v>
      </c>
      <c r="S207" s="106">
        <v>199</v>
      </c>
      <c r="T207" s="106">
        <v>189</v>
      </c>
      <c r="W207" s="117"/>
    </row>
    <row r="208" spans="2:23" x14ac:dyDescent="0.3">
      <c r="B208" s="214" t="s">
        <v>446</v>
      </c>
      <c r="C208" s="214" t="str">
        <f t="shared" si="76"/>
        <v>TCARMTH101</v>
      </c>
      <c r="D208" s="219"/>
      <c r="E208" s="214" t="str">
        <f t="shared" si="77"/>
        <v>TCS</v>
      </c>
      <c r="F208" s="252">
        <f t="shared" si="66"/>
        <v>0.42553000000000002</v>
      </c>
      <c r="G208" s="252">
        <f t="shared" si="67"/>
        <v>0.45455000000000001</v>
      </c>
      <c r="H208" s="252">
        <f t="shared" si="68"/>
        <v>0.47847000000000001</v>
      </c>
      <c r="I208" s="252">
        <f t="shared" si="69"/>
        <v>0.50251000000000001</v>
      </c>
      <c r="J208" s="252">
        <f t="shared" si="70"/>
        <v>0.52910000000000001</v>
      </c>
      <c r="M208" s="216" t="s">
        <v>583</v>
      </c>
      <c r="N208" s="216"/>
      <c r="O208" s="216" t="s">
        <v>46</v>
      </c>
      <c r="P208" s="106">
        <v>235</v>
      </c>
      <c r="Q208" s="106">
        <v>220</v>
      </c>
      <c r="R208" s="106">
        <v>209</v>
      </c>
      <c r="S208" s="106">
        <v>199</v>
      </c>
      <c r="T208" s="106">
        <v>189</v>
      </c>
      <c r="W208" s="117"/>
    </row>
    <row r="209" spans="2:23" x14ac:dyDescent="0.3">
      <c r="B209" s="214" t="s">
        <v>446</v>
      </c>
      <c r="C209" s="214" t="str">
        <f t="shared" si="76"/>
        <v>TCARMTH101P</v>
      </c>
      <c r="D209" s="219"/>
      <c r="E209" s="214" t="str">
        <f t="shared" si="77"/>
        <v>TCS-P</v>
      </c>
      <c r="F209" s="252">
        <f t="shared" si="66"/>
        <v>0.42553000000000002</v>
      </c>
      <c r="G209" s="252">
        <f t="shared" si="67"/>
        <v>0.45455000000000001</v>
      </c>
      <c r="H209" s="252">
        <f t="shared" si="68"/>
        <v>0.47847000000000001</v>
      </c>
      <c r="I209" s="252">
        <f t="shared" si="69"/>
        <v>0.50251000000000001</v>
      </c>
      <c r="J209" s="252">
        <f t="shared" si="70"/>
        <v>0.52910000000000001</v>
      </c>
      <c r="M209" s="216" t="s">
        <v>586</v>
      </c>
      <c r="N209" s="216"/>
      <c r="O209" s="216" t="s">
        <v>455</v>
      </c>
      <c r="P209" s="106">
        <v>235</v>
      </c>
      <c r="Q209" s="106">
        <v>220</v>
      </c>
      <c r="R209" s="106">
        <v>209</v>
      </c>
      <c r="S209" s="106">
        <v>199</v>
      </c>
      <c r="T209" s="106">
        <v>189</v>
      </c>
      <c r="W209" s="117"/>
    </row>
    <row r="210" spans="2:23" x14ac:dyDescent="0.3">
      <c r="B210" s="214" t="s">
        <v>446</v>
      </c>
      <c r="C210" s="214" t="str">
        <f t="shared" si="76"/>
        <v>TCARMTH901</v>
      </c>
      <c r="D210" s="219"/>
      <c r="E210" s="214" t="str">
        <f t="shared" si="77"/>
        <v>TCS-C</v>
      </c>
      <c r="F210" s="252">
        <f t="shared" si="66"/>
        <v>0.42553000000000002</v>
      </c>
      <c r="G210" s="252">
        <f t="shared" si="67"/>
        <v>0.45455000000000001</v>
      </c>
      <c r="H210" s="252">
        <f t="shared" si="68"/>
        <v>0.47847000000000001</v>
      </c>
      <c r="I210" s="252">
        <f t="shared" si="69"/>
        <v>0.50251000000000001</v>
      </c>
      <c r="J210" s="252">
        <f t="shared" si="70"/>
        <v>0.52910000000000001</v>
      </c>
      <c r="M210" s="216" t="s">
        <v>584</v>
      </c>
      <c r="N210" s="216"/>
      <c r="O210" s="216" t="s">
        <v>289</v>
      </c>
      <c r="P210" s="106">
        <v>235</v>
      </c>
      <c r="Q210" s="106">
        <v>220</v>
      </c>
      <c r="R210" s="106">
        <v>209</v>
      </c>
      <c r="S210" s="106">
        <v>199</v>
      </c>
      <c r="T210" s="106">
        <v>189</v>
      </c>
      <c r="W210" s="117"/>
    </row>
    <row r="211" spans="2:23" x14ac:dyDescent="0.3">
      <c r="B211" s="214" t="s">
        <v>446</v>
      </c>
      <c r="C211" s="214" t="str">
        <f t="shared" si="76"/>
        <v>TCARPYD101</v>
      </c>
      <c r="D211" s="219"/>
      <c r="E211" s="214" t="str">
        <f t="shared" si="77"/>
        <v>TCS</v>
      </c>
      <c r="F211" s="252">
        <f t="shared" si="66"/>
        <v>1.0869599999999999</v>
      </c>
      <c r="G211" s="252">
        <f t="shared" si="67"/>
        <v>1.0638300000000001</v>
      </c>
      <c r="H211" s="252">
        <f t="shared" si="68"/>
        <v>1.13636</v>
      </c>
      <c r="I211" s="252">
        <f t="shared" si="69"/>
        <v>1.2195100000000001</v>
      </c>
      <c r="J211" s="252">
        <f t="shared" si="70"/>
        <v>1.31579</v>
      </c>
      <c r="M211" s="216" t="s">
        <v>63</v>
      </c>
      <c r="N211" s="216"/>
      <c r="O211" s="216" t="s">
        <v>46</v>
      </c>
      <c r="P211" s="106">
        <v>92</v>
      </c>
      <c r="Q211" s="106">
        <v>94</v>
      </c>
      <c r="R211" s="106">
        <v>88</v>
      </c>
      <c r="S211" s="106">
        <v>82</v>
      </c>
      <c r="T211" s="106">
        <v>76</v>
      </c>
      <c r="W211" s="117"/>
    </row>
    <row r="212" spans="2:23" x14ac:dyDescent="0.3">
      <c r="B212" s="214" t="s">
        <v>446</v>
      </c>
      <c r="C212" s="214" t="str">
        <f t="shared" si="76"/>
        <v>TCARPYD101P</v>
      </c>
      <c r="D212" s="219"/>
      <c r="E212" s="214" t="str">
        <f t="shared" si="77"/>
        <v>TCS-P</v>
      </c>
      <c r="F212" s="252">
        <f t="shared" si="66"/>
        <v>1.0869599999999999</v>
      </c>
      <c r="G212" s="252">
        <f t="shared" si="67"/>
        <v>1.0638300000000001</v>
      </c>
      <c r="H212" s="252">
        <f t="shared" si="68"/>
        <v>1.13636</v>
      </c>
      <c r="I212" s="252">
        <f t="shared" si="69"/>
        <v>1.2195100000000001</v>
      </c>
      <c r="J212" s="252">
        <f t="shared" si="70"/>
        <v>1.31579</v>
      </c>
      <c r="M212" s="216" t="s">
        <v>570</v>
      </c>
      <c r="N212" s="216"/>
      <c r="O212" s="216" t="s">
        <v>455</v>
      </c>
      <c r="P212" s="106">
        <v>92</v>
      </c>
      <c r="Q212" s="106">
        <v>94</v>
      </c>
      <c r="R212" s="106">
        <v>88</v>
      </c>
      <c r="S212" s="106">
        <v>82</v>
      </c>
      <c r="T212" s="106">
        <v>76</v>
      </c>
      <c r="W212" s="117"/>
    </row>
    <row r="213" spans="2:23" x14ac:dyDescent="0.3">
      <c r="B213" s="214" t="s">
        <v>446</v>
      </c>
      <c r="C213" s="214" t="str">
        <f t="shared" si="76"/>
        <v>TCARPYD901</v>
      </c>
      <c r="D213" s="219"/>
      <c r="E213" s="214" t="str">
        <f t="shared" si="77"/>
        <v>TCS-C</v>
      </c>
      <c r="F213" s="252">
        <f t="shared" si="66"/>
        <v>1.0869599999999999</v>
      </c>
      <c r="G213" s="252">
        <f t="shared" si="67"/>
        <v>1.0638300000000001</v>
      </c>
      <c r="H213" s="252">
        <f t="shared" si="68"/>
        <v>1.13636</v>
      </c>
      <c r="I213" s="252">
        <f t="shared" si="69"/>
        <v>1.2195100000000001</v>
      </c>
      <c r="J213" s="252">
        <f t="shared" si="70"/>
        <v>1.31579</v>
      </c>
      <c r="M213" s="216" t="s">
        <v>232</v>
      </c>
      <c r="N213" s="216"/>
      <c r="O213" s="216" t="s">
        <v>289</v>
      </c>
      <c r="P213" s="106">
        <v>92</v>
      </c>
      <c r="Q213" s="106">
        <v>94</v>
      </c>
      <c r="R213" s="106">
        <v>88</v>
      </c>
      <c r="S213" s="106">
        <v>82</v>
      </c>
      <c r="T213" s="106">
        <v>76</v>
      </c>
      <c r="W213" s="117"/>
    </row>
    <row r="214" spans="2:23" x14ac:dyDescent="0.3">
      <c r="B214" s="214" t="s">
        <v>446</v>
      </c>
      <c r="C214" s="214" t="str">
        <f t="shared" si="76"/>
        <v>TCARPYG101</v>
      </c>
      <c r="D214" s="219"/>
      <c r="E214" s="214" t="str">
        <f t="shared" si="77"/>
        <v>TCS</v>
      </c>
      <c r="F214" s="252">
        <f t="shared" si="66"/>
        <v>1.0101</v>
      </c>
      <c r="G214" s="252">
        <f t="shared" si="67"/>
        <v>0.99009999999999998</v>
      </c>
      <c r="H214" s="252">
        <f t="shared" si="68"/>
        <v>1.05263</v>
      </c>
      <c r="I214" s="252">
        <f t="shared" si="69"/>
        <v>1.1235999999999999</v>
      </c>
      <c r="J214" s="252">
        <f t="shared" si="70"/>
        <v>1.19048</v>
      </c>
      <c r="M214" s="216" t="s">
        <v>64</v>
      </c>
      <c r="N214" s="216"/>
      <c r="O214" s="216" t="s">
        <v>46</v>
      </c>
      <c r="P214" s="106">
        <v>99</v>
      </c>
      <c r="Q214" s="106">
        <v>101</v>
      </c>
      <c r="R214" s="106">
        <v>95</v>
      </c>
      <c r="S214" s="106">
        <v>89</v>
      </c>
      <c r="T214" s="106">
        <v>84</v>
      </c>
      <c r="W214" s="117"/>
    </row>
    <row r="215" spans="2:23" x14ac:dyDescent="0.3">
      <c r="B215" s="214" t="s">
        <v>446</v>
      </c>
      <c r="C215" s="214" t="str">
        <f t="shared" si="76"/>
        <v>TCARPYG101P</v>
      </c>
      <c r="D215" s="219"/>
      <c r="E215" s="214" t="str">
        <f t="shared" si="77"/>
        <v>TCS-P</v>
      </c>
      <c r="F215" s="252">
        <f t="shared" si="66"/>
        <v>1.0101</v>
      </c>
      <c r="G215" s="252">
        <f t="shared" si="67"/>
        <v>0.99009999999999998</v>
      </c>
      <c r="H215" s="252">
        <f t="shared" si="68"/>
        <v>1.05263</v>
      </c>
      <c r="I215" s="252">
        <f t="shared" si="69"/>
        <v>1.1235999999999999</v>
      </c>
      <c r="J215" s="252">
        <f t="shared" si="70"/>
        <v>1.19048</v>
      </c>
      <c r="M215" s="216" t="s">
        <v>571</v>
      </c>
      <c r="N215" s="216"/>
      <c r="O215" s="216" t="s">
        <v>455</v>
      </c>
      <c r="P215" s="106">
        <v>99</v>
      </c>
      <c r="Q215" s="106">
        <v>101</v>
      </c>
      <c r="R215" s="106">
        <v>95</v>
      </c>
      <c r="S215" s="106">
        <v>89</v>
      </c>
      <c r="T215" s="106">
        <v>84</v>
      </c>
      <c r="W215" s="117"/>
    </row>
    <row r="216" spans="2:23" x14ac:dyDescent="0.3">
      <c r="B216" s="217" t="s">
        <v>446</v>
      </c>
      <c r="C216" s="217" t="str">
        <f t="shared" si="76"/>
        <v>TCARPYG901</v>
      </c>
      <c r="D216" s="220"/>
      <c r="E216" s="217" t="str">
        <f t="shared" si="77"/>
        <v>TCS-C</v>
      </c>
      <c r="F216" s="254">
        <f t="shared" si="66"/>
        <v>1.0101</v>
      </c>
      <c r="G216" s="254">
        <f t="shared" si="67"/>
        <v>0.99009999999999998</v>
      </c>
      <c r="H216" s="254">
        <f t="shared" si="68"/>
        <v>1.05263</v>
      </c>
      <c r="I216" s="254">
        <f t="shared" si="69"/>
        <v>1.1235999999999999</v>
      </c>
      <c r="J216" s="254">
        <f t="shared" si="70"/>
        <v>1.19048</v>
      </c>
      <c r="M216" s="221" t="s">
        <v>234</v>
      </c>
      <c r="N216" s="221"/>
      <c r="O216" s="221" t="s">
        <v>289</v>
      </c>
      <c r="P216" s="111">
        <v>99</v>
      </c>
      <c r="Q216" s="111">
        <v>101</v>
      </c>
      <c r="R216" s="111">
        <v>95</v>
      </c>
      <c r="S216" s="111">
        <v>89</v>
      </c>
      <c r="T216" s="111">
        <v>84</v>
      </c>
      <c r="W216" s="145"/>
    </row>
    <row r="217" spans="2:23" x14ac:dyDescent="0.3">
      <c r="B217" s="214" t="s">
        <v>452</v>
      </c>
      <c r="C217" s="214" t="str">
        <f t="shared" si="76"/>
        <v>TFLEBDL101</v>
      </c>
      <c r="D217" s="219"/>
      <c r="E217" s="214" t="str">
        <f t="shared" si="77"/>
        <v>TFLS</v>
      </c>
      <c r="F217" s="252">
        <f t="shared" si="66"/>
        <v>0.50251000000000001</v>
      </c>
      <c r="G217" s="252">
        <f t="shared" si="67"/>
        <v>0.53763000000000005</v>
      </c>
      <c r="H217" s="252">
        <f t="shared" si="68"/>
        <v>0.56496999999999997</v>
      </c>
      <c r="I217" s="252">
        <f t="shared" si="69"/>
        <v>0.59523999999999999</v>
      </c>
      <c r="J217" s="252">
        <f t="shared" si="70"/>
        <v>0.625</v>
      </c>
      <c r="M217" s="216" t="s">
        <v>132</v>
      </c>
      <c r="N217" s="216"/>
      <c r="O217" s="216" t="s">
        <v>335</v>
      </c>
      <c r="P217" s="106">
        <v>199</v>
      </c>
      <c r="Q217" s="106">
        <v>186</v>
      </c>
      <c r="R217" s="106">
        <v>177</v>
      </c>
      <c r="S217" s="106">
        <v>168</v>
      </c>
      <c r="T217" s="106">
        <v>160</v>
      </c>
      <c r="V217" s="133"/>
      <c r="W217" s="117" t="s">
        <v>648</v>
      </c>
    </row>
    <row r="218" spans="2:23" x14ac:dyDescent="0.3">
      <c r="B218" s="214" t="s">
        <v>452</v>
      </c>
      <c r="C218" s="214" t="str">
        <f t="shared" si="76"/>
        <v>TFLEBDL901</v>
      </c>
      <c r="D218" s="219"/>
      <c r="E218" s="214" t="str">
        <f t="shared" si="77"/>
        <v>TFLS-C</v>
      </c>
      <c r="F218" s="252">
        <f t="shared" si="66"/>
        <v>0.50251000000000001</v>
      </c>
      <c r="G218" s="252">
        <f t="shared" si="67"/>
        <v>0.53763000000000005</v>
      </c>
      <c r="H218" s="252">
        <f t="shared" si="68"/>
        <v>0.56496999999999997</v>
      </c>
      <c r="I218" s="252">
        <f t="shared" si="69"/>
        <v>0.59523999999999999</v>
      </c>
      <c r="J218" s="252">
        <f t="shared" si="70"/>
        <v>0.625</v>
      </c>
      <c r="M218" s="216" t="s">
        <v>236</v>
      </c>
      <c r="N218" s="216"/>
      <c r="O218" s="216" t="s">
        <v>476</v>
      </c>
      <c r="P218" s="106">
        <v>199</v>
      </c>
      <c r="Q218" s="106">
        <v>186</v>
      </c>
      <c r="R218" s="106">
        <v>177</v>
      </c>
      <c r="S218" s="106">
        <v>168</v>
      </c>
      <c r="T218" s="106">
        <v>160</v>
      </c>
      <c r="V218" s="133"/>
      <c r="W218" s="117" t="s">
        <v>648</v>
      </c>
    </row>
    <row r="219" spans="2:23" x14ac:dyDescent="0.3">
      <c r="B219" s="214" t="s">
        <v>452</v>
      </c>
      <c r="C219" s="214" t="str">
        <f t="shared" si="76"/>
        <v>TFLEDME101</v>
      </c>
      <c r="D219" s="219"/>
      <c r="E219" s="214" t="str">
        <f t="shared" si="77"/>
        <v>TFLS</v>
      </c>
      <c r="F219" s="252">
        <f t="shared" si="66"/>
        <v>0.50251000000000001</v>
      </c>
      <c r="G219" s="252">
        <f t="shared" si="67"/>
        <v>0.53763000000000005</v>
      </c>
      <c r="H219" s="252">
        <f t="shared" si="68"/>
        <v>0.56496999999999997</v>
      </c>
      <c r="I219" s="252">
        <f t="shared" si="69"/>
        <v>0.59523999999999999</v>
      </c>
      <c r="J219" s="252">
        <f t="shared" si="70"/>
        <v>0.625</v>
      </c>
      <c r="M219" s="216" t="s">
        <v>134</v>
      </c>
      <c r="N219" s="216"/>
      <c r="O219" s="216" t="s">
        <v>335</v>
      </c>
      <c r="P219" s="106">
        <v>199</v>
      </c>
      <c r="Q219" s="106">
        <v>186</v>
      </c>
      <c r="R219" s="106">
        <v>177</v>
      </c>
      <c r="S219" s="106">
        <v>168</v>
      </c>
      <c r="T219" s="106">
        <v>160</v>
      </c>
      <c r="V219" s="133"/>
      <c r="W219" s="117" t="s">
        <v>648</v>
      </c>
    </row>
    <row r="220" spans="2:23" x14ac:dyDescent="0.3">
      <c r="B220" s="214" t="s">
        <v>452</v>
      </c>
      <c r="C220" s="214" t="str">
        <f t="shared" si="76"/>
        <v>TFLEDME901</v>
      </c>
      <c r="D220" s="219"/>
      <c r="E220" s="214" t="str">
        <f t="shared" si="77"/>
        <v>TFLS-C</v>
      </c>
      <c r="F220" s="252">
        <f t="shared" si="66"/>
        <v>0.50251000000000001</v>
      </c>
      <c r="G220" s="252">
        <f t="shared" si="67"/>
        <v>0.53763000000000005</v>
      </c>
      <c r="H220" s="252">
        <f t="shared" si="68"/>
        <v>0.56496999999999997</v>
      </c>
      <c r="I220" s="252">
        <f t="shared" si="69"/>
        <v>0.59523999999999999</v>
      </c>
      <c r="J220" s="252">
        <f t="shared" si="70"/>
        <v>0.625</v>
      </c>
      <c r="M220" s="216" t="s">
        <v>238</v>
      </c>
      <c r="N220" s="216"/>
      <c r="O220" s="216" t="s">
        <v>476</v>
      </c>
      <c r="P220" s="106">
        <v>199</v>
      </c>
      <c r="Q220" s="106">
        <v>186</v>
      </c>
      <c r="R220" s="106">
        <v>177</v>
      </c>
      <c r="S220" s="106">
        <v>168</v>
      </c>
      <c r="T220" s="106">
        <v>160</v>
      </c>
      <c r="V220" s="133"/>
      <c r="W220" s="117" t="s">
        <v>648</v>
      </c>
    </row>
    <row r="221" spans="2:23" x14ac:dyDescent="0.3">
      <c r="B221" s="214" t="s">
        <v>452</v>
      </c>
      <c r="C221" s="214" t="str">
        <f t="shared" si="76"/>
        <v>TFLEDST101</v>
      </c>
      <c r="D221" s="219"/>
      <c r="E221" s="214" t="str">
        <f t="shared" si="77"/>
        <v>TFLS</v>
      </c>
      <c r="F221" s="252">
        <f t="shared" si="66"/>
        <v>0.50251000000000001</v>
      </c>
      <c r="G221" s="252">
        <f t="shared" si="67"/>
        <v>0.53763000000000005</v>
      </c>
      <c r="H221" s="252">
        <f t="shared" si="68"/>
        <v>0.56496999999999997</v>
      </c>
      <c r="I221" s="252">
        <f t="shared" si="69"/>
        <v>0.59523999999999999</v>
      </c>
      <c r="J221" s="252">
        <f t="shared" si="70"/>
        <v>0.625</v>
      </c>
      <c r="M221" s="216" t="s">
        <v>136</v>
      </c>
      <c r="N221" s="216"/>
      <c r="O221" s="216" t="s">
        <v>335</v>
      </c>
      <c r="P221" s="106">
        <v>199</v>
      </c>
      <c r="Q221" s="106">
        <v>186</v>
      </c>
      <c r="R221" s="106">
        <v>177</v>
      </c>
      <c r="S221" s="106">
        <v>168</v>
      </c>
      <c r="T221" s="106">
        <v>160</v>
      </c>
      <c r="V221" s="133"/>
      <c r="W221" s="117" t="s">
        <v>295</v>
      </c>
    </row>
    <row r="222" spans="2:23" x14ac:dyDescent="0.3">
      <c r="B222" s="214" t="s">
        <v>452</v>
      </c>
      <c r="C222" s="214" t="str">
        <f t="shared" si="76"/>
        <v>TFLEDST901</v>
      </c>
      <c r="D222" s="219"/>
      <c r="E222" s="214" t="str">
        <f t="shared" si="77"/>
        <v>TFLS-C</v>
      </c>
      <c r="F222" s="252">
        <f t="shared" si="66"/>
        <v>0.50251000000000001</v>
      </c>
      <c r="G222" s="252">
        <f t="shared" si="67"/>
        <v>0.53763000000000005</v>
      </c>
      <c r="H222" s="252">
        <f t="shared" si="68"/>
        <v>0.56496999999999997</v>
      </c>
      <c r="I222" s="252">
        <f t="shared" si="69"/>
        <v>0.59523999999999999</v>
      </c>
      <c r="J222" s="252">
        <f t="shared" si="70"/>
        <v>0.625</v>
      </c>
      <c r="M222" s="216" t="s">
        <v>240</v>
      </c>
      <c r="N222" s="216"/>
      <c r="O222" s="216" t="s">
        <v>476</v>
      </c>
      <c r="P222" s="106">
        <v>199</v>
      </c>
      <c r="Q222" s="106">
        <v>186</v>
      </c>
      <c r="R222" s="106">
        <v>177</v>
      </c>
      <c r="S222" s="106">
        <v>168</v>
      </c>
      <c r="T222" s="106">
        <v>160</v>
      </c>
      <c r="V222" s="133"/>
      <c r="W222" s="117" t="s">
        <v>295</v>
      </c>
    </row>
    <row r="223" spans="2:23" x14ac:dyDescent="0.3">
      <c r="B223" s="214" t="s">
        <v>452</v>
      </c>
      <c r="C223" s="214" t="str">
        <f t="shared" si="76"/>
        <v>TFLEELC101</v>
      </c>
      <c r="D223" s="219"/>
      <c r="E223" s="214" t="str">
        <f t="shared" si="77"/>
        <v>TFLS</v>
      </c>
      <c r="F223" s="252">
        <f t="shared" si="66"/>
        <v>1.6129</v>
      </c>
      <c r="G223" s="252">
        <f t="shared" si="67"/>
        <v>1.6129</v>
      </c>
      <c r="H223" s="252">
        <f t="shared" si="68"/>
        <v>1.69492</v>
      </c>
      <c r="I223" s="252">
        <f t="shared" si="69"/>
        <v>1.7857099999999999</v>
      </c>
      <c r="J223" s="252">
        <f t="shared" si="70"/>
        <v>1.88679</v>
      </c>
      <c r="M223" s="216" t="s">
        <v>138</v>
      </c>
      <c r="N223" s="216"/>
      <c r="O223" s="216" t="s">
        <v>335</v>
      </c>
      <c r="P223" s="106">
        <v>62</v>
      </c>
      <c r="Q223" s="106">
        <v>62</v>
      </c>
      <c r="R223" s="106">
        <v>59</v>
      </c>
      <c r="S223" s="106">
        <v>56</v>
      </c>
      <c r="T223" s="106">
        <v>53</v>
      </c>
      <c r="V223" s="133"/>
      <c r="W223" s="117" t="s">
        <v>295</v>
      </c>
    </row>
    <row r="224" spans="2:23" x14ac:dyDescent="0.3">
      <c r="B224" s="214" t="s">
        <v>452</v>
      </c>
      <c r="C224" s="214" t="str">
        <f t="shared" si="76"/>
        <v>TFLEELC901</v>
      </c>
      <c r="D224" s="219"/>
      <c r="E224" s="214" t="str">
        <f t="shared" si="77"/>
        <v>TFLS-C</v>
      </c>
      <c r="F224" s="252">
        <f t="shared" si="66"/>
        <v>1.6129</v>
      </c>
      <c r="G224" s="252">
        <f t="shared" si="67"/>
        <v>1.6129</v>
      </c>
      <c r="H224" s="252">
        <f t="shared" si="68"/>
        <v>1.69492</v>
      </c>
      <c r="I224" s="252">
        <f t="shared" si="69"/>
        <v>1.7857099999999999</v>
      </c>
      <c r="J224" s="252">
        <f t="shared" si="70"/>
        <v>1.88679</v>
      </c>
      <c r="M224" s="216" t="s">
        <v>242</v>
      </c>
      <c r="N224" s="216"/>
      <c r="O224" s="216" t="s">
        <v>476</v>
      </c>
      <c r="P224" s="106">
        <v>62</v>
      </c>
      <c r="Q224" s="106">
        <v>62</v>
      </c>
      <c r="R224" s="106">
        <v>59</v>
      </c>
      <c r="S224" s="106">
        <v>56</v>
      </c>
      <c r="T224" s="106">
        <v>53</v>
      </c>
      <c r="V224" s="133"/>
      <c r="W224" s="117" t="s">
        <v>295</v>
      </c>
    </row>
    <row r="225" spans="2:23" x14ac:dyDescent="0.3">
      <c r="B225" s="214" t="s">
        <v>452</v>
      </c>
      <c r="C225" s="214" t="str">
        <f t="shared" si="76"/>
        <v>TFLEETH101</v>
      </c>
      <c r="D225" s="219"/>
      <c r="E225" s="214" t="str">
        <f t="shared" si="77"/>
        <v>TFLS</v>
      </c>
      <c r="F225" s="252">
        <f t="shared" si="66"/>
        <v>0.42553000000000002</v>
      </c>
      <c r="G225" s="252">
        <f t="shared" si="67"/>
        <v>0.45455000000000001</v>
      </c>
      <c r="H225" s="252">
        <f t="shared" si="68"/>
        <v>0.47847000000000001</v>
      </c>
      <c r="I225" s="252">
        <f t="shared" si="69"/>
        <v>0.50251000000000001</v>
      </c>
      <c r="J225" s="252">
        <f t="shared" si="70"/>
        <v>0.52910000000000001</v>
      </c>
      <c r="M225" s="216" t="s">
        <v>140</v>
      </c>
      <c r="N225" s="216"/>
      <c r="O225" s="216" t="s">
        <v>335</v>
      </c>
      <c r="P225" s="106">
        <v>235</v>
      </c>
      <c r="Q225" s="106">
        <v>220</v>
      </c>
      <c r="R225" s="106">
        <v>209</v>
      </c>
      <c r="S225" s="106">
        <v>199</v>
      </c>
      <c r="T225" s="106">
        <v>189</v>
      </c>
      <c r="V225" s="133"/>
      <c r="W225" s="117" t="s">
        <v>295</v>
      </c>
    </row>
    <row r="226" spans="2:23" x14ac:dyDescent="0.3">
      <c r="B226" s="214" t="s">
        <v>452</v>
      </c>
      <c r="C226" s="214" t="str">
        <f t="shared" ref="C226:C261" si="78">M226</f>
        <v>TFLEETH901</v>
      </c>
      <c r="D226" s="219"/>
      <c r="E226" s="214" t="str">
        <f t="shared" ref="E226:E261" si="79">O226</f>
        <v>TFLS-C</v>
      </c>
      <c r="F226" s="252">
        <f t="shared" si="66"/>
        <v>0.42553000000000002</v>
      </c>
      <c r="G226" s="252">
        <f t="shared" si="67"/>
        <v>0.45455000000000001</v>
      </c>
      <c r="H226" s="252">
        <f t="shared" si="68"/>
        <v>0.47847000000000001</v>
      </c>
      <c r="I226" s="252">
        <f t="shared" si="69"/>
        <v>0.50251000000000001</v>
      </c>
      <c r="J226" s="252">
        <f t="shared" si="70"/>
        <v>0.52910000000000001</v>
      </c>
      <c r="M226" s="216" t="s">
        <v>244</v>
      </c>
      <c r="N226" s="216"/>
      <c r="O226" s="216" t="s">
        <v>476</v>
      </c>
      <c r="P226" s="106">
        <v>235</v>
      </c>
      <c r="Q226" s="106">
        <v>220</v>
      </c>
      <c r="R226" s="106">
        <v>209</v>
      </c>
      <c r="S226" s="106">
        <v>199</v>
      </c>
      <c r="T226" s="106">
        <v>189</v>
      </c>
      <c r="V226" s="133"/>
      <c r="W226" s="117" t="s">
        <v>295</v>
      </c>
    </row>
    <row r="227" spans="2:23" x14ac:dyDescent="0.3">
      <c r="B227" s="214" t="s">
        <v>452</v>
      </c>
      <c r="C227" s="214" t="str">
        <f t="shared" si="78"/>
        <v>TFLEGAS101</v>
      </c>
      <c r="D227" s="219"/>
      <c r="E227" s="214" t="str">
        <f t="shared" si="79"/>
        <v>TFLS</v>
      </c>
      <c r="F227" s="252">
        <f t="shared" ref="F227:F290" si="80">IF(P227=0, "-", ROUND(10^2/P227,5))</f>
        <v>0.42553000000000002</v>
      </c>
      <c r="G227" s="252">
        <f t="shared" ref="G227:G290" si="81">IF(Q227=0, "-", ROUND(10^2/Q227,5))</f>
        <v>0.45455000000000001</v>
      </c>
      <c r="H227" s="252">
        <f t="shared" ref="H227:H290" si="82">IF(R227=0, "-", ROUND(10^2/R227,5))</f>
        <v>0.47847000000000001</v>
      </c>
      <c r="I227" s="252">
        <f t="shared" ref="I227:I290" si="83">IF(S227=0, "-", ROUND(10^2/S227,5))</f>
        <v>0.50251000000000001</v>
      </c>
      <c r="J227" s="252">
        <f t="shared" ref="J227:J290" si="84">IF(T227=0, "-", ROUND(10^2/T227,5))</f>
        <v>0.52910000000000001</v>
      </c>
      <c r="M227" s="216" t="s">
        <v>142</v>
      </c>
      <c r="N227" s="216"/>
      <c r="O227" s="216" t="s">
        <v>335</v>
      </c>
      <c r="P227" s="106">
        <v>235</v>
      </c>
      <c r="Q227" s="106">
        <v>220</v>
      </c>
      <c r="R227" s="106">
        <v>209</v>
      </c>
      <c r="S227" s="106">
        <v>199</v>
      </c>
      <c r="T227" s="106">
        <v>189</v>
      </c>
      <c r="V227" s="133"/>
      <c r="W227" s="117" t="s">
        <v>295</v>
      </c>
    </row>
    <row r="228" spans="2:23" x14ac:dyDescent="0.3">
      <c r="B228" s="214" t="s">
        <v>452</v>
      </c>
      <c r="C228" s="214" t="str">
        <f t="shared" si="78"/>
        <v>TFLEGAS901</v>
      </c>
      <c r="D228" s="219"/>
      <c r="E228" s="214" t="str">
        <f t="shared" si="79"/>
        <v>TFLS-C</v>
      </c>
      <c r="F228" s="252">
        <f t="shared" si="80"/>
        <v>0.42553000000000002</v>
      </c>
      <c r="G228" s="252">
        <f t="shared" si="81"/>
        <v>0.45455000000000001</v>
      </c>
      <c r="H228" s="252">
        <f t="shared" si="82"/>
        <v>0.47847000000000001</v>
      </c>
      <c r="I228" s="252">
        <f t="shared" si="83"/>
        <v>0.50251000000000001</v>
      </c>
      <c r="J228" s="252">
        <f t="shared" si="84"/>
        <v>0.52910000000000001</v>
      </c>
      <c r="M228" s="216" t="s">
        <v>246</v>
      </c>
      <c r="N228" s="216"/>
      <c r="O228" s="216" t="s">
        <v>476</v>
      </c>
      <c r="P228" s="106">
        <v>235</v>
      </c>
      <c r="Q228" s="106">
        <v>220</v>
      </c>
      <c r="R228" s="106">
        <v>209</v>
      </c>
      <c r="S228" s="106">
        <v>199</v>
      </c>
      <c r="T228" s="106">
        <v>189</v>
      </c>
      <c r="V228" s="133"/>
      <c r="W228" s="117" t="s">
        <v>295</v>
      </c>
    </row>
    <row r="229" spans="2:23" s="93" customFormat="1" x14ac:dyDescent="0.3">
      <c r="B229" s="214" t="s">
        <v>452</v>
      </c>
      <c r="C229" s="214" t="str">
        <f t="shared" si="78"/>
        <v>TFLEGSL101</v>
      </c>
      <c r="D229" s="219"/>
      <c r="E229" s="214" t="str">
        <f t="shared" si="79"/>
        <v>TFLS</v>
      </c>
      <c r="F229" s="252">
        <f t="shared" si="80"/>
        <v>0.42553000000000002</v>
      </c>
      <c r="G229" s="252">
        <f t="shared" si="81"/>
        <v>0.45455000000000001</v>
      </c>
      <c r="H229" s="252">
        <f t="shared" si="82"/>
        <v>0.47847000000000001</v>
      </c>
      <c r="I229" s="252">
        <f t="shared" si="83"/>
        <v>0.50251000000000001</v>
      </c>
      <c r="J229" s="252">
        <f t="shared" si="84"/>
        <v>0.52910000000000001</v>
      </c>
      <c r="M229" s="216" t="s">
        <v>144</v>
      </c>
      <c r="N229" s="216"/>
      <c r="O229" s="216" t="s">
        <v>335</v>
      </c>
      <c r="P229" s="106">
        <v>235</v>
      </c>
      <c r="Q229" s="106">
        <v>220</v>
      </c>
      <c r="R229" s="106">
        <v>209</v>
      </c>
      <c r="S229" s="106">
        <v>199</v>
      </c>
      <c r="T229" s="106">
        <v>189</v>
      </c>
      <c r="V229" s="133"/>
      <c r="W229" s="135" t="s">
        <v>295</v>
      </c>
    </row>
    <row r="230" spans="2:23" x14ac:dyDescent="0.3">
      <c r="B230" s="214" t="s">
        <v>452</v>
      </c>
      <c r="C230" s="214" t="str">
        <f t="shared" si="78"/>
        <v>TFLEGSL901</v>
      </c>
      <c r="D230" s="219"/>
      <c r="E230" s="214" t="str">
        <f t="shared" si="79"/>
        <v>TFLS-C</v>
      </c>
      <c r="F230" s="252">
        <f t="shared" si="80"/>
        <v>0.42553000000000002</v>
      </c>
      <c r="G230" s="252">
        <f t="shared" si="81"/>
        <v>0.45455000000000001</v>
      </c>
      <c r="H230" s="252">
        <f t="shared" si="82"/>
        <v>0.47847000000000001</v>
      </c>
      <c r="I230" s="252">
        <f t="shared" si="83"/>
        <v>0.50251000000000001</v>
      </c>
      <c r="J230" s="252">
        <f t="shared" si="84"/>
        <v>0.52910000000000001</v>
      </c>
      <c r="M230" s="216" t="s">
        <v>248</v>
      </c>
      <c r="N230" s="216"/>
      <c r="O230" s="216" t="s">
        <v>476</v>
      </c>
      <c r="P230" s="106">
        <v>235</v>
      </c>
      <c r="Q230" s="106">
        <v>220</v>
      </c>
      <c r="R230" s="106">
        <v>209</v>
      </c>
      <c r="S230" s="106">
        <v>199</v>
      </c>
      <c r="T230" s="106">
        <v>189</v>
      </c>
      <c r="V230" s="133"/>
      <c r="W230" s="117" t="s">
        <v>295</v>
      </c>
    </row>
    <row r="231" spans="2:23" x14ac:dyDescent="0.3">
      <c r="B231" s="214" t="s">
        <v>452</v>
      </c>
      <c r="C231" s="214" t="str">
        <f t="shared" si="78"/>
        <v>TFLEHFC101</v>
      </c>
      <c r="D231" s="219"/>
      <c r="E231" s="214" t="str">
        <f t="shared" si="79"/>
        <v>TFLS</v>
      </c>
      <c r="F231" s="252">
        <f t="shared" si="80"/>
        <v>0.80645</v>
      </c>
      <c r="G231" s="252">
        <f t="shared" si="81"/>
        <v>0.80645</v>
      </c>
      <c r="H231" s="252">
        <f t="shared" si="82"/>
        <v>0.89285999999999999</v>
      </c>
      <c r="I231" s="252">
        <f t="shared" si="83"/>
        <v>0.99009999999999998</v>
      </c>
      <c r="J231" s="252">
        <f t="shared" si="84"/>
        <v>1.0989</v>
      </c>
      <c r="M231" s="216" t="s">
        <v>146</v>
      </c>
      <c r="N231" s="216"/>
      <c r="O231" s="216" t="s">
        <v>335</v>
      </c>
      <c r="P231" s="106">
        <v>124</v>
      </c>
      <c r="Q231" s="106">
        <v>124</v>
      </c>
      <c r="R231" s="106">
        <v>112</v>
      </c>
      <c r="S231" s="106">
        <v>101</v>
      </c>
      <c r="T231" s="106">
        <v>91</v>
      </c>
      <c r="V231" s="133"/>
      <c r="W231" s="117"/>
    </row>
    <row r="232" spans="2:23" x14ac:dyDescent="0.3">
      <c r="B232" s="214" t="s">
        <v>452</v>
      </c>
      <c r="C232" s="214" t="str">
        <f t="shared" si="78"/>
        <v>TFLEHFC901</v>
      </c>
      <c r="D232" s="219"/>
      <c r="E232" s="214" t="str">
        <f t="shared" si="79"/>
        <v>TFLS-C</v>
      </c>
      <c r="F232" s="252">
        <f t="shared" si="80"/>
        <v>0.80645</v>
      </c>
      <c r="G232" s="252">
        <f t="shared" si="81"/>
        <v>0.80645</v>
      </c>
      <c r="H232" s="252">
        <f t="shared" si="82"/>
        <v>0.89285999999999999</v>
      </c>
      <c r="I232" s="252">
        <f t="shared" si="83"/>
        <v>0.99009999999999998</v>
      </c>
      <c r="J232" s="252">
        <f t="shared" si="84"/>
        <v>1.0989</v>
      </c>
      <c r="M232" s="216" t="s">
        <v>250</v>
      </c>
      <c r="N232" s="216"/>
      <c r="O232" s="216" t="s">
        <v>476</v>
      </c>
      <c r="P232" s="106">
        <v>124</v>
      </c>
      <c r="Q232" s="106">
        <v>124</v>
      </c>
      <c r="R232" s="106">
        <v>112</v>
      </c>
      <c r="S232" s="106">
        <v>101</v>
      </c>
      <c r="T232" s="106">
        <v>91</v>
      </c>
      <c r="V232" s="133"/>
      <c r="W232" s="117"/>
    </row>
    <row r="233" spans="2:23" x14ac:dyDescent="0.3">
      <c r="B233" s="214" t="s">
        <v>452</v>
      </c>
      <c r="C233" s="214" t="str">
        <f t="shared" si="78"/>
        <v>TFLEHYD101</v>
      </c>
      <c r="D233" s="219"/>
      <c r="E233" s="214" t="str">
        <f t="shared" si="79"/>
        <v>TFLS</v>
      </c>
      <c r="F233" s="252">
        <f t="shared" si="80"/>
        <v>0.62112000000000001</v>
      </c>
      <c r="G233" s="252">
        <f t="shared" si="81"/>
        <v>0.65788999999999997</v>
      </c>
      <c r="H233" s="252">
        <f t="shared" si="82"/>
        <v>0.72992999999999997</v>
      </c>
      <c r="I233" s="252">
        <f t="shared" si="83"/>
        <v>0.80645</v>
      </c>
      <c r="J233" s="252">
        <f t="shared" si="84"/>
        <v>0.89285999999999999</v>
      </c>
      <c r="M233" s="216" t="s">
        <v>149</v>
      </c>
      <c r="N233" s="216"/>
      <c r="O233" s="216" t="s">
        <v>335</v>
      </c>
      <c r="P233" s="106">
        <v>161</v>
      </c>
      <c r="Q233" s="106">
        <v>152</v>
      </c>
      <c r="R233" s="106">
        <v>137</v>
      </c>
      <c r="S233" s="106">
        <v>124</v>
      </c>
      <c r="T233" s="106">
        <v>112</v>
      </c>
      <c r="V233" s="133"/>
      <c r="W233" s="117" t="s">
        <v>295</v>
      </c>
    </row>
    <row r="234" spans="2:23" x14ac:dyDescent="0.3">
      <c r="B234" s="214" t="s">
        <v>452</v>
      </c>
      <c r="C234" s="214" t="str">
        <f t="shared" si="78"/>
        <v>TFLEHYD901</v>
      </c>
      <c r="D234" s="219"/>
      <c r="E234" s="214" t="str">
        <f t="shared" si="79"/>
        <v>TFLS-C</v>
      </c>
      <c r="F234" s="252">
        <f t="shared" si="80"/>
        <v>0.62112000000000001</v>
      </c>
      <c r="G234" s="252">
        <f t="shared" si="81"/>
        <v>0.65788999999999997</v>
      </c>
      <c r="H234" s="252">
        <f t="shared" si="82"/>
        <v>0.72992999999999997</v>
      </c>
      <c r="I234" s="252">
        <f t="shared" si="83"/>
        <v>0.80645</v>
      </c>
      <c r="J234" s="252">
        <f t="shared" si="84"/>
        <v>0.89285999999999999</v>
      </c>
      <c r="M234" s="216" t="s">
        <v>297</v>
      </c>
      <c r="N234" s="216"/>
      <c r="O234" s="216" t="s">
        <v>476</v>
      </c>
      <c r="P234" s="106">
        <v>161</v>
      </c>
      <c r="Q234" s="106">
        <v>152</v>
      </c>
      <c r="R234" s="106">
        <v>137</v>
      </c>
      <c r="S234" s="106">
        <v>124</v>
      </c>
      <c r="T234" s="106">
        <v>112</v>
      </c>
      <c r="V234" s="133"/>
      <c r="W234" s="117" t="s">
        <v>295</v>
      </c>
    </row>
    <row r="235" spans="2:23" x14ac:dyDescent="0.3">
      <c r="B235" s="214" t="s">
        <v>452</v>
      </c>
      <c r="C235" s="214" t="str">
        <f t="shared" si="78"/>
        <v>TFLEHYG101</v>
      </c>
      <c r="D235" s="219"/>
      <c r="E235" s="214" t="str">
        <f t="shared" si="79"/>
        <v>TFLS</v>
      </c>
      <c r="F235" s="252">
        <f t="shared" si="80"/>
        <v>0.52356000000000003</v>
      </c>
      <c r="G235" s="252">
        <f t="shared" si="81"/>
        <v>0.55249000000000004</v>
      </c>
      <c r="H235" s="252">
        <f t="shared" si="82"/>
        <v>0.61350000000000005</v>
      </c>
      <c r="I235" s="252">
        <f t="shared" si="83"/>
        <v>0.68027000000000004</v>
      </c>
      <c r="J235" s="252">
        <f t="shared" si="84"/>
        <v>0.75187999999999999</v>
      </c>
      <c r="M235" s="216" t="s">
        <v>151</v>
      </c>
      <c r="N235" s="216"/>
      <c r="O235" s="216" t="s">
        <v>335</v>
      </c>
      <c r="P235" s="106">
        <v>191</v>
      </c>
      <c r="Q235" s="106">
        <v>181</v>
      </c>
      <c r="R235" s="106">
        <v>163</v>
      </c>
      <c r="S235" s="106">
        <v>147</v>
      </c>
      <c r="T235" s="106">
        <v>133</v>
      </c>
      <c r="V235" s="133"/>
      <c r="W235" s="117" t="s">
        <v>295</v>
      </c>
    </row>
    <row r="236" spans="2:23" x14ac:dyDescent="0.3">
      <c r="B236" s="214" t="s">
        <v>452</v>
      </c>
      <c r="C236" s="214" t="str">
        <f t="shared" si="78"/>
        <v>TFLEHYG901</v>
      </c>
      <c r="D236" s="219"/>
      <c r="E236" s="214" t="str">
        <f t="shared" si="79"/>
        <v>TFLS-C</v>
      </c>
      <c r="F236" s="252">
        <f t="shared" si="80"/>
        <v>0.52356000000000003</v>
      </c>
      <c r="G236" s="252">
        <f t="shared" si="81"/>
        <v>0.55249000000000004</v>
      </c>
      <c r="H236" s="252">
        <f t="shared" si="82"/>
        <v>0.61350000000000005</v>
      </c>
      <c r="I236" s="252">
        <f t="shared" si="83"/>
        <v>0.68027000000000004</v>
      </c>
      <c r="J236" s="252">
        <f t="shared" si="84"/>
        <v>0.75187999999999999</v>
      </c>
      <c r="M236" s="216" t="s">
        <v>298</v>
      </c>
      <c r="N236" s="216"/>
      <c r="O236" s="216" t="s">
        <v>476</v>
      </c>
      <c r="P236" s="106">
        <v>191</v>
      </c>
      <c r="Q236" s="106">
        <v>181</v>
      </c>
      <c r="R236" s="106">
        <v>163</v>
      </c>
      <c r="S236" s="106">
        <v>147</v>
      </c>
      <c r="T236" s="106">
        <v>133</v>
      </c>
      <c r="V236" s="133"/>
      <c r="W236" s="117" t="s">
        <v>295</v>
      </c>
    </row>
    <row r="237" spans="2:23" x14ac:dyDescent="0.3">
      <c r="B237" s="214" t="s">
        <v>452</v>
      </c>
      <c r="C237" s="214" t="str">
        <f t="shared" si="78"/>
        <v>TFLELPG101</v>
      </c>
      <c r="D237" s="219"/>
      <c r="E237" s="214" t="str">
        <f t="shared" si="79"/>
        <v>TFLS</v>
      </c>
      <c r="F237" s="252">
        <f t="shared" si="80"/>
        <v>0.42553000000000002</v>
      </c>
      <c r="G237" s="252">
        <f t="shared" si="81"/>
        <v>0.45455000000000001</v>
      </c>
      <c r="H237" s="252">
        <f t="shared" si="82"/>
        <v>0.47847000000000001</v>
      </c>
      <c r="I237" s="252">
        <f t="shared" si="83"/>
        <v>0.50251000000000001</v>
      </c>
      <c r="J237" s="252">
        <f t="shared" si="84"/>
        <v>0.52910000000000001</v>
      </c>
      <c r="M237" s="216" t="s">
        <v>148</v>
      </c>
      <c r="N237" s="216"/>
      <c r="O237" s="216" t="s">
        <v>335</v>
      </c>
      <c r="P237" s="106">
        <v>235</v>
      </c>
      <c r="Q237" s="106">
        <v>220</v>
      </c>
      <c r="R237" s="106">
        <v>209</v>
      </c>
      <c r="S237" s="106">
        <v>199</v>
      </c>
      <c r="T237" s="106">
        <v>189</v>
      </c>
      <c r="V237" s="133"/>
      <c r="W237" s="117" t="s">
        <v>295</v>
      </c>
    </row>
    <row r="238" spans="2:23" x14ac:dyDescent="0.3">
      <c r="B238" s="214" t="s">
        <v>452</v>
      </c>
      <c r="C238" s="214" t="str">
        <f t="shared" si="78"/>
        <v>TFLELPG901</v>
      </c>
      <c r="D238" s="219"/>
      <c r="E238" s="214" t="str">
        <f t="shared" si="79"/>
        <v>TFLS-C</v>
      </c>
      <c r="F238" s="252">
        <f t="shared" si="80"/>
        <v>0.42553000000000002</v>
      </c>
      <c r="G238" s="252">
        <f t="shared" si="81"/>
        <v>0.45455000000000001</v>
      </c>
      <c r="H238" s="252">
        <f t="shared" si="82"/>
        <v>0.47847000000000001</v>
      </c>
      <c r="I238" s="252">
        <f t="shared" si="83"/>
        <v>0.50251000000000001</v>
      </c>
      <c r="J238" s="252">
        <f t="shared" si="84"/>
        <v>0.52910000000000001</v>
      </c>
      <c r="M238" s="216" t="s">
        <v>252</v>
      </c>
      <c r="N238" s="216"/>
      <c r="O238" s="216" t="s">
        <v>476</v>
      </c>
      <c r="P238" s="106">
        <v>235</v>
      </c>
      <c r="Q238" s="106">
        <v>220</v>
      </c>
      <c r="R238" s="106">
        <v>209</v>
      </c>
      <c r="S238" s="106">
        <v>199</v>
      </c>
      <c r="T238" s="106">
        <v>189</v>
      </c>
      <c r="V238" s="133"/>
      <c r="W238" s="117" t="s">
        <v>295</v>
      </c>
    </row>
    <row r="239" spans="2:23" x14ac:dyDescent="0.3">
      <c r="B239" s="214" t="s">
        <v>452</v>
      </c>
      <c r="C239" s="214" t="str">
        <f t="shared" si="78"/>
        <v>TFLEMTH101</v>
      </c>
      <c r="D239" s="219"/>
      <c r="E239" s="214" t="str">
        <f t="shared" si="79"/>
        <v>TFLS</v>
      </c>
      <c r="F239" s="252">
        <f t="shared" si="80"/>
        <v>0.42553000000000002</v>
      </c>
      <c r="G239" s="252">
        <f t="shared" si="81"/>
        <v>0.45455000000000001</v>
      </c>
      <c r="H239" s="252">
        <f t="shared" si="82"/>
        <v>0.47847000000000001</v>
      </c>
      <c r="I239" s="252">
        <f t="shared" si="83"/>
        <v>0.50251000000000001</v>
      </c>
      <c r="J239" s="252">
        <f t="shared" si="84"/>
        <v>0.52910000000000001</v>
      </c>
      <c r="M239" s="216" t="s">
        <v>592</v>
      </c>
      <c r="N239" s="216"/>
      <c r="O239" s="216" t="s">
        <v>335</v>
      </c>
      <c r="P239" s="106">
        <v>235</v>
      </c>
      <c r="Q239" s="106">
        <v>220</v>
      </c>
      <c r="R239" s="106">
        <v>209</v>
      </c>
      <c r="S239" s="106">
        <v>199</v>
      </c>
      <c r="T239" s="106">
        <v>189</v>
      </c>
      <c r="V239" s="133"/>
      <c r="W239" s="117" t="s">
        <v>295</v>
      </c>
    </row>
    <row r="240" spans="2:23" x14ac:dyDescent="0.3">
      <c r="B240" s="214" t="s">
        <v>452</v>
      </c>
      <c r="C240" s="214" t="str">
        <f t="shared" si="78"/>
        <v>TFLEMTH901</v>
      </c>
      <c r="D240" s="219"/>
      <c r="E240" s="214" t="str">
        <f t="shared" si="79"/>
        <v>TFLS-C</v>
      </c>
      <c r="F240" s="252">
        <f t="shared" si="80"/>
        <v>0.42553000000000002</v>
      </c>
      <c r="G240" s="252">
        <f t="shared" si="81"/>
        <v>0.45455000000000001</v>
      </c>
      <c r="H240" s="252">
        <f t="shared" si="82"/>
        <v>0.47847000000000001</v>
      </c>
      <c r="I240" s="252">
        <f t="shared" si="83"/>
        <v>0.50251000000000001</v>
      </c>
      <c r="J240" s="252">
        <f t="shared" si="84"/>
        <v>0.52910000000000001</v>
      </c>
      <c r="M240" s="216" t="s">
        <v>593</v>
      </c>
      <c r="N240" s="216"/>
      <c r="O240" s="216" t="s">
        <v>476</v>
      </c>
      <c r="P240" s="106">
        <v>235</v>
      </c>
      <c r="Q240" s="106">
        <v>220</v>
      </c>
      <c r="R240" s="106">
        <v>209</v>
      </c>
      <c r="S240" s="106">
        <v>199</v>
      </c>
      <c r="T240" s="106">
        <v>189</v>
      </c>
      <c r="V240" s="133"/>
      <c r="W240" s="117" t="s">
        <v>295</v>
      </c>
    </row>
    <row r="241" spans="2:23" x14ac:dyDescent="0.3">
      <c r="B241" s="214" t="s">
        <v>452</v>
      </c>
      <c r="C241" s="214" t="str">
        <f t="shared" si="78"/>
        <v>TFLEPYD101</v>
      </c>
      <c r="D241" s="219"/>
      <c r="E241" s="214" t="str">
        <f t="shared" si="79"/>
        <v>TFLS</v>
      </c>
      <c r="F241" s="252">
        <f t="shared" si="80"/>
        <v>1.0869599999999999</v>
      </c>
      <c r="G241" s="252">
        <f t="shared" si="81"/>
        <v>1.0638300000000001</v>
      </c>
      <c r="H241" s="252">
        <f t="shared" si="82"/>
        <v>1.13636</v>
      </c>
      <c r="I241" s="252">
        <f t="shared" si="83"/>
        <v>1.2195100000000001</v>
      </c>
      <c r="J241" s="252">
        <f t="shared" si="84"/>
        <v>1.31579</v>
      </c>
      <c r="M241" s="216" t="s">
        <v>152</v>
      </c>
      <c r="N241" s="216"/>
      <c r="O241" s="216" t="s">
        <v>335</v>
      </c>
      <c r="P241" s="106">
        <v>92</v>
      </c>
      <c r="Q241" s="106">
        <v>94</v>
      </c>
      <c r="R241" s="106">
        <v>88</v>
      </c>
      <c r="S241" s="106">
        <v>82</v>
      </c>
      <c r="T241" s="106">
        <v>76</v>
      </c>
      <c r="V241" s="133"/>
      <c r="W241" s="117" t="s">
        <v>295</v>
      </c>
    </row>
    <row r="242" spans="2:23" s="93" customFormat="1" x14ac:dyDescent="0.3">
      <c r="B242" s="214" t="s">
        <v>452</v>
      </c>
      <c r="C242" s="214" t="str">
        <f t="shared" si="78"/>
        <v>TFLEPYD901</v>
      </c>
      <c r="D242" s="219"/>
      <c r="E242" s="214" t="str">
        <f t="shared" si="79"/>
        <v>TFLS-C</v>
      </c>
      <c r="F242" s="252">
        <f t="shared" si="80"/>
        <v>1.0869599999999999</v>
      </c>
      <c r="G242" s="252">
        <f t="shared" si="81"/>
        <v>1.0638300000000001</v>
      </c>
      <c r="H242" s="252">
        <f t="shared" si="82"/>
        <v>1.13636</v>
      </c>
      <c r="I242" s="252">
        <f t="shared" si="83"/>
        <v>1.2195100000000001</v>
      </c>
      <c r="J242" s="252">
        <f t="shared" si="84"/>
        <v>1.31579</v>
      </c>
      <c r="M242" s="216" t="s">
        <v>299</v>
      </c>
      <c r="N242" s="216"/>
      <c r="O242" s="216" t="s">
        <v>476</v>
      </c>
      <c r="P242" s="106">
        <v>92</v>
      </c>
      <c r="Q242" s="106">
        <v>94</v>
      </c>
      <c r="R242" s="106">
        <v>88</v>
      </c>
      <c r="S242" s="106">
        <v>82</v>
      </c>
      <c r="T242" s="106">
        <v>76</v>
      </c>
      <c r="V242" s="133"/>
      <c r="W242" s="135" t="s">
        <v>295</v>
      </c>
    </row>
    <row r="243" spans="2:23" x14ac:dyDescent="0.3">
      <c r="B243" s="214" t="s">
        <v>452</v>
      </c>
      <c r="C243" s="214" t="str">
        <f t="shared" si="78"/>
        <v>TFLEPYG101</v>
      </c>
      <c r="D243" s="219"/>
      <c r="E243" s="214" t="str">
        <f t="shared" si="79"/>
        <v>TFLS</v>
      </c>
      <c r="F243" s="252">
        <f t="shared" si="80"/>
        <v>1.0101</v>
      </c>
      <c r="G243" s="252">
        <f t="shared" si="81"/>
        <v>0.99009999999999998</v>
      </c>
      <c r="H243" s="252">
        <f t="shared" si="82"/>
        <v>1.05263</v>
      </c>
      <c r="I243" s="252">
        <f t="shared" si="83"/>
        <v>1.1235999999999999</v>
      </c>
      <c r="J243" s="252">
        <f t="shared" si="84"/>
        <v>1.19048</v>
      </c>
      <c r="M243" s="216" t="s">
        <v>154</v>
      </c>
      <c r="N243" s="216"/>
      <c r="O243" s="216" t="s">
        <v>335</v>
      </c>
      <c r="P243" s="106">
        <v>99</v>
      </c>
      <c r="Q243" s="106">
        <v>101</v>
      </c>
      <c r="R243" s="106">
        <v>95</v>
      </c>
      <c r="S243" s="106">
        <v>89</v>
      </c>
      <c r="T243" s="106">
        <v>84</v>
      </c>
      <c r="V243" s="133"/>
      <c r="W243" s="117" t="s">
        <v>295</v>
      </c>
    </row>
    <row r="244" spans="2:23" x14ac:dyDescent="0.3">
      <c r="B244" s="217" t="s">
        <v>452</v>
      </c>
      <c r="C244" s="217" t="str">
        <f t="shared" si="78"/>
        <v>TFLEPYG901</v>
      </c>
      <c r="D244" s="220"/>
      <c r="E244" s="217" t="str">
        <f t="shared" si="79"/>
        <v>TFLS-C</v>
      </c>
      <c r="F244" s="254">
        <f t="shared" si="80"/>
        <v>1.0101</v>
      </c>
      <c r="G244" s="254">
        <f t="shared" si="81"/>
        <v>0.99009999999999998</v>
      </c>
      <c r="H244" s="254">
        <f t="shared" si="82"/>
        <v>1.05263</v>
      </c>
      <c r="I244" s="254">
        <f t="shared" si="83"/>
        <v>1.1235999999999999</v>
      </c>
      <c r="J244" s="254">
        <f t="shared" si="84"/>
        <v>1.19048</v>
      </c>
      <c r="M244" s="221" t="s">
        <v>300</v>
      </c>
      <c r="N244" s="225"/>
      <c r="O244" s="225" t="s">
        <v>476</v>
      </c>
      <c r="P244" s="111">
        <v>99</v>
      </c>
      <c r="Q244" s="111">
        <v>101</v>
      </c>
      <c r="R244" s="111">
        <v>95</v>
      </c>
      <c r="S244" s="111">
        <v>89</v>
      </c>
      <c r="T244" s="111">
        <v>84</v>
      </c>
      <c r="V244" s="133"/>
      <c r="W244" s="145" t="s">
        <v>295</v>
      </c>
    </row>
    <row r="245" spans="2:23" x14ac:dyDescent="0.3">
      <c r="B245" s="214" t="s">
        <v>452</v>
      </c>
      <c r="C245" s="214" t="str">
        <f t="shared" si="78"/>
        <v>TFMEBDL101</v>
      </c>
      <c r="D245" s="219"/>
      <c r="E245" s="214" t="str">
        <f t="shared" si="79"/>
        <v>TFMS</v>
      </c>
      <c r="F245" s="252">
        <f t="shared" si="80"/>
        <v>7.4069999999999997E-2</v>
      </c>
      <c r="G245" s="252">
        <f t="shared" si="81"/>
        <v>7.5469999999999995E-2</v>
      </c>
      <c r="H245" s="252">
        <f t="shared" si="82"/>
        <v>7.7670000000000003E-2</v>
      </c>
      <c r="I245" s="252">
        <f t="shared" si="83"/>
        <v>7.9600000000000004E-2</v>
      </c>
      <c r="J245" s="252">
        <f t="shared" si="84"/>
        <v>8.1629999999999994E-2</v>
      </c>
      <c r="M245" s="216" t="s">
        <v>345</v>
      </c>
      <c r="N245" s="224"/>
      <c r="O245" s="224" t="s">
        <v>365</v>
      </c>
      <c r="P245" s="106">
        <v>1350</v>
      </c>
      <c r="Q245" s="106">
        <v>1325</v>
      </c>
      <c r="R245" s="106">
        <v>1287.5</v>
      </c>
      <c r="S245" s="106">
        <v>1256.25</v>
      </c>
      <c r="T245" s="106">
        <v>1225</v>
      </c>
      <c r="V245" s="133"/>
      <c r="W245" s="117" t="s">
        <v>485</v>
      </c>
    </row>
    <row r="246" spans="2:23" x14ac:dyDescent="0.3">
      <c r="B246" s="214" t="s">
        <v>452</v>
      </c>
      <c r="C246" s="214" t="str">
        <f t="shared" si="78"/>
        <v>TFMEBDL901</v>
      </c>
      <c r="D246" s="219"/>
      <c r="E246" s="214" t="str">
        <f t="shared" si="79"/>
        <v>TFMS-C</v>
      </c>
      <c r="F246" s="252">
        <f t="shared" si="80"/>
        <v>7.4069999999999997E-2</v>
      </c>
      <c r="G246" s="252">
        <f t="shared" si="81"/>
        <v>7.5469999999999995E-2</v>
      </c>
      <c r="H246" s="252">
        <f t="shared" si="82"/>
        <v>7.7670000000000003E-2</v>
      </c>
      <c r="I246" s="252">
        <f t="shared" si="83"/>
        <v>7.9600000000000004E-2</v>
      </c>
      <c r="J246" s="252">
        <f t="shared" si="84"/>
        <v>8.1629999999999994E-2</v>
      </c>
      <c r="M246" s="216" t="s">
        <v>427</v>
      </c>
      <c r="N246" s="224"/>
      <c r="O246" s="224" t="s">
        <v>486</v>
      </c>
      <c r="P246" s="106">
        <v>1350</v>
      </c>
      <c r="Q246" s="106">
        <v>1325</v>
      </c>
      <c r="R246" s="106">
        <v>1287.5</v>
      </c>
      <c r="S246" s="106">
        <v>1256.25</v>
      </c>
      <c r="T246" s="106">
        <v>1225</v>
      </c>
      <c r="V246" s="133"/>
      <c r="W246" s="117" t="s">
        <v>485</v>
      </c>
    </row>
    <row r="247" spans="2:23" x14ac:dyDescent="0.3">
      <c r="B247" s="214" t="s">
        <v>452</v>
      </c>
      <c r="C247" s="214" t="str">
        <f t="shared" si="78"/>
        <v>TFMEDME101</v>
      </c>
      <c r="D247" s="219"/>
      <c r="E247" s="214" t="str">
        <f t="shared" si="79"/>
        <v>TFMS</v>
      </c>
      <c r="F247" s="252">
        <f t="shared" si="80"/>
        <v>7.4069999999999997E-2</v>
      </c>
      <c r="G247" s="252">
        <f t="shared" si="81"/>
        <v>7.5469999999999995E-2</v>
      </c>
      <c r="H247" s="252">
        <f t="shared" si="82"/>
        <v>7.7670000000000003E-2</v>
      </c>
      <c r="I247" s="252">
        <f t="shared" si="83"/>
        <v>7.9600000000000004E-2</v>
      </c>
      <c r="J247" s="252">
        <f t="shared" si="84"/>
        <v>8.1629999999999994E-2</v>
      </c>
      <c r="M247" s="216" t="s">
        <v>346</v>
      </c>
      <c r="N247" s="224"/>
      <c r="O247" s="224" t="s">
        <v>365</v>
      </c>
      <c r="P247" s="106">
        <v>1350</v>
      </c>
      <c r="Q247" s="106">
        <v>1325</v>
      </c>
      <c r="R247" s="106">
        <v>1287.5</v>
      </c>
      <c r="S247" s="106">
        <v>1256.25</v>
      </c>
      <c r="T247" s="106">
        <v>1225</v>
      </c>
      <c r="V247" s="133"/>
      <c r="W247" s="117" t="s">
        <v>485</v>
      </c>
    </row>
    <row r="248" spans="2:23" x14ac:dyDescent="0.3">
      <c r="B248" s="214" t="s">
        <v>452</v>
      </c>
      <c r="C248" s="214" t="str">
        <f t="shared" si="78"/>
        <v>TFMEDME901</v>
      </c>
      <c r="D248" s="219"/>
      <c r="E248" s="214" t="str">
        <f t="shared" si="79"/>
        <v>TFMS-C</v>
      </c>
      <c r="F248" s="252">
        <f t="shared" si="80"/>
        <v>7.4069999999999997E-2</v>
      </c>
      <c r="G248" s="252">
        <f t="shared" si="81"/>
        <v>7.5469999999999995E-2</v>
      </c>
      <c r="H248" s="252">
        <f t="shared" si="82"/>
        <v>7.7670000000000003E-2</v>
      </c>
      <c r="I248" s="252">
        <f t="shared" si="83"/>
        <v>7.9600000000000004E-2</v>
      </c>
      <c r="J248" s="252">
        <f t="shared" si="84"/>
        <v>8.1629999999999994E-2</v>
      </c>
      <c r="M248" s="216" t="s">
        <v>428</v>
      </c>
      <c r="N248" s="224"/>
      <c r="O248" s="224" t="s">
        <v>486</v>
      </c>
      <c r="P248" s="106">
        <v>1350</v>
      </c>
      <c r="Q248" s="106">
        <v>1325</v>
      </c>
      <c r="R248" s="106">
        <v>1287.5</v>
      </c>
      <c r="S248" s="106">
        <v>1256.25</v>
      </c>
      <c r="T248" s="106">
        <v>1225</v>
      </c>
      <c r="V248" s="133"/>
      <c r="W248" s="117" t="s">
        <v>485</v>
      </c>
    </row>
    <row r="249" spans="2:23" x14ac:dyDescent="0.3">
      <c r="B249" s="214" t="s">
        <v>452</v>
      </c>
      <c r="C249" s="214" t="str">
        <f t="shared" si="78"/>
        <v>TFMEDST101</v>
      </c>
      <c r="D249" s="219"/>
      <c r="E249" s="214" t="str">
        <f t="shared" si="79"/>
        <v>TFMS</v>
      </c>
      <c r="F249" s="252">
        <f t="shared" si="80"/>
        <v>7.4069999999999997E-2</v>
      </c>
      <c r="G249" s="252">
        <f t="shared" si="81"/>
        <v>7.5469999999999995E-2</v>
      </c>
      <c r="H249" s="252">
        <f t="shared" si="82"/>
        <v>7.7670000000000003E-2</v>
      </c>
      <c r="I249" s="252">
        <f t="shared" si="83"/>
        <v>7.9600000000000004E-2</v>
      </c>
      <c r="J249" s="252">
        <f t="shared" si="84"/>
        <v>8.1629999999999994E-2</v>
      </c>
      <c r="M249" s="216" t="s">
        <v>347</v>
      </c>
      <c r="N249" s="224"/>
      <c r="O249" s="224" t="s">
        <v>365</v>
      </c>
      <c r="P249" s="106">
        <v>1350</v>
      </c>
      <c r="Q249" s="106">
        <v>1325</v>
      </c>
      <c r="R249" s="106">
        <v>1287.5</v>
      </c>
      <c r="S249" s="106">
        <v>1256.25</v>
      </c>
      <c r="T249" s="106">
        <v>1225</v>
      </c>
      <c r="V249" s="133"/>
      <c r="W249" s="117" t="s">
        <v>485</v>
      </c>
    </row>
    <row r="250" spans="2:23" x14ac:dyDescent="0.3">
      <c r="B250" s="214" t="s">
        <v>452</v>
      </c>
      <c r="C250" s="214" t="str">
        <f t="shared" si="78"/>
        <v>TFMEDST901</v>
      </c>
      <c r="D250" s="219"/>
      <c r="E250" s="214" t="str">
        <f t="shared" si="79"/>
        <v>TFMS-C</v>
      </c>
      <c r="F250" s="252">
        <f t="shared" si="80"/>
        <v>7.4069999999999997E-2</v>
      </c>
      <c r="G250" s="252">
        <f t="shared" si="81"/>
        <v>7.5469999999999995E-2</v>
      </c>
      <c r="H250" s="252">
        <f t="shared" si="82"/>
        <v>7.7670000000000003E-2</v>
      </c>
      <c r="I250" s="252">
        <f t="shared" si="83"/>
        <v>7.9600000000000004E-2</v>
      </c>
      <c r="J250" s="252">
        <f t="shared" si="84"/>
        <v>8.1629999999999994E-2</v>
      </c>
      <c r="M250" s="216" t="s">
        <v>429</v>
      </c>
      <c r="N250" s="224"/>
      <c r="O250" s="224" t="s">
        <v>486</v>
      </c>
      <c r="P250" s="106">
        <v>1350</v>
      </c>
      <c r="Q250" s="106">
        <v>1325</v>
      </c>
      <c r="R250" s="106">
        <v>1287.5</v>
      </c>
      <c r="S250" s="106">
        <v>1256.25</v>
      </c>
      <c r="T250" s="106">
        <v>1225</v>
      </c>
      <c r="V250" s="133"/>
      <c r="W250" s="117" t="s">
        <v>485</v>
      </c>
    </row>
    <row r="251" spans="2:23" x14ac:dyDescent="0.3">
      <c r="B251" s="214" t="s">
        <v>452</v>
      </c>
      <c r="C251" s="214" t="str">
        <f t="shared" ref="C251:C252" si="85">M251</f>
        <v>TFMEELC101</v>
      </c>
      <c r="D251" s="219"/>
      <c r="E251" s="214" t="str">
        <f t="shared" ref="E251:E252" si="86">O251</f>
        <v>TFMS</v>
      </c>
      <c r="F251" s="252">
        <f t="shared" si="80"/>
        <v>0.17985999999999999</v>
      </c>
      <c r="G251" s="252">
        <f t="shared" si="81"/>
        <v>0.17985999999999999</v>
      </c>
      <c r="H251" s="252">
        <f t="shared" si="82"/>
        <v>0.18970999999999999</v>
      </c>
      <c r="I251" s="252">
        <f t="shared" si="83"/>
        <v>0.19783999999999999</v>
      </c>
      <c r="J251" s="252">
        <f t="shared" si="84"/>
        <v>0.20982999999999999</v>
      </c>
      <c r="M251" s="216" t="s">
        <v>348</v>
      </c>
      <c r="N251" s="224"/>
      <c r="O251" s="224" t="s">
        <v>365</v>
      </c>
      <c r="P251" s="113">
        <v>556</v>
      </c>
      <c r="Q251" s="113">
        <v>556</v>
      </c>
      <c r="R251" s="113">
        <v>527.11688311688317</v>
      </c>
      <c r="S251" s="113">
        <v>505.45454545454555</v>
      </c>
      <c r="T251" s="113">
        <v>476.57142857142867</v>
      </c>
      <c r="V251" s="133"/>
      <c r="W251" s="117" t="s">
        <v>647</v>
      </c>
    </row>
    <row r="252" spans="2:23" x14ac:dyDescent="0.3">
      <c r="B252" s="214" t="s">
        <v>452</v>
      </c>
      <c r="C252" s="214" t="str">
        <f t="shared" si="85"/>
        <v>TFMEELC901</v>
      </c>
      <c r="D252" s="219"/>
      <c r="E252" s="214" t="str">
        <f t="shared" si="86"/>
        <v>TFMS-C</v>
      </c>
      <c r="F252" s="252">
        <f t="shared" si="80"/>
        <v>0.17985999999999999</v>
      </c>
      <c r="G252" s="252">
        <f t="shared" si="81"/>
        <v>0.17985999999999999</v>
      </c>
      <c r="H252" s="252">
        <f t="shared" si="82"/>
        <v>0.18970999999999999</v>
      </c>
      <c r="I252" s="252">
        <f t="shared" si="83"/>
        <v>0.19783999999999999</v>
      </c>
      <c r="J252" s="252">
        <f t="shared" si="84"/>
        <v>0.20982999999999999</v>
      </c>
      <c r="M252" s="216" t="s">
        <v>430</v>
      </c>
      <c r="N252" s="224"/>
      <c r="O252" s="224" t="s">
        <v>486</v>
      </c>
      <c r="P252" s="113">
        <v>556</v>
      </c>
      <c r="Q252" s="113">
        <v>556</v>
      </c>
      <c r="R252" s="113">
        <v>527.11688311688317</v>
      </c>
      <c r="S252" s="113">
        <v>505.45454545454555</v>
      </c>
      <c r="T252" s="113">
        <v>476.57142857142867</v>
      </c>
      <c r="V252" s="133"/>
      <c r="W252" s="117" t="s">
        <v>647</v>
      </c>
    </row>
    <row r="253" spans="2:23" x14ac:dyDescent="0.3">
      <c r="B253" s="214" t="s">
        <v>452</v>
      </c>
      <c r="C253" s="214" t="str">
        <f t="shared" si="78"/>
        <v>TFMEETH101</v>
      </c>
      <c r="D253" s="219"/>
      <c r="E253" s="214" t="str">
        <f t="shared" si="79"/>
        <v>TFMS</v>
      </c>
      <c r="F253" s="252">
        <f t="shared" si="80"/>
        <v>7.4069999999999997E-2</v>
      </c>
      <c r="G253" s="252">
        <f t="shared" si="81"/>
        <v>7.5469999999999995E-2</v>
      </c>
      <c r="H253" s="252">
        <f t="shared" si="82"/>
        <v>7.7670000000000003E-2</v>
      </c>
      <c r="I253" s="252">
        <f t="shared" si="83"/>
        <v>7.9600000000000004E-2</v>
      </c>
      <c r="J253" s="252">
        <f t="shared" si="84"/>
        <v>8.1629999999999994E-2</v>
      </c>
      <c r="M253" s="216" t="s">
        <v>349</v>
      </c>
      <c r="N253" s="224"/>
      <c r="O253" s="224" t="s">
        <v>365</v>
      </c>
      <c r="P253" s="106">
        <f>P249</f>
        <v>1350</v>
      </c>
      <c r="Q253" s="106">
        <f t="shared" ref="Q253:T253" si="87">Q249</f>
        <v>1325</v>
      </c>
      <c r="R253" s="106">
        <f t="shared" si="87"/>
        <v>1287.5</v>
      </c>
      <c r="S253" s="106">
        <f t="shared" si="87"/>
        <v>1256.25</v>
      </c>
      <c r="T253" s="106">
        <f t="shared" si="87"/>
        <v>1225</v>
      </c>
      <c r="V253" s="133"/>
      <c r="W253" s="117" t="s">
        <v>485</v>
      </c>
    </row>
    <row r="254" spans="2:23" x14ac:dyDescent="0.3">
      <c r="B254" s="214" t="s">
        <v>452</v>
      </c>
      <c r="C254" s="214" t="str">
        <f t="shared" si="78"/>
        <v>TFMEETH901</v>
      </c>
      <c r="D254" s="219"/>
      <c r="E254" s="214" t="str">
        <f t="shared" si="79"/>
        <v>TFMS-C</v>
      </c>
      <c r="F254" s="252">
        <f t="shared" si="80"/>
        <v>7.4069999999999997E-2</v>
      </c>
      <c r="G254" s="252">
        <f t="shared" si="81"/>
        <v>7.5469999999999995E-2</v>
      </c>
      <c r="H254" s="252">
        <f t="shared" si="82"/>
        <v>7.7670000000000003E-2</v>
      </c>
      <c r="I254" s="252">
        <f t="shared" si="83"/>
        <v>7.9600000000000004E-2</v>
      </c>
      <c r="J254" s="252">
        <f t="shared" si="84"/>
        <v>8.1629999999999994E-2</v>
      </c>
      <c r="M254" s="216" t="s">
        <v>431</v>
      </c>
      <c r="N254" s="224"/>
      <c r="O254" s="224" t="s">
        <v>486</v>
      </c>
      <c r="P254" s="106">
        <f t="shared" ref="P254:T254" si="88">P250</f>
        <v>1350</v>
      </c>
      <c r="Q254" s="106">
        <f t="shared" si="88"/>
        <v>1325</v>
      </c>
      <c r="R254" s="106">
        <f t="shared" si="88"/>
        <v>1287.5</v>
      </c>
      <c r="S254" s="106">
        <f t="shared" si="88"/>
        <v>1256.25</v>
      </c>
      <c r="T254" s="106">
        <f t="shared" si="88"/>
        <v>1225</v>
      </c>
      <c r="V254" s="133"/>
      <c r="W254" s="117" t="s">
        <v>485</v>
      </c>
    </row>
    <row r="255" spans="2:23" x14ac:dyDescent="0.3">
      <c r="B255" s="214" t="s">
        <v>452</v>
      </c>
      <c r="C255" s="214" t="str">
        <f t="shared" si="78"/>
        <v>TFMEGAS101</v>
      </c>
      <c r="D255" s="219"/>
      <c r="E255" s="214" t="str">
        <f t="shared" si="79"/>
        <v>TFMS</v>
      </c>
      <c r="F255" s="252">
        <f t="shared" si="80"/>
        <v>6.7229999999999998E-2</v>
      </c>
      <c r="G255" s="252">
        <f t="shared" si="81"/>
        <v>6.8089999999999998E-2</v>
      </c>
      <c r="H255" s="252">
        <f t="shared" si="82"/>
        <v>7.0800000000000002E-2</v>
      </c>
      <c r="I255" s="252">
        <f t="shared" si="83"/>
        <v>7.2730000000000003E-2</v>
      </c>
      <c r="J255" s="252">
        <f t="shared" si="84"/>
        <v>7.4770000000000003E-2</v>
      </c>
      <c r="M255" s="216" t="s">
        <v>350</v>
      </c>
      <c r="N255" s="224"/>
      <c r="O255" s="224" t="s">
        <v>365</v>
      </c>
      <c r="P255" s="106">
        <v>1487.5</v>
      </c>
      <c r="Q255" s="106">
        <v>1468.75</v>
      </c>
      <c r="R255" s="106">
        <v>1412.5</v>
      </c>
      <c r="S255" s="106">
        <v>1375</v>
      </c>
      <c r="T255" s="106">
        <v>1337.5</v>
      </c>
      <c r="V255" s="133"/>
      <c r="W255" s="117" t="s">
        <v>485</v>
      </c>
    </row>
    <row r="256" spans="2:23" x14ac:dyDescent="0.3">
      <c r="B256" s="214" t="s">
        <v>452</v>
      </c>
      <c r="C256" s="214" t="str">
        <f t="shared" si="78"/>
        <v>TFMEGAS901</v>
      </c>
      <c r="D256" s="219"/>
      <c r="E256" s="214" t="str">
        <f t="shared" si="79"/>
        <v>TFMS-C</v>
      </c>
      <c r="F256" s="252">
        <f t="shared" si="80"/>
        <v>6.7229999999999998E-2</v>
      </c>
      <c r="G256" s="252">
        <f t="shared" si="81"/>
        <v>6.8089999999999998E-2</v>
      </c>
      <c r="H256" s="252">
        <f t="shared" si="82"/>
        <v>7.0800000000000002E-2</v>
      </c>
      <c r="I256" s="252">
        <f t="shared" si="83"/>
        <v>7.2730000000000003E-2</v>
      </c>
      <c r="J256" s="252">
        <f t="shared" si="84"/>
        <v>7.4770000000000003E-2</v>
      </c>
      <c r="M256" s="216" t="s">
        <v>432</v>
      </c>
      <c r="N256" s="224"/>
      <c r="O256" s="224" t="s">
        <v>486</v>
      </c>
      <c r="P256" s="106">
        <v>1487.5</v>
      </c>
      <c r="Q256" s="106">
        <v>1468.75</v>
      </c>
      <c r="R256" s="106">
        <v>1412.5</v>
      </c>
      <c r="S256" s="106">
        <v>1375</v>
      </c>
      <c r="T256" s="106">
        <v>1337.5</v>
      </c>
      <c r="V256" s="133"/>
      <c r="W256" s="117" t="s">
        <v>485</v>
      </c>
    </row>
    <row r="257" spans="2:23" x14ac:dyDescent="0.3">
      <c r="B257" s="214" t="s">
        <v>452</v>
      </c>
      <c r="C257" s="214" t="str">
        <f t="shared" si="78"/>
        <v>TFMEGSL101</v>
      </c>
      <c r="D257" s="219"/>
      <c r="E257" s="214" t="str">
        <f t="shared" si="79"/>
        <v>TFMS</v>
      </c>
      <c r="F257" s="252">
        <f t="shared" si="80"/>
        <v>6.7229999999999998E-2</v>
      </c>
      <c r="G257" s="252">
        <f t="shared" si="81"/>
        <v>6.8089999999999998E-2</v>
      </c>
      <c r="H257" s="252">
        <f t="shared" si="82"/>
        <v>7.0800000000000002E-2</v>
      </c>
      <c r="I257" s="252">
        <f t="shared" si="83"/>
        <v>7.2730000000000003E-2</v>
      </c>
      <c r="J257" s="252">
        <f t="shared" si="84"/>
        <v>7.4770000000000003E-2</v>
      </c>
      <c r="M257" s="216" t="s">
        <v>351</v>
      </c>
      <c r="N257" s="224"/>
      <c r="O257" s="224" t="s">
        <v>365</v>
      </c>
      <c r="P257" s="106">
        <v>1487.5</v>
      </c>
      <c r="Q257" s="106">
        <v>1468.75</v>
      </c>
      <c r="R257" s="106">
        <v>1412.5</v>
      </c>
      <c r="S257" s="106">
        <v>1375</v>
      </c>
      <c r="T257" s="106">
        <v>1337.5</v>
      </c>
      <c r="V257" s="133"/>
      <c r="W257" s="117" t="s">
        <v>485</v>
      </c>
    </row>
    <row r="258" spans="2:23" x14ac:dyDescent="0.3">
      <c r="B258" s="214" t="s">
        <v>452</v>
      </c>
      <c r="C258" s="214" t="str">
        <f t="shared" si="78"/>
        <v>TFMEGSL901</v>
      </c>
      <c r="D258" s="219"/>
      <c r="E258" s="214" t="str">
        <f t="shared" si="79"/>
        <v>TFMS-C</v>
      </c>
      <c r="F258" s="252">
        <f t="shared" si="80"/>
        <v>6.7229999999999998E-2</v>
      </c>
      <c r="G258" s="252">
        <f t="shared" si="81"/>
        <v>6.8089999999999998E-2</v>
      </c>
      <c r="H258" s="252">
        <f t="shared" si="82"/>
        <v>7.0800000000000002E-2</v>
      </c>
      <c r="I258" s="252">
        <f t="shared" si="83"/>
        <v>7.2730000000000003E-2</v>
      </c>
      <c r="J258" s="252">
        <f t="shared" si="84"/>
        <v>7.4770000000000003E-2</v>
      </c>
      <c r="M258" s="216" t="s">
        <v>433</v>
      </c>
      <c r="N258" s="224"/>
      <c r="O258" s="224" t="s">
        <v>486</v>
      </c>
      <c r="P258" s="106">
        <v>1487.5</v>
      </c>
      <c r="Q258" s="106">
        <v>1468.75</v>
      </c>
      <c r="R258" s="106">
        <v>1412.5</v>
      </c>
      <c r="S258" s="106">
        <v>1375</v>
      </c>
      <c r="T258" s="106">
        <v>1337.5</v>
      </c>
      <c r="V258" s="133"/>
      <c r="W258" s="117" t="s">
        <v>485</v>
      </c>
    </row>
    <row r="259" spans="2:23" x14ac:dyDescent="0.3">
      <c r="B259" s="214" t="s">
        <v>452</v>
      </c>
      <c r="C259" s="214" t="str">
        <f>M259</f>
        <v>TFMEHFC101</v>
      </c>
      <c r="D259" s="219"/>
      <c r="E259" s="214" t="str">
        <f>O259</f>
        <v>TFMS</v>
      </c>
      <c r="F259" s="252">
        <f t="shared" si="80"/>
        <v>0.12307999999999999</v>
      </c>
      <c r="G259" s="252">
        <f t="shared" si="81"/>
        <v>0.125</v>
      </c>
      <c r="H259" s="252">
        <f t="shared" si="82"/>
        <v>0.13114999999999999</v>
      </c>
      <c r="I259" s="252">
        <f t="shared" si="83"/>
        <v>0.13444999999999999</v>
      </c>
      <c r="J259" s="252">
        <f t="shared" si="84"/>
        <v>0.13793</v>
      </c>
      <c r="M259" s="216" t="s">
        <v>353</v>
      </c>
      <c r="N259" s="224"/>
      <c r="O259" s="224" t="s">
        <v>365</v>
      </c>
      <c r="P259" s="106">
        <v>812.5</v>
      </c>
      <c r="Q259" s="106">
        <v>800</v>
      </c>
      <c r="R259" s="106">
        <v>762.5</v>
      </c>
      <c r="S259" s="106">
        <v>743.75</v>
      </c>
      <c r="T259" s="106">
        <v>725</v>
      </c>
      <c r="V259" s="133"/>
      <c r="W259" s="117" t="s">
        <v>485</v>
      </c>
    </row>
    <row r="260" spans="2:23" x14ac:dyDescent="0.3">
      <c r="B260" s="214" t="s">
        <v>452</v>
      </c>
      <c r="C260" s="214" t="str">
        <f>M260</f>
        <v>TFMEHFC901</v>
      </c>
      <c r="D260" s="219"/>
      <c r="E260" s="214" t="str">
        <f>O260</f>
        <v>TFMS-C</v>
      </c>
      <c r="F260" s="252">
        <f t="shared" si="80"/>
        <v>0.12307999999999999</v>
      </c>
      <c r="G260" s="252">
        <f t="shared" si="81"/>
        <v>0.125</v>
      </c>
      <c r="H260" s="252">
        <f t="shared" si="82"/>
        <v>0.13114999999999999</v>
      </c>
      <c r="I260" s="252">
        <f t="shared" si="83"/>
        <v>0.13444999999999999</v>
      </c>
      <c r="J260" s="252">
        <f t="shared" si="84"/>
        <v>0.13793</v>
      </c>
      <c r="M260" s="216" t="s">
        <v>436</v>
      </c>
      <c r="N260" s="224"/>
      <c r="O260" s="224" t="s">
        <v>486</v>
      </c>
      <c r="P260" s="106">
        <v>812.5</v>
      </c>
      <c r="Q260" s="106">
        <v>800</v>
      </c>
      <c r="R260" s="106">
        <v>762.5</v>
      </c>
      <c r="S260" s="106">
        <v>743.75</v>
      </c>
      <c r="T260" s="106">
        <v>725</v>
      </c>
      <c r="V260" s="133"/>
      <c r="W260" s="117" t="s">
        <v>485</v>
      </c>
    </row>
    <row r="261" spans="2:23" x14ac:dyDescent="0.3">
      <c r="B261" s="214" t="s">
        <v>452</v>
      </c>
      <c r="C261" s="214" t="str">
        <f t="shared" si="78"/>
        <v>TFMEHYD101</v>
      </c>
      <c r="D261" s="219"/>
      <c r="E261" s="214" t="str">
        <f t="shared" si="79"/>
        <v>TFMS</v>
      </c>
      <c r="F261" s="252">
        <f t="shared" si="80"/>
        <v>8.2470000000000002E-2</v>
      </c>
      <c r="G261" s="252">
        <f t="shared" si="81"/>
        <v>8.4209999999999993E-2</v>
      </c>
      <c r="H261" s="252">
        <f t="shared" si="82"/>
        <v>8.6959999999999996E-2</v>
      </c>
      <c r="I261" s="252">
        <f t="shared" si="83"/>
        <v>8.8889999999999997E-2</v>
      </c>
      <c r="J261" s="252">
        <f t="shared" si="84"/>
        <v>9.0910000000000005E-2</v>
      </c>
      <c r="M261" s="216" t="s">
        <v>352</v>
      </c>
      <c r="N261" s="224"/>
      <c r="O261" s="224" t="s">
        <v>365</v>
      </c>
      <c r="P261" s="106">
        <v>1212.5</v>
      </c>
      <c r="Q261" s="106">
        <v>1187.5</v>
      </c>
      <c r="R261" s="106">
        <v>1150</v>
      </c>
      <c r="S261" s="106">
        <v>1125</v>
      </c>
      <c r="T261" s="106">
        <v>1100</v>
      </c>
      <c r="V261" s="133"/>
      <c r="W261" s="117" t="s">
        <v>485</v>
      </c>
    </row>
    <row r="262" spans="2:23" x14ac:dyDescent="0.3">
      <c r="B262" s="214" t="s">
        <v>452</v>
      </c>
      <c r="C262" s="214" t="str">
        <f t="shared" ref="C262:C292" si="89">M262</f>
        <v>TFMEHYD901</v>
      </c>
      <c r="D262" s="219"/>
      <c r="E262" s="214" t="str">
        <f t="shared" ref="E262:E292" si="90">O262</f>
        <v>TFMS-C</v>
      </c>
      <c r="F262" s="252">
        <f t="shared" si="80"/>
        <v>8.2470000000000002E-2</v>
      </c>
      <c r="G262" s="252">
        <f t="shared" si="81"/>
        <v>8.4209999999999993E-2</v>
      </c>
      <c r="H262" s="252">
        <f t="shared" si="82"/>
        <v>8.6959999999999996E-2</v>
      </c>
      <c r="I262" s="252">
        <f t="shared" si="83"/>
        <v>8.8889999999999997E-2</v>
      </c>
      <c r="J262" s="252">
        <f t="shared" si="84"/>
        <v>9.0910000000000005E-2</v>
      </c>
      <c r="M262" s="216" t="s">
        <v>434</v>
      </c>
      <c r="N262" s="224"/>
      <c r="O262" s="224" t="s">
        <v>486</v>
      </c>
      <c r="P262" s="106">
        <v>1212.5</v>
      </c>
      <c r="Q262" s="106">
        <v>1187.5</v>
      </c>
      <c r="R262" s="106">
        <v>1150</v>
      </c>
      <c r="S262" s="106">
        <v>1125</v>
      </c>
      <c r="T262" s="106">
        <v>1100</v>
      </c>
      <c r="V262" s="133"/>
      <c r="W262" s="117" t="s">
        <v>485</v>
      </c>
    </row>
    <row r="263" spans="2:23" x14ac:dyDescent="0.3">
      <c r="B263" s="214" t="s">
        <v>452</v>
      </c>
      <c r="C263" s="214" t="str">
        <f t="shared" si="89"/>
        <v>TFMEHYG101</v>
      </c>
      <c r="D263" s="219"/>
      <c r="E263" s="214" t="str">
        <f t="shared" si="90"/>
        <v>TFMS</v>
      </c>
      <c r="F263" s="252">
        <f t="shared" si="80"/>
        <v>0.11169999999999999</v>
      </c>
      <c r="G263" s="252">
        <f t="shared" si="81"/>
        <v>0.11277</v>
      </c>
      <c r="H263" s="252">
        <f t="shared" si="82"/>
        <v>0.11953999999999999</v>
      </c>
      <c r="I263" s="252">
        <f t="shared" si="83"/>
        <v>0.12284</v>
      </c>
      <c r="J263" s="252">
        <f t="shared" si="84"/>
        <v>0.12633</v>
      </c>
      <c r="M263" s="216" t="s">
        <v>408</v>
      </c>
      <c r="N263" s="224"/>
      <c r="O263" s="224" t="s">
        <v>365</v>
      </c>
      <c r="P263" s="106">
        <v>895.25462962962968</v>
      </c>
      <c r="Q263" s="106">
        <v>886.79245283018872</v>
      </c>
      <c r="R263" s="106">
        <v>836.52912621359224</v>
      </c>
      <c r="S263" s="106">
        <v>814.05472636815921</v>
      </c>
      <c r="T263" s="106">
        <v>791.58163265306121</v>
      </c>
      <c r="V263" s="133"/>
      <c r="W263" s="117" t="s">
        <v>485</v>
      </c>
    </row>
    <row r="264" spans="2:23" x14ac:dyDescent="0.3">
      <c r="B264" s="214" t="s">
        <v>452</v>
      </c>
      <c r="C264" s="214" t="str">
        <f t="shared" si="89"/>
        <v>TFMEHYG901</v>
      </c>
      <c r="D264" s="219"/>
      <c r="E264" s="214" t="str">
        <f t="shared" si="90"/>
        <v>TFMS-C</v>
      </c>
      <c r="F264" s="252">
        <f t="shared" si="80"/>
        <v>0.11169999999999999</v>
      </c>
      <c r="G264" s="252">
        <f t="shared" si="81"/>
        <v>0.11277</v>
      </c>
      <c r="H264" s="252">
        <f t="shared" si="82"/>
        <v>0.11953999999999999</v>
      </c>
      <c r="I264" s="252">
        <f t="shared" si="83"/>
        <v>0.12284</v>
      </c>
      <c r="J264" s="252">
        <f t="shared" si="84"/>
        <v>0.12633</v>
      </c>
      <c r="M264" s="216" t="s">
        <v>435</v>
      </c>
      <c r="N264" s="224"/>
      <c r="O264" s="224" t="s">
        <v>486</v>
      </c>
      <c r="P264" s="106">
        <v>895.25462962962968</v>
      </c>
      <c r="Q264" s="106">
        <v>886.79245283018872</v>
      </c>
      <c r="R264" s="106">
        <v>836.52912621359224</v>
      </c>
      <c r="S264" s="106">
        <v>814.05472636815921</v>
      </c>
      <c r="T264" s="106">
        <v>791.58163265306121</v>
      </c>
      <c r="V264" s="133"/>
      <c r="W264" s="117" t="s">
        <v>485</v>
      </c>
    </row>
    <row r="265" spans="2:23" x14ac:dyDescent="0.3">
      <c r="B265" s="214" t="s">
        <v>452</v>
      </c>
      <c r="C265" s="214" t="str">
        <f t="shared" si="89"/>
        <v>TFMELPG101</v>
      </c>
      <c r="D265" s="219"/>
      <c r="E265" s="214" t="str">
        <f t="shared" si="90"/>
        <v>TFMS</v>
      </c>
      <c r="F265" s="252">
        <f t="shared" si="80"/>
        <v>6.7229999999999998E-2</v>
      </c>
      <c r="G265" s="252">
        <f t="shared" si="81"/>
        <v>6.8089999999999998E-2</v>
      </c>
      <c r="H265" s="252">
        <f t="shared" si="82"/>
        <v>7.0800000000000002E-2</v>
      </c>
      <c r="I265" s="252">
        <f t="shared" si="83"/>
        <v>7.2730000000000003E-2</v>
      </c>
      <c r="J265" s="252">
        <f t="shared" si="84"/>
        <v>7.4770000000000003E-2</v>
      </c>
      <c r="M265" s="216" t="s">
        <v>410</v>
      </c>
      <c r="N265" s="224"/>
      <c r="O265" s="224" t="s">
        <v>365</v>
      </c>
      <c r="P265" s="106">
        <v>1487.5</v>
      </c>
      <c r="Q265" s="106">
        <v>1468.75</v>
      </c>
      <c r="R265" s="106">
        <v>1412.5</v>
      </c>
      <c r="S265" s="106">
        <v>1375</v>
      </c>
      <c r="T265" s="106">
        <v>1337.5</v>
      </c>
      <c r="V265" s="133"/>
      <c r="W265" s="117" t="s">
        <v>485</v>
      </c>
    </row>
    <row r="266" spans="2:23" x14ac:dyDescent="0.3">
      <c r="B266" s="214" t="s">
        <v>452</v>
      </c>
      <c r="C266" s="214" t="str">
        <f t="shared" si="89"/>
        <v>TFMELPG901</v>
      </c>
      <c r="D266" s="219"/>
      <c r="E266" s="214" t="str">
        <f t="shared" si="90"/>
        <v>TFMS-C</v>
      </c>
      <c r="F266" s="252">
        <f t="shared" si="80"/>
        <v>6.7229999999999998E-2</v>
      </c>
      <c r="G266" s="252">
        <f t="shared" si="81"/>
        <v>6.8089999999999998E-2</v>
      </c>
      <c r="H266" s="252">
        <f t="shared" si="82"/>
        <v>7.0800000000000002E-2</v>
      </c>
      <c r="I266" s="252">
        <f t="shared" si="83"/>
        <v>7.2730000000000003E-2</v>
      </c>
      <c r="J266" s="252">
        <f t="shared" si="84"/>
        <v>7.4770000000000003E-2</v>
      </c>
      <c r="M266" s="216" t="s">
        <v>437</v>
      </c>
      <c r="N266" s="224"/>
      <c r="O266" s="224" t="s">
        <v>486</v>
      </c>
      <c r="P266" s="106">
        <v>1487.5</v>
      </c>
      <c r="Q266" s="106">
        <v>1468.75</v>
      </c>
      <c r="R266" s="106">
        <v>1412.5</v>
      </c>
      <c r="S266" s="106">
        <v>1375</v>
      </c>
      <c r="T266" s="106">
        <v>1337.5</v>
      </c>
      <c r="V266" s="133"/>
      <c r="W266" s="117" t="s">
        <v>485</v>
      </c>
    </row>
    <row r="267" spans="2:23" x14ac:dyDescent="0.3">
      <c r="B267" s="214" t="s">
        <v>452</v>
      </c>
      <c r="C267" s="214" t="str">
        <f t="shared" si="89"/>
        <v>TFMEMDE101</v>
      </c>
      <c r="D267" s="219"/>
      <c r="E267" s="214" t="str">
        <f t="shared" si="90"/>
        <v>TFMS</v>
      </c>
      <c r="F267" s="252">
        <f t="shared" si="80"/>
        <v>7.4069999999999997E-2</v>
      </c>
      <c r="G267" s="252">
        <f t="shared" si="81"/>
        <v>7.5469999999999995E-2</v>
      </c>
      <c r="H267" s="252">
        <f t="shared" si="82"/>
        <v>7.7670000000000003E-2</v>
      </c>
      <c r="I267" s="252">
        <f t="shared" si="83"/>
        <v>7.9600000000000004E-2</v>
      </c>
      <c r="J267" s="252">
        <f t="shared" si="84"/>
        <v>8.1629999999999994E-2</v>
      </c>
      <c r="M267" s="216" t="s">
        <v>354</v>
      </c>
      <c r="N267" s="224"/>
      <c r="O267" s="224" t="s">
        <v>365</v>
      </c>
      <c r="P267" s="106">
        <v>1350</v>
      </c>
      <c r="Q267" s="106">
        <v>1325</v>
      </c>
      <c r="R267" s="106">
        <v>1287.5</v>
      </c>
      <c r="S267" s="106">
        <v>1256.25</v>
      </c>
      <c r="T267" s="106">
        <v>1225</v>
      </c>
      <c r="V267" s="133"/>
      <c r="W267" s="117" t="s">
        <v>485</v>
      </c>
    </row>
    <row r="268" spans="2:23" x14ac:dyDescent="0.3">
      <c r="B268" s="214" t="s">
        <v>452</v>
      </c>
      <c r="C268" s="214" t="str">
        <f t="shared" si="89"/>
        <v>TFMEMDE901</v>
      </c>
      <c r="D268" s="219"/>
      <c r="E268" s="214" t="str">
        <f t="shared" si="90"/>
        <v>TFMS-C</v>
      </c>
      <c r="F268" s="252">
        <f t="shared" si="80"/>
        <v>7.4069999999999997E-2</v>
      </c>
      <c r="G268" s="252">
        <f t="shared" si="81"/>
        <v>7.5469999999999995E-2</v>
      </c>
      <c r="H268" s="252">
        <f t="shared" si="82"/>
        <v>7.7670000000000003E-2</v>
      </c>
      <c r="I268" s="252">
        <f t="shared" si="83"/>
        <v>7.9600000000000004E-2</v>
      </c>
      <c r="J268" s="252">
        <f t="shared" si="84"/>
        <v>8.1629999999999994E-2</v>
      </c>
      <c r="M268" s="216" t="s">
        <v>438</v>
      </c>
      <c r="N268" s="224"/>
      <c r="O268" s="224" t="s">
        <v>486</v>
      </c>
      <c r="P268" s="106">
        <v>1350</v>
      </c>
      <c r="Q268" s="106">
        <v>1325</v>
      </c>
      <c r="R268" s="106">
        <v>1287.5</v>
      </c>
      <c r="S268" s="106">
        <v>1256.25</v>
      </c>
      <c r="T268" s="106">
        <v>1225</v>
      </c>
      <c r="V268" s="133"/>
      <c r="W268" s="117" t="s">
        <v>485</v>
      </c>
    </row>
    <row r="269" spans="2:23" x14ac:dyDescent="0.3">
      <c r="B269" s="214" t="s">
        <v>452</v>
      </c>
      <c r="C269" s="214" t="str">
        <f t="shared" si="89"/>
        <v>TFMEMTH101</v>
      </c>
      <c r="D269" s="219"/>
      <c r="E269" s="214" t="str">
        <f t="shared" si="90"/>
        <v>TFMS</v>
      </c>
      <c r="F269" s="252">
        <f t="shared" si="80"/>
        <v>6.7229999999999998E-2</v>
      </c>
      <c r="G269" s="252">
        <f t="shared" si="81"/>
        <v>6.8089999999999998E-2</v>
      </c>
      <c r="H269" s="252">
        <f t="shared" si="82"/>
        <v>7.0800000000000002E-2</v>
      </c>
      <c r="I269" s="252">
        <f t="shared" si="83"/>
        <v>7.2730000000000003E-2</v>
      </c>
      <c r="J269" s="252">
        <f t="shared" si="84"/>
        <v>7.4770000000000003E-2</v>
      </c>
      <c r="M269" s="216" t="s">
        <v>594</v>
      </c>
      <c r="N269" s="224"/>
      <c r="O269" s="224" t="s">
        <v>365</v>
      </c>
      <c r="P269" s="106">
        <v>1487.5</v>
      </c>
      <c r="Q269" s="106">
        <v>1468.75</v>
      </c>
      <c r="R269" s="106">
        <v>1412.5</v>
      </c>
      <c r="S269" s="106">
        <v>1375</v>
      </c>
      <c r="T269" s="106">
        <v>1337.5</v>
      </c>
      <c r="V269" s="133"/>
      <c r="W269" s="117" t="s">
        <v>485</v>
      </c>
    </row>
    <row r="270" spans="2:23" x14ac:dyDescent="0.3">
      <c r="B270" s="214" t="s">
        <v>452</v>
      </c>
      <c r="C270" s="214" t="str">
        <f t="shared" si="89"/>
        <v>TFMEMTH901</v>
      </c>
      <c r="D270" s="219"/>
      <c r="E270" s="214" t="str">
        <f t="shared" si="90"/>
        <v>TFMS-C</v>
      </c>
      <c r="F270" s="252">
        <f t="shared" si="80"/>
        <v>6.7229999999999998E-2</v>
      </c>
      <c r="G270" s="252">
        <f t="shared" si="81"/>
        <v>6.8089999999999998E-2</v>
      </c>
      <c r="H270" s="252">
        <f t="shared" si="82"/>
        <v>7.0800000000000002E-2</v>
      </c>
      <c r="I270" s="252">
        <f t="shared" si="83"/>
        <v>7.2730000000000003E-2</v>
      </c>
      <c r="J270" s="252">
        <f t="shared" si="84"/>
        <v>7.4770000000000003E-2</v>
      </c>
      <c r="M270" s="216" t="s">
        <v>589</v>
      </c>
      <c r="N270" s="224"/>
      <c r="O270" s="224" t="s">
        <v>486</v>
      </c>
      <c r="P270" s="106">
        <v>1487.5</v>
      </c>
      <c r="Q270" s="106">
        <v>1468.75</v>
      </c>
      <c r="R270" s="106">
        <v>1412.5</v>
      </c>
      <c r="S270" s="106">
        <v>1375</v>
      </c>
      <c r="T270" s="106">
        <v>1337.5</v>
      </c>
      <c r="V270" s="133"/>
      <c r="W270" s="117" t="s">
        <v>485</v>
      </c>
    </row>
    <row r="271" spans="2:23" x14ac:dyDescent="0.3">
      <c r="B271" s="214" t="s">
        <v>452</v>
      </c>
      <c r="C271" s="214" t="str">
        <f t="shared" si="89"/>
        <v>TFMEPYD101</v>
      </c>
      <c r="D271" s="219"/>
      <c r="E271" s="214" t="str">
        <f t="shared" si="90"/>
        <v>TFMS</v>
      </c>
      <c r="F271" s="252">
        <f t="shared" si="80"/>
        <v>7.4069999999999997E-2</v>
      </c>
      <c r="G271" s="252">
        <f t="shared" si="81"/>
        <v>7.5469999999999995E-2</v>
      </c>
      <c r="H271" s="252">
        <f t="shared" si="82"/>
        <v>7.7670000000000003E-2</v>
      </c>
      <c r="I271" s="252">
        <f t="shared" si="83"/>
        <v>7.9600000000000004E-2</v>
      </c>
      <c r="J271" s="252">
        <f t="shared" si="84"/>
        <v>8.1629999999999994E-2</v>
      </c>
      <c r="M271" s="216" t="s">
        <v>407</v>
      </c>
      <c r="N271" s="224"/>
      <c r="O271" s="224" t="s">
        <v>365</v>
      </c>
      <c r="P271" s="106">
        <v>1350</v>
      </c>
      <c r="Q271" s="106">
        <v>1325</v>
      </c>
      <c r="R271" s="106">
        <v>1287.5</v>
      </c>
      <c r="S271" s="106">
        <v>1256.25</v>
      </c>
      <c r="T271" s="106">
        <v>1225</v>
      </c>
      <c r="V271" s="133"/>
      <c r="W271" s="117" t="s">
        <v>485</v>
      </c>
    </row>
    <row r="272" spans="2:23" x14ac:dyDescent="0.3">
      <c r="B272" s="214" t="s">
        <v>452</v>
      </c>
      <c r="C272" s="214" t="str">
        <f t="shared" si="89"/>
        <v>TFMEPYD901</v>
      </c>
      <c r="D272" s="219"/>
      <c r="E272" s="214" t="str">
        <f t="shared" si="90"/>
        <v>TFMS-C</v>
      </c>
      <c r="F272" s="252">
        <f t="shared" si="80"/>
        <v>7.4069999999999997E-2</v>
      </c>
      <c r="G272" s="252">
        <f t="shared" si="81"/>
        <v>7.5469999999999995E-2</v>
      </c>
      <c r="H272" s="252">
        <f t="shared" si="82"/>
        <v>7.7670000000000003E-2</v>
      </c>
      <c r="I272" s="252">
        <f t="shared" si="83"/>
        <v>7.9600000000000004E-2</v>
      </c>
      <c r="J272" s="252">
        <f t="shared" si="84"/>
        <v>8.1629999999999994E-2</v>
      </c>
      <c r="M272" s="216" t="s">
        <v>439</v>
      </c>
      <c r="N272" s="224"/>
      <c r="O272" s="224" t="s">
        <v>486</v>
      </c>
      <c r="P272" s="106">
        <v>1350</v>
      </c>
      <c r="Q272" s="106">
        <v>1325</v>
      </c>
      <c r="R272" s="106">
        <v>1287.5</v>
      </c>
      <c r="S272" s="106">
        <v>1256.25</v>
      </c>
      <c r="T272" s="106">
        <v>1225</v>
      </c>
      <c r="V272" s="133"/>
      <c r="W272" s="117" t="s">
        <v>485</v>
      </c>
    </row>
    <row r="273" spans="2:23" x14ac:dyDescent="0.3">
      <c r="B273" s="214" t="s">
        <v>452</v>
      </c>
      <c r="C273" s="214" t="str">
        <f t="shared" si="89"/>
        <v>TFMEPYG101</v>
      </c>
      <c r="D273" s="219"/>
      <c r="E273" s="214" t="str">
        <f t="shared" si="90"/>
        <v>TFMS</v>
      </c>
      <c r="F273" s="252">
        <f t="shared" si="80"/>
        <v>6.7229999999999998E-2</v>
      </c>
      <c r="G273" s="252">
        <f t="shared" si="81"/>
        <v>6.8089999999999998E-2</v>
      </c>
      <c r="H273" s="252">
        <f t="shared" si="82"/>
        <v>7.0800000000000002E-2</v>
      </c>
      <c r="I273" s="252">
        <f t="shared" si="83"/>
        <v>7.2730000000000003E-2</v>
      </c>
      <c r="J273" s="252">
        <f t="shared" si="84"/>
        <v>7.4770000000000003E-2</v>
      </c>
      <c r="M273" s="216" t="s">
        <v>409</v>
      </c>
      <c r="N273" s="224"/>
      <c r="O273" s="224" t="s">
        <v>365</v>
      </c>
      <c r="P273" s="106">
        <v>1487.5</v>
      </c>
      <c r="Q273" s="106">
        <v>1468.75</v>
      </c>
      <c r="R273" s="106">
        <v>1412.5</v>
      </c>
      <c r="S273" s="106">
        <v>1375</v>
      </c>
      <c r="T273" s="106">
        <v>1337.5</v>
      </c>
      <c r="V273" s="133"/>
      <c r="W273" s="117" t="s">
        <v>485</v>
      </c>
    </row>
    <row r="274" spans="2:23" x14ac:dyDescent="0.3">
      <c r="B274" s="217" t="s">
        <v>452</v>
      </c>
      <c r="C274" s="217" t="str">
        <f t="shared" si="89"/>
        <v>TFMEPYG901</v>
      </c>
      <c r="D274" s="220"/>
      <c r="E274" s="217" t="str">
        <f t="shared" si="90"/>
        <v>TFMS-C</v>
      </c>
      <c r="F274" s="254">
        <f t="shared" si="80"/>
        <v>6.7229999999999998E-2</v>
      </c>
      <c r="G274" s="254">
        <f t="shared" si="81"/>
        <v>6.8089999999999998E-2</v>
      </c>
      <c r="H274" s="254">
        <f t="shared" si="82"/>
        <v>7.0800000000000002E-2</v>
      </c>
      <c r="I274" s="254">
        <f t="shared" si="83"/>
        <v>7.2730000000000003E-2</v>
      </c>
      <c r="J274" s="254">
        <f t="shared" si="84"/>
        <v>7.4770000000000003E-2</v>
      </c>
      <c r="M274" s="221" t="s">
        <v>440</v>
      </c>
      <c r="N274" s="225"/>
      <c r="O274" s="225" t="s">
        <v>486</v>
      </c>
      <c r="P274" s="111">
        <v>1487.5</v>
      </c>
      <c r="Q274" s="111">
        <v>1468.75</v>
      </c>
      <c r="R274" s="111">
        <v>1412.5</v>
      </c>
      <c r="S274" s="111">
        <v>1375</v>
      </c>
      <c r="T274" s="111">
        <v>1337.5</v>
      </c>
      <c r="V274" s="133"/>
      <c r="W274" s="145" t="s">
        <v>485</v>
      </c>
    </row>
    <row r="275" spans="2:23" x14ac:dyDescent="0.3">
      <c r="B275" s="214" t="s">
        <v>452</v>
      </c>
      <c r="C275" s="214" t="str">
        <f t="shared" si="89"/>
        <v>TFREBDL101</v>
      </c>
      <c r="D275" s="219"/>
      <c r="E275" s="214" t="str">
        <f t="shared" si="90"/>
        <v>TFRS</v>
      </c>
      <c r="F275" s="252">
        <f t="shared" si="80"/>
        <v>7.4069999999999997E-2</v>
      </c>
      <c r="G275" s="252">
        <f t="shared" si="81"/>
        <v>7.5469999999999995E-2</v>
      </c>
      <c r="H275" s="252">
        <f t="shared" si="82"/>
        <v>7.7670000000000003E-2</v>
      </c>
      <c r="I275" s="252">
        <f t="shared" si="83"/>
        <v>7.9600000000000004E-2</v>
      </c>
      <c r="J275" s="252">
        <f t="shared" si="84"/>
        <v>8.1629999999999994E-2</v>
      </c>
      <c r="M275" s="216" t="s">
        <v>155</v>
      </c>
      <c r="N275" s="224"/>
      <c r="O275" s="224" t="s">
        <v>336</v>
      </c>
      <c r="P275" s="106">
        <v>1350</v>
      </c>
      <c r="Q275" s="106">
        <v>1325</v>
      </c>
      <c r="R275" s="106">
        <v>1287.5</v>
      </c>
      <c r="S275" s="106">
        <v>1256.25</v>
      </c>
      <c r="T275" s="106">
        <v>1225</v>
      </c>
      <c r="V275" s="133"/>
      <c r="W275" s="117" t="s">
        <v>485</v>
      </c>
    </row>
    <row r="276" spans="2:23" x14ac:dyDescent="0.3">
      <c r="B276" s="214" t="s">
        <v>452</v>
      </c>
      <c r="C276" s="214" t="str">
        <f t="shared" si="89"/>
        <v>TFREBDL901</v>
      </c>
      <c r="D276" s="219"/>
      <c r="E276" s="214" t="str">
        <f t="shared" si="90"/>
        <v>TFRS-C</v>
      </c>
      <c r="F276" s="252">
        <f t="shared" si="80"/>
        <v>7.4069999999999997E-2</v>
      </c>
      <c r="G276" s="252">
        <f t="shared" si="81"/>
        <v>7.5469999999999995E-2</v>
      </c>
      <c r="H276" s="252">
        <f t="shared" si="82"/>
        <v>7.7670000000000003E-2</v>
      </c>
      <c r="I276" s="252">
        <f t="shared" si="83"/>
        <v>7.9600000000000004E-2</v>
      </c>
      <c r="J276" s="252">
        <f t="shared" si="84"/>
        <v>8.1629999999999994E-2</v>
      </c>
      <c r="M276" s="216" t="s">
        <v>253</v>
      </c>
      <c r="N276" s="224"/>
      <c r="O276" s="224" t="s">
        <v>487</v>
      </c>
      <c r="P276" s="106">
        <v>1350</v>
      </c>
      <c r="Q276" s="106">
        <v>1325</v>
      </c>
      <c r="R276" s="106">
        <v>1287.5</v>
      </c>
      <c r="S276" s="106">
        <v>1256.25</v>
      </c>
      <c r="T276" s="106">
        <v>1225</v>
      </c>
      <c r="V276" s="133"/>
      <c r="W276" s="117" t="s">
        <v>485</v>
      </c>
    </row>
    <row r="277" spans="2:23" x14ac:dyDescent="0.3">
      <c r="B277" s="214" t="s">
        <v>452</v>
      </c>
      <c r="C277" s="214" t="str">
        <f t="shared" si="89"/>
        <v>TFREDME101</v>
      </c>
      <c r="D277" s="219"/>
      <c r="E277" s="214" t="str">
        <f t="shared" si="90"/>
        <v>TFRS</v>
      </c>
      <c r="F277" s="252">
        <f t="shared" si="80"/>
        <v>7.4069999999999997E-2</v>
      </c>
      <c r="G277" s="252">
        <f t="shared" si="81"/>
        <v>7.5469999999999995E-2</v>
      </c>
      <c r="H277" s="252">
        <f t="shared" si="82"/>
        <v>7.7670000000000003E-2</v>
      </c>
      <c r="I277" s="252">
        <f t="shared" si="83"/>
        <v>7.9600000000000004E-2</v>
      </c>
      <c r="J277" s="252">
        <f t="shared" si="84"/>
        <v>8.1629999999999994E-2</v>
      </c>
      <c r="M277" s="216" t="s">
        <v>157</v>
      </c>
      <c r="N277" s="224"/>
      <c r="O277" s="224" t="s">
        <v>336</v>
      </c>
      <c r="P277" s="106">
        <v>1350</v>
      </c>
      <c r="Q277" s="106">
        <v>1325</v>
      </c>
      <c r="R277" s="106">
        <v>1287.5</v>
      </c>
      <c r="S277" s="106">
        <v>1256.25</v>
      </c>
      <c r="T277" s="106">
        <v>1225</v>
      </c>
      <c r="V277" s="133"/>
      <c r="W277" s="117" t="s">
        <v>485</v>
      </c>
    </row>
    <row r="278" spans="2:23" x14ac:dyDescent="0.3">
      <c r="B278" s="214" t="s">
        <v>452</v>
      </c>
      <c r="C278" s="214" t="str">
        <f t="shared" si="89"/>
        <v>TFREDME901</v>
      </c>
      <c r="D278" s="219"/>
      <c r="E278" s="214" t="str">
        <f t="shared" si="90"/>
        <v>TFRS-C</v>
      </c>
      <c r="F278" s="252">
        <f t="shared" si="80"/>
        <v>7.4069999999999997E-2</v>
      </c>
      <c r="G278" s="252">
        <f t="shared" si="81"/>
        <v>7.5469999999999995E-2</v>
      </c>
      <c r="H278" s="252">
        <f t="shared" si="82"/>
        <v>7.7670000000000003E-2</v>
      </c>
      <c r="I278" s="252">
        <f t="shared" si="83"/>
        <v>7.9600000000000004E-2</v>
      </c>
      <c r="J278" s="252">
        <f t="shared" si="84"/>
        <v>8.1629999999999994E-2</v>
      </c>
      <c r="M278" s="216" t="s">
        <v>255</v>
      </c>
      <c r="N278" s="224"/>
      <c r="O278" s="224" t="s">
        <v>487</v>
      </c>
      <c r="P278" s="106">
        <v>1350</v>
      </c>
      <c r="Q278" s="106">
        <v>1325</v>
      </c>
      <c r="R278" s="106">
        <v>1287.5</v>
      </c>
      <c r="S278" s="106">
        <v>1256.25</v>
      </c>
      <c r="T278" s="106">
        <v>1225</v>
      </c>
      <c r="V278" s="133"/>
      <c r="W278" s="117" t="s">
        <v>485</v>
      </c>
    </row>
    <row r="279" spans="2:23" x14ac:dyDescent="0.3">
      <c r="B279" s="214" t="s">
        <v>452</v>
      </c>
      <c r="C279" s="214" t="str">
        <f t="shared" si="89"/>
        <v>TFREDST101</v>
      </c>
      <c r="D279" s="219"/>
      <c r="E279" s="214" t="str">
        <f t="shared" si="90"/>
        <v>TFRS</v>
      </c>
      <c r="F279" s="252">
        <f t="shared" si="80"/>
        <v>7.4069999999999997E-2</v>
      </c>
      <c r="G279" s="252">
        <f t="shared" si="81"/>
        <v>7.5469999999999995E-2</v>
      </c>
      <c r="H279" s="252">
        <f t="shared" si="82"/>
        <v>7.7670000000000003E-2</v>
      </c>
      <c r="I279" s="252">
        <f t="shared" si="83"/>
        <v>7.9600000000000004E-2</v>
      </c>
      <c r="J279" s="252">
        <f t="shared" si="84"/>
        <v>8.1629999999999994E-2</v>
      </c>
      <c r="M279" s="216" t="s">
        <v>159</v>
      </c>
      <c r="N279" s="224"/>
      <c r="O279" s="224" t="s">
        <v>336</v>
      </c>
      <c r="P279" s="106">
        <v>1350</v>
      </c>
      <c r="Q279" s="106">
        <v>1325</v>
      </c>
      <c r="R279" s="106">
        <v>1287.5</v>
      </c>
      <c r="S279" s="106">
        <v>1256.25</v>
      </c>
      <c r="T279" s="106">
        <v>1225</v>
      </c>
      <c r="V279" s="133"/>
      <c r="W279" s="117" t="s">
        <v>485</v>
      </c>
    </row>
    <row r="280" spans="2:23" x14ac:dyDescent="0.3">
      <c r="B280" s="214" t="s">
        <v>452</v>
      </c>
      <c r="C280" s="214" t="str">
        <f t="shared" si="89"/>
        <v>TFREDST901</v>
      </c>
      <c r="D280" s="219"/>
      <c r="E280" s="214" t="str">
        <f t="shared" si="90"/>
        <v>TFRS-C</v>
      </c>
      <c r="F280" s="252">
        <f t="shared" si="80"/>
        <v>7.4069999999999997E-2</v>
      </c>
      <c r="G280" s="252">
        <f t="shared" si="81"/>
        <v>7.5469999999999995E-2</v>
      </c>
      <c r="H280" s="252">
        <f t="shared" si="82"/>
        <v>7.7670000000000003E-2</v>
      </c>
      <c r="I280" s="252">
        <f t="shared" si="83"/>
        <v>7.9600000000000004E-2</v>
      </c>
      <c r="J280" s="252">
        <f t="shared" si="84"/>
        <v>8.1629999999999994E-2</v>
      </c>
      <c r="M280" s="216" t="s">
        <v>257</v>
      </c>
      <c r="N280" s="224"/>
      <c r="O280" s="224" t="s">
        <v>487</v>
      </c>
      <c r="P280" s="106">
        <v>1350</v>
      </c>
      <c r="Q280" s="106">
        <v>1325</v>
      </c>
      <c r="R280" s="106">
        <v>1287.5</v>
      </c>
      <c r="S280" s="106">
        <v>1256.25</v>
      </c>
      <c r="T280" s="106">
        <v>1225</v>
      </c>
      <c r="V280" s="133"/>
      <c r="W280" s="117" t="s">
        <v>485</v>
      </c>
    </row>
    <row r="281" spans="2:23" x14ac:dyDescent="0.3">
      <c r="B281" s="214" t="s">
        <v>452</v>
      </c>
      <c r="C281" s="214" t="str">
        <f t="shared" si="89"/>
        <v>TFREETH101</v>
      </c>
      <c r="D281" s="219"/>
      <c r="E281" s="214" t="str">
        <f t="shared" si="90"/>
        <v>TFRS</v>
      </c>
      <c r="F281" s="252">
        <f t="shared" si="80"/>
        <v>7.4069999999999997E-2</v>
      </c>
      <c r="G281" s="252">
        <f t="shared" si="81"/>
        <v>7.5469999999999995E-2</v>
      </c>
      <c r="H281" s="252">
        <f t="shared" si="82"/>
        <v>7.7670000000000003E-2</v>
      </c>
      <c r="I281" s="252">
        <f t="shared" si="83"/>
        <v>7.9600000000000004E-2</v>
      </c>
      <c r="J281" s="252">
        <f t="shared" si="84"/>
        <v>8.1629999999999994E-2</v>
      </c>
      <c r="M281" s="216" t="s">
        <v>162</v>
      </c>
      <c r="N281" s="224"/>
      <c r="O281" s="224" t="s">
        <v>336</v>
      </c>
      <c r="P281" s="106">
        <f>P279</f>
        <v>1350</v>
      </c>
      <c r="Q281" s="106">
        <f t="shared" ref="Q281:T281" si="91">Q279</f>
        <v>1325</v>
      </c>
      <c r="R281" s="106">
        <f t="shared" si="91"/>
        <v>1287.5</v>
      </c>
      <c r="S281" s="106">
        <f t="shared" si="91"/>
        <v>1256.25</v>
      </c>
      <c r="T281" s="106">
        <f t="shared" si="91"/>
        <v>1225</v>
      </c>
      <c r="V281" s="133"/>
      <c r="W281" s="117" t="s">
        <v>485</v>
      </c>
    </row>
    <row r="282" spans="2:23" x14ac:dyDescent="0.3">
      <c r="B282" s="214" t="s">
        <v>452</v>
      </c>
      <c r="C282" s="214" t="str">
        <f t="shared" si="89"/>
        <v>TFREETH901</v>
      </c>
      <c r="D282" s="219"/>
      <c r="E282" s="214" t="str">
        <f t="shared" si="90"/>
        <v>TFRS-C</v>
      </c>
      <c r="F282" s="252">
        <f t="shared" si="80"/>
        <v>7.4069999999999997E-2</v>
      </c>
      <c r="G282" s="252">
        <f t="shared" si="81"/>
        <v>7.5469999999999995E-2</v>
      </c>
      <c r="H282" s="252">
        <f t="shared" si="82"/>
        <v>7.7670000000000003E-2</v>
      </c>
      <c r="I282" s="252">
        <f t="shared" si="83"/>
        <v>7.9600000000000004E-2</v>
      </c>
      <c r="J282" s="252">
        <f t="shared" si="84"/>
        <v>8.1629999999999994E-2</v>
      </c>
      <c r="M282" s="216" t="s">
        <v>260</v>
      </c>
      <c r="N282" s="224"/>
      <c r="O282" s="224" t="s">
        <v>487</v>
      </c>
      <c r="P282" s="106">
        <f t="shared" ref="P282:T282" si="92">P280</f>
        <v>1350</v>
      </c>
      <c r="Q282" s="106">
        <f t="shared" si="92"/>
        <v>1325</v>
      </c>
      <c r="R282" s="106">
        <f t="shared" si="92"/>
        <v>1287.5</v>
      </c>
      <c r="S282" s="106">
        <f t="shared" si="92"/>
        <v>1256.25</v>
      </c>
      <c r="T282" s="106">
        <f t="shared" si="92"/>
        <v>1225</v>
      </c>
      <c r="V282" s="133"/>
      <c r="W282" s="117" t="s">
        <v>485</v>
      </c>
    </row>
    <row r="283" spans="2:23" x14ac:dyDescent="0.3">
      <c r="B283" s="214" t="s">
        <v>452</v>
      </c>
      <c r="C283" s="214" t="str">
        <f t="shared" si="89"/>
        <v>TFREGAS101</v>
      </c>
      <c r="D283" s="219"/>
      <c r="E283" s="214" t="str">
        <f t="shared" si="90"/>
        <v>TFRS</v>
      </c>
      <c r="F283" s="252">
        <f t="shared" si="80"/>
        <v>6.7229999999999998E-2</v>
      </c>
      <c r="G283" s="252">
        <f t="shared" si="81"/>
        <v>6.8089999999999998E-2</v>
      </c>
      <c r="H283" s="252">
        <f t="shared" si="82"/>
        <v>7.0800000000000002E-2</v>
      </c>
      <c r="I283" s="252">
        <f t="shared" si="83"/>
        <v>7.2730000000000003E-2</v>
      </c>
      <c r="J283" s="252">
        <f t="shared" si="84"/>
        <v>7.4770000000000003E-2</v>
      </c>
      <c r="M283" s="216" t="s">
        <v>164</v>
      </c>
      <c r="N283" s="224"/>
      <c r="O283" s="224" t="s">
        <v>336</v>
      </c>
      <c r="P283" s="106">
        <v>1487.5</v>
      </c>
      <c r="Q283" s="106">
        <v>1468.75</v>
      </c>
      <c r="R283" s="106">
        <v>1412.5</v>
      </c>
      <c r="S283" s="106">
        <v>1375</v>
      </c>
      <c r="T283" s="106">
        <v>1337.5</v>
      </c>
      <c r="V283" s="133"/>
      <c r="W283" s="117" t="s">
        <v>485</v>
      </c>
    </row>
    <row r="284" spans="2:23" x14ac:dyDescent="0.3">
      <c r="B284" s="214" t="s">
        <v>452</v>
      </c>
      <c r="C284" s="214" t="str">
        <f t="shared" si="89"/>
        <v>TFREGAS901</v>
      </c>
      <c r="D284" s="219"/>
      <c r="E284" s="214" t="str">
        <f t="shared" si="90"/>
        <v>TFRS-C</v>
      </c>
      <c r="F284" s="252">
        <f t="shared" si="80"/>
        <v>6.7229999999999998E-2</v>
      </c>
      <c r="G284" s="252">
        <f t="shared" si="81"/>
        <v>6.8089999999999998E-2</v>
      </c>
      <c r="H284" s="252">
        <f t="shared" si="82"/>
        <v>7.0800000000000002E-2</v>
      </c>
      <c r="I284" s="252">
        <f t="shared" si="83"/>
        <v>7.2730000000000003E-2</v>
      </c>
      <c r="J284" s="252">
        <f t="shared" si="84"/>
        <v>7.4770000000000003E-2</v>
      </c>
      <c r="M284" s="216" t="s">
        <v>262</v>
      </c>
      <c r="N284" s="224"/>
      <c r="O284" s="224" t="s">
        <v>487</v>
      </c>
      <c r="P284" s="106">
        <v>1487.5</v>
      </c>
      <c r="Q284" s="106">
        <v>1468.75</v>
      </c>
      <c r="R284" s="106">
        <v>1412.5</v>
      </c>
      <c r="S284" s="106">
        <v>1375</v>
      </c>
      <c r="T284" s="106">
        <v>1337.5</v>
      </c>
      <c r="V284" s="133"/>
      <c r="W284" s="117" t="s">
        <v>485</v>
      </c>
    </row>
    <row r="285" spans="2:23" x14ac:dyDescent="0.3">
      <c r="B285" s="214" t="s">
        <v>452</v>
      </c>
      <c r="C285" s="214" t="str">
        <f t="shared" si="89"/>
        <v>TFREGSL101</v>
      </c>
      <c r="D285" s="219"/>
      <c r="E285" s="214" t="str">
        <f t="shared" si="90"/>
        <v>TFRS</v>
      </c>
      <c r="F285" s="252">
        <f t="shared" si="80"/>
        <v>6.7229999999999998E-2</v>
      </c>
      <c r="G285" s="252">
        <f t="shared" si="81"/>
        <v>6.8089999999999998E-2</v>
      </c>
      <c r="H285" s="252">
        <f t="shared" si="82"/>
        <v>7.0800000000000002E-2</v>
      </c>
      <c r="I285" s="252">
        <f t="shared" si="83"/>
        <v>7.2730000000000003E-2</v>
      </c>
      <c r="J285" s="252">
        <f t="shared" si="84"/>
        <v>7.4770000000000003E-2</v>
      </c>
      <c r="M285" s="216" t="s">
        <v>166</v>
      </c>
      <c r="N285" s="224"/>
      <c r="O285" s="224" t="s">
        <v>336</v>
      </c>
      <c r="P285" s="106">
        <v>1487.5</v>
      </c>
      <c r="Q285" s="106">
        <v>1468.75</v>
      </c>
      <c r="R285" s="106">
        <v>1412.5</v>
      </c>
      <c r="S285" s="106">
        <v>1375</v>
      </c>
      <c r="T285" s="106">
        <v>1337.5</v>
      </c>
      <c r="V285" s="133"/>
      <c r="W285" s="117" t="s">
        <v>485</v>
      </c>
    </row>
    <row r="286" spans="2:23" x14ac:dyDescent="0.3">
      <c r="B286" s="214" t="s">
        <v>452</v>
      </c>
      <c r="C286" s="214" t="str">
        <f t="shared" si="89"/>
        <v>TFREGSL901</v>
      </c>
      <c r="D286" s="219"/>
      <c r="E286" s="214" t="str">
        <f t="shared" si="90"/>
        <v>TFRS-C</v>
      </c>
      <c r="F286" s="252">
        <f t="shared" si="80"/>
        <v>6.7229999999999998E-2</v>
      </c>
      <c r="G286" s="252">
        <f t="shared" si="81"/>
        <v>6.8089999999999998E-2</v>
      </c>
      <c r="H286" s="252">
        <f t="shared" si="82"/>
        <v>7.0800000000000002E-2</v>
      </c>
      <c r="I286" s="252">
        <f t="shared" si="83"/>
        <v>7.2730000000000003E-2</v>
      </c>
      <c r="J286" s="252">
        <f t="shared" si="84"/>
        <v>7.4770000000000003E-2</v>
      </c>
      <c r="M286" s="216" t="s">
        <v>264</v>
      </c>
      <c r="N286" s="224"/>
      <c r="O286" s="224" t="s">
        <v>487</v>
      </c>
      <c r="P286" s="106">
        <v>1487.5</v>
      </c>
      <c r="Q286" s="106">
        <v>1468.75</v>
      </c>
      <c r="R286" s="106">
        <v>1412.5</v>
      </c>
      <c r="S286" s="106">
        <v>1375</v>
      </c>
      <c r="T286" s="106">
        <v>1337.5</v>
      </c>
      <c r="V286" s="133"/>
      <c r="W286" s="117" t="s">
        <v>485</v>
      </c>
    </row>
    <row r="287" spans="2:23" x14ac:dyDescent="0.3">
      <c r="B287" s="214" t="s">
        <v>452</v>
      </c>
      <c r="C287" s="214" t="str">
        <f>M287</f>
        <v>TFREHFC101</v>
      </c>
      <c r="D287" s="219"/>
      <c r="E287" s="214" t="str">
        <f>O287</f>
        <v>TFRS</v>
      </c>
      <c r="F287" s="252">
        <f t="shared" si="80"/>
        <v>0.12307999999999999</v>
      </c>
      <c r="G287" s="252">
        <f t="shared" si="81"/>
        <v>0.125</v>
      </c>
      <c r="H287" s="252">
        <f t="shared" si="82"/>
        <v>0.13114999999999999</v>
      </c>
      <c r="I287" s="252">
        <f t="shared" si="83"/>
        <v>0.13444999999999999</v>
      </c>
      <c r="J287" s="252">
        <f t="shared" si="84"/>
        <v>0.13793</v>
      </c>
      <c r="M287" s="216" t="s">
        <v>168</v>
      </c>
      <c r="N287" s="224"/>
      <c r="O287" s="224" t="s">
        <v>336</v>
      </c>
      <c r="P287" s="106">
        <v>812.5</v>
      </c>
      <c r="Q287" s="106">
        <v>800</v>
      </c>
      <c r="R287" s="106">
        <v>762.5</v>
      </c>
      <c r="S287" s="106">
        <v>743.75</v>
      </c>
      <c r="T287" s="106">
        <v>725</v>
      </c>
      <c r="V287" s="133"/>
      <c r="W287" s="117" t="s">
        <v>485</v>
      </c>
    </row>
    <row r="288" spans="2:23" x14ac:dyDescent="0.3">
      <c r="B288" s="214" t="s">
        <v>452</v>
      </c>
      <c r="C288" s="214" t="str">
        <f>M288</f>
        <v>TFREHFC901</v>
      </c>
      <c r="D288" s="219"/>
      <c r="E288" s="214" t="str">
        <f>O288</f>
        <v>TFRS-C</v>
      </c>
      <c r="F288" s="252">
        <f t="shared" si="80"/>
        <v>0.12307999999999999</v>
      </c>
      <c r="G288" s="252">
        <f t="shared" si="81"/>
        <v>0.125</v>
      </c>
      <c r="H288" s="252">
        <f t="shared" si="82"/>
        <v>0.13114999999999999</v>
      </c>
      <c r="I288" s="252">
        <f t="shared" si="83"/>
        <v>0.13444999999999999</v>
      </c>
      <c r="J288" s="252">
        <f t="shared" si="84"/>
        <v>0.13793</v>
      </c>
      <c r="M288" s="216" t="s">
        <v>266</v>
      </c>
      <c r="N288" s="224"/>
      <c r="O288" s="224" t="s">
        <v>487</v>
      </c>
      <c r="P288" s="106">
        <v>812.5</v>
      </c>
      <c r="Q288" s="106">
        <v>800</v>
      </c>
      <c r="R288" s="106">
        <v>762.5</v>
      </c>
      <c r="S288" s="106">
        <v>743.75</v>
      </c>
      <c r="T288" s="106">
        <v>725</v>
      </c>
      <c r="V288" s="133"/>
      <c r="W288" s="117" t="s">
        <v>485</v>
      </c>
    </row>
    <row r="289" spans="2:23" x14ac:dyDescent="0.3">
      <c r="B289" s="214" t="s">
        <v>452</v>
      </c>
      <c r="C289" s="214" t="str">
        <f t="shared" si="89"/>
        <v>TFREHYD101</v>
      </c>
      <c r="D289" s="219"/>
      <c r="E289" s="214" t="str">
        <f t="shared" si="90"/>
        <v>TFRS</v>
      </c>
      <c r="F289" s="252">
        <f t="shared" si="80"/>
        <v>8.2470000000000002E-2</v>
      </c>
      <c r="G289" s="252">
        <f t="shared" si="81"/>
        <v>8.4209999999999993E-2</v>
      </c>
      <c r="H289" s="252">
        <f t="shared" si="82"/>
        <v>8.6959999999999996E-2</v>
      </c>
      <c r="I289" s="252">
        <f t="shared" si="83"/>
        <v>8.8889999999999997E-2</v>
      </c>
      <c r="J289" s="252">
        <f t="shared" si="84"/>
        <v>9.0910000000000005E-2</v>
      </c>
      <c r="M289" s="216" t="s">
        <v>344</v>
      </c>
      <c r="N289" s="224"/>
      <c r="O289" s="224" t="s">
        <v>336</v>
      </c>
      <c r="P289" s="106">
        <v>1212.5</v>
      </c>
      <c r="Q289" s="106">
        <v>1187.5</v>
      </c>
      <c r="R289" s="106">
        <v>1150</v>
      </c>
      <c r="S289" s="106">
        <v>1125</v>
      </c>
      <c r="T289" s="106">
        <v>1100</v>
      </c>
      <c r="V289" s="133"/>
      <c r="W289" s="117" t="s">
        <v>485</v>
      </c>
    </row>
    <row r="290" spans="2:23" x14ac:dyDescent="0.3">
      <c r="B290" s="214" t="s">
        <v>452</v>
      </c>
      <c r="C290" s="214" t="str">
        <f t="shared" si="89"/>
        <v>TFREHYD901</v>
      </c>
      <c r="D290" s="219"/>
      <c r="E290" s="214" t="str">
        <f t="shared" si="90"/>
        <v>TFRS-C</v>
      </c>
      <c r="F290" s="252">
        <f t="shared" si="80"/>
        <v>8.2470000000000002E-2</v>
      </c>
      <c r="G290" s="252">
        <f t="shared" si="81"/>
        <v>8.4209999999999993E-2</v>
      </c>
      <c r="H290" s="252">
        <f t="shared" si="82"/>
        <v>8.6959999999999996E-2</v>
      </c>
      <c r="I290" s="252">
        <f t="shared" si="83"/>
        <v>8.8889999999999997E-2</v>
      </c>
      <c r="J290" s="252">
        <f t="shared" si="84"/>
        <v>9.0910000000000005E-2</v>
      </c>
      <c r="M290" s="216" t="s">
        <v>421</v>
      </c>
      <c r="N290" s="224"/>
      <c r="O290" s="224" t="s">
        <v>487</v>
      </c>
      <c r="P290" s="106">
        <v>1212.5</v>
      </c>
      <c r="Q290" s="106">
        <v>1187.5</v>
      </c>
      <c r="R290" s="106">
        <v>1150</v>
      </c>
      <c r="S290" s="106">
        <v>1125</v>
      </c>
      <c r="T290" s="106">
        <v>1100</v>
      </c>
      <c r="V290" s="133"/>
      <c r="W290" s="117" t="s">
        <v>485</v>
      </c>
    </row>
    <row r="291" spans="2:23" x14ac:dyDescent="0.3">
      <c r="B291" s="214" t="s">
        <v>452</v>
      </c>
      <c r="C291" s="214" t="str">
        <f t="shared" si="89"/>
        <v>TFREHYG101</v>
      </c>
      <c r="D291" s="219"/>
      <c r="E291" s="214" t="str">
        <f t="shared" si="90"/>
        <v>TFRS</v>
      </c>
      <c r="F291" s="252">
        <f t="shared" ref="F291:F316" si="93">IF(P291=0, "-", ROUND(10^2/P291,5))</f>
        <v>0.11169999999999999</v>
      </c>
      <c r="G291" s="252">
        <f t="shared" ref="G291:G316" si="94">IF(Q291=0, "-", ROUND(10^2/Q291,5))</f>
        <v>0.11277</v>
      </c>
      <c r="H291" s="252">
        <f t="shared" ref="H291:H316" si="95">IF(R291=0, "-", ROUND(10^2/R291,5))</f>
        <v>0.11953999999999999</v>
      </c>
      <c r="I291" s="252">
        <f t="shared" ref="I291:I316" si="96">IF(S291=0, "-", ROUND(10^2/S291,5))</f>
        <v>0.12284</v>
      </c>
      <c r="J291" s="252">
        <f t="shared" ref="J291:J316" si="97">IF(T291=0, "-", ROUND(10^2/T291,5))</f>
        <v>0.12633</v>
      </c>
      <c r="M291" s="216" t="s">
        <v>411</v>
      </c>
      <c r="N291" s="224"/>
      <c r="O291" s="224" t="s">
        <v>336</v>
      </c>
      <c r="P291" s="106">
        <v>895.25462962962968</v>
      </c>
      <c r="Q291" s="106">
        <v>886.79245283018872</v>
      </c>
      <c r="R291" s="106">
        <v>836.52912621359224</v>
      </c>
      <c r="S291" s="106">
        <v>814.05472636815921</v>
      </c>
      <c r="T291" s="106">
        <v>791.58163265306121</v>
      </c>
      <c r="V291" s="133"/>
      <c r="W291" s="117" t="s">
        <v>485</v>
      </c>
    </row>
    <row r="292" spans="2:23" x14ac:dyDescent="0.3">
      <c r="B292" s="214" t="s">
        <v>452</v>
      </c>
      <c r="C292" s="214" t="str">
        <f t="shared" si="89"/>
        <v>TFREHYG901</v>
      </c>
      <c r="D292" s="219"/>
      <c r="E292" s="214" t="str">
        <f t="shared" si="90"/>
        <v>TFRS-C</v>
      </c>
      <c r="F292" s="252">
        <f t="shared" si="93"/>
        <v>0.11169999999999999</v>
      </c>
      <c r="G292" s="252">
        <f t="shared" si="94"/>
        <v>0.11277</v>
      </c>
      <c r="H292" s="252">
        <f t="shared" si="95"/>
        <v>0.11953999999999999</v>
      </c>
      <c r="I292" s="252">
        <f t="shared" si="96"/>
        <v>0.12284</v>
      </c>
      <c r="J292" s="252">
        <f t="shared" si="97"/>
        <v>0.12633</v>
      </c>
      <c r="M292" s="216" t="s">
        <v>422</v>
      </c>
      <c r="N292" s="224"/>
      <c r="O292" s="224" t="s">
        <v>487</v>
      </c>
      <c r="P292" s="106">
        <v>895.25462962962968</v>
      </c>
      <c r="Q292" s="106">
        <v>886.79245283018872</v>
      </c>
      <c r="R292" s="106">
        <v>836.52912621359224</v>
      </c>
      <c r="S292" s="106">
        <v>814.05472636815921</v>
      </c>
      <c r="T292" s="106">
        <v>791.58163265306121</v>
      </c>
      <c r="V292" s="133"/>
      <c r="W292" s="117" t="s">
        <v>485</v>
      </c>
    </row>
    <row r="293" spans="2:23" x14ac:dyDescent="0.3">
      <c r="B293" s="214" t="s">
        <v>452</v>
      </c>
      <c r="C293" s="214" t="str">
        <f t="shared" ref="C293:C330" si="98">M293</f>
        <v>TFRELPG101</v>
      </c>
      <c r="D293" s="219"/>
      <c r="E293" s="214" t="str">
        <f t="shared" ref="E293:E330" si="99">O293</f>
        <v>TFRS</v>
      </c>
      <c r="F293" s="252">
        <f t="shared" si="93"/>
        <v>6.7229999999999998E-2</v>
      </c>
      <c r="G293" s="252">
        <f t="shared" si="94"/>
        <v>6.8089999999999998E-2</v>
      </c>
      <c r="H293" s="252">
        <f t="shared" si="95"/>
        <v>7.0800000000000002E-2</v>
      </c>
      <c r="I293" s="252">
        <f t="shared" si="96"/>
        <v>7.2730000000000003E-2</v>
      </c>
      <c r="J293" s="252">
        <f t="shared" si="97"/>
        <v>7.4770000000000003E-2</v>
      </c>
      <c r="M293" s="216" t="s">
        <v>412</v>
      </c>
      <c r="N293" s="224"/>
      <c r="O293" s="224" t="s">
        <v>336</v>
      </c>
      <c r="P293" s="106">
        <v>1487.5</v>
      </c>
      <c r="Q293" s="106">
        <v>1468.75</v>
      </c>
      <c r="R293" s="106">
        <v>1412.5</v>
      </c>
      <c r="S293" s="106">
        <v>1375</v>
      </c>
      <c r="T293" s="106">
        <v>1337.5</v>
      </c>
      <c r="V293" s="133"/>
      <c r="W293" s="117" t="s">
        <v>485</v>
      </c>
    </row>
    <row r="294" spans="2:23" x14ac:dyDescent="0.3">
      <c r="B294" s="214" t="s">
        <v>452</v>
      </c>
      <c r="C294" s="214" t="str">
        <f t="shared" si="98"/>
        <v>TFRELPG901</v>
      </c>
      <c r="D294" s="219"/>
      <c r="E294" s="214" t="str">
        <f t="shared" si="99"/>
        <v>TFRS-C</v>
      </c>
      <c r="F294" s="252">
        <f t="shared" si="93"/>
        <v>6.7229999999999998E-2</v>
      </c>
      <c r="G294" s="252">
        <f t="shared" si="94"/>
        <v>6.8089999999999998E-2</v>
      </c>
      <c r="H294" s="252">
        <f t="shared" si="95"/>
        <v>7.0800000000000002E-2</v>
      </c>
      <c r="I294" s="252">
        <f t="shared" si="96"/>
        <v>7.2730000000000003E-2</v>
      </c>
      <c r="J294" s="252">
        <f t="shared" si="97"/>
        <v>7.4770000000000003E-2</v>
      </c>
      <c r="M294" s="216" t="s">
        <v>423</v>
      </c>
      <c r="N294" s="224"/>
      <c r="O294" s="224" t="s">
        <v>487</v>
      </c>
      <c r="P294" s="106">
        <v>1487.5</v>
      </c>
      <c r="Q294" s="106">
        <v>1468.75</v>
      </c>
      <c r="R294" s="106">
        <v>1412.5</v>
      </c>
      <c r="S294" s="106">
        <v>1375</v>
      </c>
      <c r="T294" s="106">
        <v>1337.5</v>
      </c>
      <c r="V294" s="133"/>
      <c r="W294" s="117" t="s">
        <v>485</v>
      </c>
    </row>
    <row r="295" spans="2:23" x14ac:dyDescent="0.3">
      <c r="B295" s="214" t="s">
        <v>452</v>
      </c>
      <c r="C295" s="214" t="str">
        <f t="shared" si="98"/>
        <v>TFREMDE101</v>
      </c>
      <c r="D295" s="219"/>
      <c r="E295" s="214" t="str">
        <f t="shared" si="99"/>
        <v>TFRS</v>
      </c>
      <c r="F295" s="252">
        <f t="shared" si="93"/>
        <v>7.4069999999999997E-2</v>
      </c>
      <c r="G295" s="252">
        <f t="shared" si="94"/>
        <v>7.5469999999999995E-2</v>
      </c>
      <c r="H295" s="252">
        <f t="shared" si="95"/>
        <v>7.7670000000000003E-2</v>
      </c>
      <c r="I295" s="252">
        <f t="shared" si="96"/>
        <v>7.9600000000000004E-2</v>
      </c>
      <c r="J295" s="252">
        <f t="shared" si="97"/>
        <v>8.1629999999999994E-2</v>
      </c>
      <c r="M295" s="216" t="s">
        <v>170</v>
      </c>
      <c r="N295" s="224"/>
      <c r="O295" s="224" t="s">
        <v>336</v>
      </c>
      <c r="P295" s="106">
        <v>1350</v>
      </c>
      <c r="Q295" s="106">
        <v>1325</v>
      </c>
      <c r="R295" s="106">
        <v>1287.5</v>
      </c>
      <c r="S295" s="106">
        <v>1256.25</v>
      </c>
      <c r="T295" s="106">
        <v>1225</v>
      </c>
      <c r="V295" s="133"/>
      <c r="W295" s="117" t="s">
        <v>485</v>
      </c>
    </row>
    <row r="296" spans="2:23" x14ac:dyDescent="0.3">
      <c r="B296" s="214" t="s">
        <v>452</v>
      </c>
      <c r="C296" s="214" t="str">
        <f t="shared" si="98"/>
        <v>TFREMDE901</v>
      </c>
      <c r="D296" s="219"/>
      <c r="E296" s="214" t="str">
        <f t="shared" si="99"/>
        <v>TFRS-C</v>
      </c>
      <c r="F296" s="252">
        <f t="shared" si="93"/>
        <v>7.4069999999999997E-2</v>
      </c>
      <c r="G296" s="252">
        <f t="shared" si="94"/>
        <v>7.5469999999999995E-2</v>
      </c>
      <c r="H296" s="252">
        <f t="shared" si="95"/>
        <v>7.7670000000000003E-2</v>
      </c>
      <c r="I296" s="252">
        <f t="shared" si="96"/>
        <v>7.9600000000000004E-2</v>
      </c>
      <c r="J296" s="252">
        <f t="shared" si="97"/>
        <v>8.1629999999999994E-2</v>
      </c>
      <c r="M296" s="216" t="s">
        <v>424</v>
      </c>
      <c r="N296" s="224"/>
      <c r="O296" s="224" t="s">
        <v>487</v>
      </c>
      <c r="P296" s="106">
        <v>1350</v>
      </c>
      <c r="Q296" s="106">
        <v>1325</v>
      </c>
      <c r="R296" s="106">
        <v>1287.5</v>
      </c>
      <c r="S296" s="106">
        <v>1256.25</v>
      </c>
      <c r="T296" s="106">
        <v>1225</v>
      </c>
      <c r="V296" s="133"/>
      <c r="W296" s="117" t="s">
        <v>485</v>
      </c>
    </row>
    <row r="297" spans="2:23" x14ac:dyDescent="0.3">
      <c r="B297" s="214" t="s">
        <v>452</v>
      </c>
      <c r="C297" s="214" t="str">
        <f t="shared" si="98"/>
        <v>TFREMTH101</v>
      </c>
      <c r="D297" s="219"/>
      <c r="E297" s="214" t="str">
        <f t="shared" si="99"/>
        <v>TFRS</v>
      </c>
      <c r="F297" s="252">
        <f t="shared" si="93"/>
        <v>6.7229999999999998E-2</v>
      </c>
      <c r="G297" s="252">
        <f t="shared" si="94"/>
        <v>6.8089999999999998E-2</v>
      </c>
      <c r="H297" s="252">
        <f t="shared" si="95"/>
        <v>7.0800000000000002E-2</v>
      </c>
      <c r="I297" s="252">
        <f t="shared" si="96"/>
        <v>7.2730000000000003E-2</v>
      </c>
      <c r="J297" s="252">
        <f t="shared" si="97"/>
        <v>7.4770000000000003E-2</v>
      </c>
      <c r="M297" s="216" t="s">
        <v>590</v>
      </c>
      <c r="N297" s="224"/>
      <c r="O297" s="224" t="s">
        <v>336</v>
      </c>
      <c r="P297" s="106">
        <v>1487.5</v>
      </c>
      <c r="Q297" s="106">
        <v>1468.75</v>
      </c>
      <c r="R297" s="106">
        <v>1412.5</v>
      </c>
      <c r="S297" s="106">
        <v>1375</v>
      </c>
      <c r="T297" s="106">
        <v>1337.5</v>
      </c>
      <c r="V297" s="133"/>
      <c r="W297" s="117" t="s">
        <v>485</v>
      </c>
    </row>
    <row r="298" spans="2:23" x14ac:dyDescent="0.3">
      <c r="B298" s="214" t="s">
        <v>452</v>
      </c>
      <c r="C298" s="214" t="str">
        <f t="shared" si="98"/>
        <v>TFREMTH901</v>
      </c>
      <c r="D298" s="219"/>
      <c r="E298" s="214" t="str">
        <f t="shared" si="99"/>
        <v>TFRS-C</v>
      </c>
      <c r="F298" s="252">
        <f t="shared" si="93"/>
        <v>6.7229999999999998E-2</v>
      </c>
      <c r="G298" s="252">
        <f t="shared" si="94"/>
        <v>6.8089999999999998E-2</v>
      </c>
      <c r="H298" s="252">
        <f t="shared" si="95"/>
        <v>7.0800000000000002E-2</v>
      </c>
      <c r="I298" s="252">
        <f t="shared" si="96"/>
        <v>7.2730000000000003E-2</v>
      </c>
      <c r="J298" s="252">
        <f t="shared" si="97"/>
        <v>7.4770000000000003E-2</v>
      </c>
      <c r="M298" s="216" t="s">
        <v>591</v>
      </c>
      <c r="N298" s="224"/>
      <c r="O298" s="224" t="s">
        <v>487</v>
      </c>
      <c r="P298" s="106">
        <v>1487.5</v>
      </c>
      <c r="Q298" s="106">
        <v>1468.75</v>
      </c>
      <c r="R298" s="106">
        <v>1412.5</v>
      </c>
      <c r="S298" s="106">
        <v>1375</v>
      </c>
      <c r="T298" s="106">
        <v>1337.5</v>
      </c>
      <c r="V298" s="133"/>
      <c r="W298" s="117" t="s">
        <v>485</v>
      </c>
    </row>
    <row r="299" spans="2:23" x14ac:dyDescent="0.3">
      <c r="B299" s="214" t="s">
        <v>452</v>
      </c>
      <c r="C299" s="214" t="str">
        <f t="shared" si="98"/>
        <v>TFREPYD101</v>
      </c>
      <c r="D299" s="219"/>
      <c r="E299" s="214" t="str">
        <f t="shared" si="99"/>
        <v>TFRS</v>
      </c>
      <c r="F299" s="252">
        <f t="shared" si="93"/>
        <v>7.4069999999999997E-2</v>
      </c>
      <c r="G299" s="252">
        <f t="shared" si="94"/>
        <v>7.5469999999999995E-2</v>
      </c>
      <c r="H299" s="252">
        <f t="shared" si="95"/>
        <v>7.7670000000000003E-2</v>
      </c>
      <c r="I299" s="252">
        <f t="shared" si="96"/>
        <v>7.9600000000000004E-2</v>
      </c>
      <c r="J299" s="252">
        <f t="shared" si="97"/>
        <v>8.1629999999999994E-2</v>
      </c>
      <c r="M299" s="216" t="s">
        <v>413</v>
      </c>
      <c r="N299" s="224"/>
      <c r="O299" s="224" t="s">
        <v>336</v>
      </c>
      <c r="P299" s="106">
        <v>1350</v>
      </c>
      <c r="Q299" s="106">
        <v>1325</v>
      </c>
      <c r="R299" s="106">
        <v>1287.5</v>
      </c>
      <c r="S299" s="106">
        <v>1256.25</v>
      </c>
      <c r="T299" s="106">
        <v>1225</v>
      </c>
      <c r="V299" s="133"/>
      <c r="W299" s="117" t="s">
        <v>485</v>
      </c>
    </row>
    <row r="300" spans="2:23" x14ac:dyDescent="0.3">
      <c r="B300" s="214" t="s">
        <v>452</v>
      </c>
      <c r="C300" s="214" t="str">
        <f t="shared" si="98"/>
        <v>TFREPYD901</v>
      </c>
      <c r="D300" s="219"/>
      <c r="E300" s="214" t="str">
        <f t="shared" si="99"/>
        <v>TFRS-C</v>
      </c>
      <c r="F300" s="252">
        <f t="shared" si="93"/>
        <v>7.4069999999999997E-2</v>
      </c>
      <c r="G300" s="252">
        <f t="shared" si="94"/>
        <v>7.5469999999999995E-2</v>
      </c>
      <c r="H300" s="252">
        <f t="shared" si="95"/>
        <v>7.7670000000000003E-2</v>
      </c>
      <c r="I300" s="252">
        <f t="shared" si="96"/>
        <v>7.9600000000000004E-2</v>
      </c>
      <c r="J300" s="252">
        <f t="shared" si="97"/>
        <v>8.1629999999999994E-2</v>
      </c>
      <c r="M300" s="216" t="s">
        <v>425</v>
      </c>
      <c r="N300" s="224"/>
      <c r="O300" s="224" t="s">
        <v>487</v>
      </c>
      <c r="P300" s="106">
        <v>1350</v>
      </c>
      <c r="Q300" s="106">
        <v>1325</v>
      </c>
      <c r="R300" s="106">
        <v>1287.5</v>
      </c>
      <c r="S300" s="106">
        <v>1256.25</v>
      </c>
      <c r="T300" s="106">
        <v>1225</v>
      </c>
      <c r="V300" s="133"/>
      <c r="W300" s="117" t="s">
        <v>485</v>
      </c>
    </row>
    <row r="301" spans="2:23" x14ac:dyDescent="0.3">
      <c r="B301" s="214" t="s">
        <v>452</v>
      </c>
      <c r="C301" s="214" t="str">
        <f t="shared" si="98"/>
        <v>TFREPYG101</v>
      </c>
      <c r="D301" s="219"/>
      <c r="E301" s="214" t="str">
        <f t="shared" si="99"/>
        <v>TFRS</v>
      </c>
      <c r="F301" s="252">
        <f t="shared" si="93"/>
        <v>6.7229999999999998E-2</v>
      </c>
      <c r="G301" s="252">
        <f t="shared" si="94"/>
        <v>6.8089999999999998E-2</v>
      </c>
      <c r="H301" s="252">
        <f t="shared" si="95"/>
        <v>7.0800000000000002E-2</v>
      </c>
      <c r="I301" s="252">
        <f t="shared" si="96"/>
        <v>7.2730000000000003E-2</v>
      </c>
      <c r="J301" s="252">
        <f t="shared" si="97"/>
        <v>7.4770000000000003E-2</v>
      </c>
      <c r="M301" s="216" t="s">
        <v>414</v>
      </c>
      <c r="N301" s="224"/>
      <c r="O301" s="224" t="s">
        <v>336</v>
      </c>
      <c r="P301" s="106">
        <v>1487.5</v>
      </c>
      <c r="Q301" s="106">
        <v>1468.75</v>
      </c>
      <c r="R301" s="106">
        <v>1412.5</v>
      </c>
      <c r="S301" s="106">
        <v>1375</v>
      </c>
      <c r="T301" s="106">
        <v>1337.5</v>
      </c>
      <c r="V301" s="133"/>
      <c r="W301" s="117" t="s">
        <v>485</v>
      </c>
    </row>
    <row r="302" spans="2:23" x14ac:dyDescent="0.3">
      <c r="B302" s="217" t="s">
        <v>452</v>
      </c>
      <c r="C302" s="217" t="str">
        <f t="shared" si="98"/>
        <v>TFREPYG901</v>
      </c>
      <c r="D302" s="220"/>
      <c r="E302" s="217" t="str">
        <f t="shared" si="99"/>
        <v>TFRS-C</v>
      </c>
      <c r="F302" s="254">
        <f t="shared" si="93"/>
        <v>6.7229999999999998E-2</v>
      </c>
      <c r="G302" s="254">
        <f t="shared" si="94"/>
        <v>6.8089999999999998E-2</v>
      </c>
      <c r="H302" s="254">
        <f t="shared" si="95"/>
        <v>7.0800000000000002E-2</v>
      </c>
      <c r="I302" s="254">
        <f t="shared" si="96"/>
        <v>7.2730000000000003E-2</v>
      </c>
      <c r="J302" s="254">
        <f t="shared" si="97"/>
        <v>7.4770000000000003E-2</v>
      </c>
      <c r="M302" s="221" t="s">
        <v>426</v>
      </c>
      <c r="N302" s="225"/>
      <c r="O302" s="225" t="s">
        <v>487</v>
      </c>
      <c r="P302" s="111">
        <v>1487.5</v>
      </c>
      <c r="Q302" s="111">
        <v>1468.75</v>
      </c>
      <c r="R302" s="111">
        <v>1412.5</v>
      </c>
      <c r="S302" s="111">
        <v>1375</v>
      </c>
      <c r="T302" s="111">
        <v>1337.5</v>
      </c>
      <c r="V302" s="133"/>
      <c r="W302" s="145" t="s">
        <v>485</v>
      </c>
    </row>
    <row r="303" spans="2:23" x14ac:dyDescent="0.3">
      <c r="B303" s="214" t="s">
        <v>454</v>
      </c>
      <c r="C303" s="214" t="str">
        <f>M303</f>
        <v>TLEFELC101</v>
      </c>
      <c r="D303" s="219"/>
      <c r="E303" s="214" t="str">
        <f t="shared" si="99"/>
        <v>TEF</v>
      </c>
      <c r="F303" s="252">
        <v>1.51</v>
      </c>
      <c r="G303" s="252">
        <v>1.51</v>
      </c>
      <c r="H303" s="252">
        <v>1.51</v>
      </c>
      <c r="I303" s="252">
        <v>1.51</v>
      </c>
      <c r="J303" s="252">
        <v>1.51</v>
      </c>
      <c r="M303" s="216" t="s">
        <v>574</v>
      </c>
      <c r="N303" s="224"/>
      <c r="O303" s="224" t="s">
        <v>131</v>
      </c>
      <c r="P303" s="106"/>
      <c r="Q303" s="106"/>
      <c r="R303" s="106"/>
      <c r="S303" s="106"/>
      <c r="T303" s="106"/>
      <c r="V303" s="133"/>
      <c r="W303" s="117"/>
    </row>
    <row r="304" spans="2:23" x14ac:dyDescent="0.3">
      <c r="B304" s="214" t="s">
        <v>454</v>
      </c>
      <c r="C304" s="214" t="str">
        <f t="shared" si="98"/>
        <v>TLEFELC901</v>
      </c>
      <c r="D304" s="219"/>
      <c r="E304" s="214" t="str">
        <f t="shared" si="99"/>
        <v>TEF-C</v>
      </c>
      <c r="F304" s="252">
        <v>1.51</v>
      </c>
      <c r="G304" s="252">
        <v>1.51</v>
      </c>
      <c r="H304" s="252">
        <v>1.51</v>
      </c>
      <c r="I304" s="252">
        <v>1.51</v>
      </c>
      <c r="J304" s="252">
        <v>1.51</v>
      </c>
      <c r="M304" s="216" t="s">
        <v>577</v>
      </c>
      <c r="N304" s="224"/>
      <c r="O304" s="224" t="s">
        <v>387</v>
      </c>
      <c r="P304" s="106"/>
      <c r="Q304" s="106"/>
      <c r="R304" s="106"/>
      <c r="S304" s="106"/>
      <c r="T304" s="106"/>
      <c r="V304" s="133"/>
      <c r="W304" s="117"/>
    </row>
    <row r="305" spans="2:23" x14ac:dyDescent="0.3">
      <c r="B305" s="214" t="s">
        <v>454</v>
      </c>
      <c r="C305" s="214" t="str">
        <f t="shared" si="98"/>
        <v>TLEPELC101</v>
      </c>
      <c r="D305" s="219"/>
      <c r="E305" s="214" t="str">
        <f t="shared" si="99"/>
        <v>TEP</v>
      </c>
      <c r="F305" s="252">
        <v>3</v>
      </c>
      <c r="G305" s="252">
        <v>3</v>
      </c>
      <c r="H305" s="252">
        <v>3</v>
      </c>
      <c r="I305" s="252">
        <v>3</v>
      </c>
      <c r="J305" s="252">
        <v>3</v>
      </c>
      <c r="M305" s="216" t="s">
        <v>573</v>
      </c>
      <c r="N305" s="224"/>
      <c r="O305" s="224" t="s">
        <v>28</v>
      </c>
      <c r="P305" s="106"/>
      <c r="Q305" s="106"/>
      <c r="R305" s="106"/>
      <c r="S305" s="106"/>
      <c r="T305" s="106"/>
      <c r="V305" s="133"/>
      <c r="W305" s="117"/>
    </row>
    <row r="306" spans="2:23" x14ac:dyDescent="0.3">
      <c r="B306" s="217" t="s">
        <v>454</v>
      </c>
      <c r="C306" s="217" t="str">
        <f t="shared" si="98"/>
        <v>TLEPELC901</v>
      </c>
      <c r="D306" s="220"/>
      <c r="E306" s="217" t="str">
        <f t="shared" si="99"/>
        <v>TEP-C</v>
      </c>
      <c r="F306" s="254">
        <v>3</v>
      </c>
      <c r="G306" s="254">
        <v>3</v>
      </c>
      <c r="H306" s="254">
        <v>3</v>
      </c>
      <c r="I306" s="254">
        <v>3</v>
      </c>
      <c r="J306" s="254">
        <v>3</v>
      </c>
      <c r="M306" s="221" t="s">
        <v>578</v>
      </c>
      <c r="N306" s="225"/>
      <c r="O306" s="225" t="s">
        <v>533</v>
      </c>
      <c r="P306" s="111"/>
      <c r="Q306" s="111"/>
      <c r="R306" s="111"/>
      <c r="S306" s="111"/>
      <c r="T306" s="111"/>
      <c r="V306" s="133"/>
      <c r="W306" s="117"/>
    </row>
    <row r="307" spans="2:23" x14ac:dyDescent="0.3">
      <c r="B307" s="214" t="s">
        <v>454</v>
      </c>
      <c r="C307" s="214" t="str">
        <f t="shared" si="98"/>
        <v>TMOTELC101</v>
      </c>
      <c r="D307" s="219"/>
      <c r="E307" s="214" t="str">
        <f t="shared" si="99"/>
        <v>TMO</v>
      </c>
      <c r="F307" s="252">
        <f t="shared" si="93"/>
        <v>2.0408200000000001</v>
      </c>
      <c r="G307" s="252">
        <f t="shared" si="94"/>
        <v>2.0833300000000001</v>
      </c>
      <c r="H307" s="252">
        <f t="shared" si="95"/>
        <v>2.1276600000000001</v>
      </c>
      <c r="I307" s="252">
        <f t="shared" si="96"/>
        <v>2.1739099999999998</v>
      </c>
      <c r="J307" s="252">
        <f t="shared" si="97"/>
        <v>2.2222200000000001</v>
      </c>
      <c r="M307" s="216" t="s">
        <v>41</v>
      </c>
      <c r="N307" s="216"/>
      <c r="O307" s="216" t="s">
        <v>374</v>
      </c>
      <c r="P307" s="106">
        <v>49</v>
      </c>
      <c r="Q307" s="106">
        <v>48</v>
      </c>
      <c r="R307" s="106">
        <v>47</v>
      </c>
      <c r="S307" s="106">
        <v>46</v>
      </c>
      <c r="T307" s="106">
        <v>45</v>
      </c>
      <c r="W307" s="117"/>
    </row>
    <row r="308" spans="2:23" x14ac:dyDescent="0.3">
      <c r="B308" s="214" t="s">
        <v>454</v>
      </c>
      <c r="C308" s="214" t="str">
        <f t="shared" si="98"/>
        <v>TMOTELC901</v>
      </c>
      <c r="D308" s="219"/>
      <c r="E308" s="214" t="str">
        <f t="shared" si="99"/>
        <v>TMO-C</v>
      </c>
      <c r="F308" s="252">
        <f t="shared" si="93"/>
        <v>2.0408200000000001</v>
      </c>
      <c r="G308" s="252">
        <f t="shared" si="94"/>
        <v>2.0833300000000001</v>
      </c>
      <c r="H308" s="252">
        <f t="shared" si="95"/>
        <v>2.1276600000000001</v>
      </c>
      <c r="I308" s="252">
        <f t="shared" si="96"/>
        <v>2.1739099999999998</v>
      </c>
      <c r="J308" s="252">
        <f t="shared" si="97"/>
        <v>2.2222200000000001</v>
      </c>
      <c r="M308" s="216" t="s">
        <v>535</v>
      </c>
      <c r="N308" s="216"/>
      <c r="O308" s="216" t="s">
        <v>536</v>
      </c>
      <c r="P308" s="106">
        <v>49</v>
      </c>
      <c r="Q308" s="106">
        <v>48</v>
      </c>
      <c r="R308" s="106">
        <v>47</v>
      </c>
      <c r="S308" s="106">
        <v>46</v>
      </c>
      <c r="T308" s="106">
        <v>45</v>
      </c>
      <c r="W308" s="117"/>
    </row>
    <row r="309" spans="2:23" x14ac:dyDescent="0.3">
      <c r="B309" s="214" t="s">
        <v>454</v>
      </c>
      <c r="C309" s="214" t="str">
        <f t="shared" si="98"/>
        <v>TMOTGSL101</v>
      </c>
      <c r="D309" s="219"/>
      <c r="E309" s="214" t="str">
        <f t="shared" si="99"/>
        <v>TMO</v>
      </c>
      <c r="F309" s="252">
        <f t="shared" si="93"/>
        <v>0.68027000000000004</v>
      </c>
      <c r="G309" s="252">
        <f t="shared" si="94"/>
        <v>0.69416</v>
      </c>
      <c r="H309" s="252">
        <f t="shared" si="95"/>
        <v>0.70831999999999995</v>
      </c>
      <c r="I309" s="252">
        <f t="shared" si="96"/>
        <v>0.72277999999999998</v>
      </c>
      <c r="J309" s="252">
        <f t="shared" si="97"/>
        <v>0.73753000000000002</v>
      </c>
      <c r="M309" s="216" t="s">
        <v>38</v>
      </c>
      <c r="N309" s="216"/>
      <c r="O309" s="216" t="s">
        <v>374</v>
      </c>
      <c r="P309" s="106">
        <v>147</v>
      </c>
      <c r="Q309" s="106">
        <v>144.06</v>
      </c>
      <c r="R309" s="106">
        <v>141.1788</v>
      </c>
      <c r="S309" s="106">
        <v>138.35522399999999</v>
      </c>
      <c r="T309" s="106">
        <v>135.58811951999999</v>
      </c>
      <c r="W309" s="117" t="s">
        <v>295</v>
      </c>
    </row>
    <row r="310" spans="2:23" x14ac:dyDescent="0.3">
      <c r="B310" s="217" t="s">
        <v>454</v>
      </c>
      <c r="C310" s="217" t="str">
        <f t="shared" si="98"/>
        <v>TMOTGSL901</v>
      </c>
      <c r="D310" s="220"/>
      <c r="E310" s="217" t="str">
        <f t="shared" si="99"/>
        <v>TMO-C</v>
      </c>
      <c r="F310" s="254">
        <f t="shared" si="93"/>
        <v>0.68027000000000004</v>
      </c>
      <c r="G310" s="254">
        <f t="shared" si="94"/>
        <v>0.69416</v>
      </c>
      <c r="H310" s="254">
        <f t="shared" si="95"/>
        <v>0.70831999999999995</v>
      </c>
      <c r="I310" s="254">
        <f t="shared" si="96"/>
        <v>0.72277999999999998</v>
      </c>
      <c r="J310" s="254">
        <f t="shared" si="97"/>
        <v>0.73753000000000002</v>
      </c>
      <c r="M310" s="221" t="s">
        <v>537</v>
      </c>
      <c r="N310" s="221"/>
      <c r="O310" s="221" t="s">
        <v>536</v>
      </c>
      <c r="P310" s="111">
        <v>147</v>
      </c>
      <c r="Q310" s="111">
        <v>144.06</v>
      </c>
      <c r="R310" s="111">
        <v>141.1788</v>
      </c>
      <c r="S310" s="111">
        <v>138.35522399999999</v>
      </c>
      <c r="T310" s="111">
        <v>135.58811951999999</v>
      </c>
      <c r="W310" s="145"/>
    </row>
    <row r="311" spans="2:23" x14ac:dyDescent="0.3">
      <c r="B311" s="214" t="s">
        <v>453</v>
      </c>
      <c r="C311" s="214" t="str">
        <f>M311</f>
        <v>TNCDST101</v>
      </c>
      <c r="D311" s="219"/>
      <c r="E311" s="214" t="str">
        <f>O311</f>
        <v>TNC, TNC-C</v>
      </c>
      <c r="F311" s="252">
        <f>22/1000</f>
        <v>2.1999999999999999E-2</v>
      </c>
      <c r="G311" s="252">
        <f t="shared" ref="G311:J314" si="100">22/1000</f>
        <v>2.1999999999999999E-2</v>
      </c>
      <c r="H311" s="252">
        <f t="shared" si="100"/>
        <v>2.1999999999999999E-2</v>
      </c>
      <c r="I311" s="252">
        <f t="shared" si="100"/>
        <v>2.1999999999999999E-2</v>
      </c>
      <c r="J311" s="252">
        <f t="shared" si="100"/>
        <v>2.1999999999999999E-2</v>
      </c>
      <c r="M311" s="216" t="s">
        <v>272</v>
      </c>
      <c r="N311" s="216"/>
      <c r="O311" s="216" t="s">
        <v>534</v>
      </c>
      <c r="P311" s="106"/>
      <c r="Q311" s="106"/>
      <c r="R311" s="106"/>
      <c r="S311" s="106"/>
      <c r="T311" s="106"/>
      <c r="W311" s="117"/>
    </row>
    <row r="312" spans="2:23" x14ac:dyDescent="0.3">
      <c r="B312" s="214" t="s">
        <v>453</v>
      </c>
      <c r="C312" s="214" t="str">
        <f>M312</f>
        <v>TNCELC101</v>
      </c>
      <c r="D312" s="219"/>
      <c r="E312" s="214" t="str">
        <f>O312</f>
        <v>TNC, TNC-C</v>
      </c>
      <c r="F312" s="252">
        <f t="shared" ref="F312:F314" si="101">22/1000</f>
        <v>2.1999999999999999E-2</v>
      </c>
      <c r="G312" s="252">
        <f t="shared" si="100"/>
        <v>2.1999999999999999E-2</v>
      </c>
      <c r="H312" s="252">
        <f t="shared" si="100"/>
        <v>2.1999999999999999E-2</v>
      </c>
      <c r="I312" s="252">
        <f t="shared" si="100"/>
        <v>2.1999999999999999E-2</v>
      </c>
      <c r="J312" s="252">
        <f t="shared" si="100"/>
        <v>2.1999999999999999E-2</v>
      </c>
      <c r="M312" s="216" t="s">
        <v>274</v>
      </c>
      <c r="N312" s="216"/>
      <c r="O312" s="216" t="s">
        <v>534</v>
      </c>
      <c r="P312" s="106"/>
      <c r="Q312" s="106"/>
      <c r="R312" s="106"/>
      <c r="S312" s="106"/>
      <c r="T312" s="106"/>
      <c r="W312" s="117"/>
    </row>
    <row r="313" spans="2:23" x14ac:dyDescent="0.3">
      <c r="B313" s="214" t="s">
        <v>453</v>
      </c>
      <c r="C313" s="214" t="str">
        <f>M313</f>
        <v>TNCGAS101</v>
      </c>
      <c r="D313" s="219"/>
      <c r="E313" s="214" t="str">
        <f>O313</f>
        <v>TNC, TNC-C</v>
      </c>
      <c r="F313" s="252">
        <f t="shared" si="101"/>
        <v>2.1999999999999999E-2</v>
      </c>
      <c r="G313" s="252">
        <f t="shared" si="100"/>
        <v>2.1999999999999999E-2</v>
      </c>
      <c r="H313" s="252">
        <f t="shared" si="100"/>
        <v>2.1999999999999999E-2</v>
      </c>
      <c r="I313" s="252">
        <f t="shared" si="100"/>
        <v>2.1999999999999999E-2</v>
      </c>
      <c r="J313" s="252">
        <f t="shared" si="100"/>
        <v>2.1999999999999999E-2</v>
      </c>
      <c r="M313" s="216" t="s">
        <v>276</v>
      </c>
      <c r="N313" s="216"/>
      <c r="O313" s="216" t="s">
        <v>534</v>
      </c>
      <c r="P313" s="106"/>
      <c r="Q313" s="106"/>
      <c r="R313" s="106"/>
      <c r="S313" s="106"/>
      <c r="T313" s="106"/>
      <c r="W313" s="117"/>
    </row>
    <row r="314" spans="2:23" x14ac:dyDescent="0.3">
      <c r="B314" s="217" t="s">
        <v>453</v>
      </c>
      <c r="C314" s="217" t="str">
        <f>M314</f>
        <v>TNCMTH101</v>
      </c>
      <c r="D314" s="220"/>
      <c r="E314" s="217" t="str">
        <f>O314</f>
        <v>TNC, TNC-C</v>
      </c>
      <c r="F314" s="254">
        <f t="shared" si="101"/>
        <v>2.1999999999999999E-2</v>
      </c>
      <c r="G314" s="254">
        <f t="shared" si="100"/>
        <v>2.1999999999999999E-2</v>
      </c>
      <c r="H314" s="254">
        <f t="shared" si="100"/>
        <v>2.1999999999999999E-2</v>
      </c>
      <c r="I314" s="254">
        <f t="shared" si="100"/>
        <v>2.1999999999999999E-2</v>
      </c>
      <c r="J314" s="254">
        <f t="shared" si="100"/>
        <v>2.1999999999999999E-2</v>
      </c>
      <c r="M314" s="221" t="s">
        <v>595</v>
      </c>
      <c r="N314" s="221"/>
      <c r="O314" s="221" t="s">
        <v>534</v>
      </c>
      <c r="P314" s="111"/>
      <c r="Q314" s="111"/>
      <c r="R314" s="111"/>
      <c r="S314" s="111"/>
      <c r="T314" s="111"/>
      <c r="W314" s="117"/>
    </row>
    <row r="315" spans="2:23" x14ac:dyDescent="0.3">
      <c r="B315" s="214" t="s">
        <v>449</v>
      </c>
      <c r="C315" s="214" t="str">
        <f t="shared" ref="C315:C316" si="102">M315</f>
        <v>TTLRELC100</v>
      </c>
      <c r="D315" s="219"/>
      <c r="E315" s="214" t="str">
        <f t="shared" ref="E315:E316" si="103">O315</f>
        <v>TTL</v>
      </c>
      <c r="F315" s="252">
        <f t="shared" si="93"/>
        <v>6.5689999999999998E-2</v>
      </c>
      <c r="G315" s="252">
        <f t="shared" si="94"/>
        <v>6.5689999999999998E-2</v>
      </c>
      <c r="H315" s="252">
        <f t="shared" si="95"/>
        <v>6.5689999999999998E-2</v>
      </c>
      <c r="I315" s="252">
        <f t="shared" si="96"/>
        <v>6.5689999999999998E-2</v>
      </c>
      <c r="J315" s="252">
        <f t="shared" si="97"/>
        <v>6.5689999999999998E-2</v>
      </c>
      <c r="M315" s="216" t="s">
        <v>304</v>
      </c>
      <c r="N315" s="216"/>
      <c r="O315" s="216" t="s">
        <v>108</v>
      </c>
      <c r="P315" s="106">
        <v>1522.2488388084205</v>
      </c>
      <c r="Q315" s="106">
        <v>1522.2488388084205</v>
      </c>
      <c r="R315" s="106">
        <v>1522.2488388084205</v>
      </c>
      <c r="S315" s="106">
        <v>1522.2488388084205</v>
      </c>
      <c r="T315" s="106">
        <v>1522.2488388084205</v>
      </c>
      <c r="W315" s="117"/>
    </row>
    <row r="316" spans="2:23" x14ac:dyDescent="0.3">
      <c r="B316" s="217" t="s">
        <v>449</v>
      </c>
      <c r="C316" s="217" t="str">
        <f t="shared" si="102"/>
        <v>TTMEELC100</v>
      </c>
      <c r="D316" s="220"/>
      <c r="E316" s="217" t="str">
        <f t="shared" si="103"/>
        <v>TTM</v>
      </c>
      <c r="F316" s="254">
        <f t="shared" si="93"/>
        <v>1.7610000000000001E-2</v>
      </c>
      <c r="G316" s="254">
        <f t="shared" si="94"/>
        <v>1.7610000000000001E-2</v>
      </c>
      <c r="H316" s="254">
        <f t="shared" si="95"/>
        <v>1.7610000000000001E-2</v>
      </c>
      <c r="I316" s="254">
        <f t="shared" si="96"/>
        <v>1.7610000000000001E-2</v>
      </c>
      <c r="J316" s="254">
        <f t="shared" si="97"/>
        <v>1.7610000000000001E-2</v>
      </c>
      <c r="M316" s="221" t="s">
        <v>305</v>
      </c>
      <c r="N316" s="221"/>
      <c r="O316" s="221" t="s">
        <v>111</v>
      </c>
      <c r="P316" s="111">
        <v>5677.1202826182334</v>
      </c>
      <c r="Q316" s="111">
        <v>5677.1202826182334</v>
      </c>
      <c r="R316" s="111">
        <v>5677.1202826182334</v>
      </c>
      <c r="S316" s="111">
        <v>5677.1202826182334</v>
      </c>
      <c r="T316" s="111">
        <v>5677.1202826182334</v>
      </c>
      <c r="W316" s="145"/>
    </row>
    <row r="317" spans="2:23" x14ac:dyDescent="0.3">
      <c r="B317" s="214" t="s">
        <v>454</v>
      </c>
      <c r="C317" s="214" t="str">
        <f t="shared" si="98"/>
        <v>TWN101</v>
      </c>
      <c r="D317" s="219" t="str">
        <f t="shared" ref="D317:D330" si="104">N317</f>
        <v>TRAHUM</v>
      </c>
      <c r="E317" s="214" t="str">
        <f t="shared" si="99"/>
        <v>TWN</v>
      </c>
      <c r="F317" s="114">
        <v>1000</v>
      </c>
      <c r="G317" s="114">
        <v>1000</v>
      </c>
      <c r="H317" s="114">
        <v>1000</v>
      </c>
      <c r="I317" s="114">
        <v>1000</v>
      </c>
      <c r="J317" s="114">
        <v>1000</v>
      </c>
      <c r="M317" s="216" t="s">
        <v>35</v>
      </c>
      <c r="N317" s="216" t="s">
        <v>30</v>
      </c>
      <c r="O317" s="216" t="s">
        <v>36</v>
      </c>
      <c r="P317" s="106"/>
      <c r="Q317" s="106"/>
      <c r="R317" s="106"/>
      <c r="S317" s="106"/>
      <c r="T317" s="106"/>
      <c r="W317" s="117"/>
    </row>
    <row r="318" spans="2:23" x14ac:dyDescent="0.3">
      <c r="B318" s="214" t="s">
        <v>454</v>
      </c>
      <c r="C318" s="214" t="str">
        <f t="shared" si="98"/>
        <v>TWN901</v>
      </c>
      <c r="D318" s="219" t="str">
        <f t="shared" si="104"/>
        <v>TRAHUM</v>
      </c>
      <c r="E318" s="214" t="str">
        <f t="shared" si="99"/>
        <v>TWN-C</v>
      </c>
      <c r="F318" s="114">
        <v>1000</v>
      </c>
      <c r="G318" s="114">
        <v>1000</v>
      </c>
      <c r="H318" s="114">
        <v>1000</v>
      </c>
      <c r="I318" s="114">
        <v>1000</v>
      </c>
      <c r="J318" s="114">
        <v>1000</v>
      </c>
      <c r="M318" s="216" t="s">
        <v>279</v>
      </c>
      <c r="N318" s="216" t="s">
        <v>30</v>
      </c>
      <c r="O318" s="216" t="s">
        <v>388</v>
      </c>
      <c r="P318" s="106"/>
      <c r="Q318" s="106"/>
      <c r="R318" s="106"/>
      <c r="S318" s="106"/>
      <c r="T318" s="106"/>
      <c r="W318" s="117"/>
    </row>
    <row r="319" spans="2:23" x14ac:dyDescent="0.3">
      <c r="B319" s="214" t="s">
        <v>454</v>
      </c>
      <c r="C319" s="214" t="str">
        <f t="shared" si="98"/>
        <v>TYEF101</v>
      </c>
      <c r="D319" s="219" t="str">
        <f t="shared" si="104"/>
        <v>TRAELC</v>
      </c>
      <c r="E319" s="214" t="str">
        <f t="shared" si="99"/>
        <v>TYEF</v>
      </c>
      <c r="F319" s="252">
        <v>3.02</v>
      </c>
      <c r="G319" s="252">
        <v>3.02</v>
      </c>
      <c r="H319" s="252">
        <v>3.02</v>
      </c>
      <c r="I319" s="252">
        <v>3.02</v>
      </c>
      <c r="J319" s="252">
        <v>3.02</v>
      </c>
      <c r="M319" s="216" t="s">
        <v>129</v>
      </c>
      <c r="N319" s="216" t="s">
        <v>27</v>
      </c>
      <c r="O319" s="216" t="s">
        <v>130</v>
      </c>
      <c r="P319" s="106"/>
      <c r="Q319" s="106"/>
      <c r="R319" s="106"/>
      <c r="S319" s="106"/>
      <c r="T319" s="106"/>
      <c r="W319" s="117"/>
    </row>
    <row r="320" spans="2:23" x14ac:dyDescent="0.3">
      <c r="B320" s="214" t="s">
        <v>454</v>
      </c>
      <c r="C320" s="214" t="str">
        <f t="shared" si="98"/>
        <v>TYEF101</v>
      </c>
      <c r="D320" s="219" t="str">
        <f t="shared" si="104"/>
        <v>TRAHUM</v>
      </c>
      <c r="E320" s="214" t="str">
        <f t="shared" si="99"/>
        <v>TYEF</v>
      </c>
      <c r="F320" s="114">
        <v>1000</v>
      </c>
      <c r="G320" s="114">
        <v>1000</v>
      </c>
      <c r="H320" s="114">
        <v>1000</v>
      </c>
      <c r="I320" s="114">
        <v>1000</v>
      </c>
      <c r="J320" s="114">
        <v>1000</v>
      </c>
      <c r="M320" s="216" t="s">
        <v>129</v>
      </c>
      <c r="N320" s="216" t="s">
        <v>30</v>
      </c>
      <c r="O320" s="216" t="s">
        <v>130</v>
      </c>
      <c r="P320" s="106"/>
      <c r="Q320" s="106"/>
      <c r="R320" s="106"/>
      <c r="S320" s="106"/>
      <c r="T320" s="106"/>
      <c r="W320" s="117"/>
    </row>
    <row r="321" spans="2:23" x14ac:dyDescent="0.3">
      <c r="B321" s="214" t="s">
        <v>454</v>
      </c>
      <c r="C321" s="214" t="str">
        <f t="shared" si="98"/>
        <v>TYEF901</v>
      </c>
      <c r="D321" s="219" t="str">
        <f t="shared" si="104"/>
        <v>TRAELC</v>
      </c>
      <c r="E321" s="214" t="str">
        <f t="shared" si="99"/>
        <v>TYEF-C</v>
      </c>
      <c r="F321" s="252">
        <v>3.02</v>
      </c>
      <c r="G321" s="252">
        <v>3.02</v>
      </c>
      <c r="H321" s="252">
        <v>3.02</v>
      </c>
      <c r="I321" s="252">
        <v>3.02</v>
      </c>
      <c r="J321" s="252">
        <v>3.02</v>
      </c>
      <c r="M321" s="216" t="s">
        <v>281</v>
      </c>
      <c r="N321" s="216" t="s">
        <v>27</v>
      </c>
      <c r="O321" s="216" t="s">
        <v>386</v>
      </c>
      <c r="P321" s="106"/>
      <c r="Q321" s="106"/>
      <c r="R321" s="106"/>
      <c r="S321" s="106"/>
      <c r="T321" s="106"/>
      <c r="W321" s="117"/>
    </row>
    <row r="322" spans="2:23" x14ac:dyDescent="0.3">
      <c r="B322" s="214" t="s">
        <v>454</v>
      </c>
      <c r="C322" s="214" t="str">
        <f t="shared" si="98"/>
        <v>TYEF901</v>
      </c>
      <c r="D322" s="219" t="str">
        <f t="shared" si="104"/>
        <v>TRAHUM</v>
      </c>
      <c r="E322" s="214" t="str">
        <f t="shared" si="99"/>
        <v>TYEF-C</v>
      </c>
      <c r="F322" s="114">
        <v>1000</v>
      </c>
      <c r="G322" s="114">
        <v>1000</v>
      </c>
      <c r="H322" s="114">
        <v>1000</v>
      </c>
      <c r="I322" s="114">
        <v>1000</v>
      </c>
      <c r="J322" s="114">
        <v>1000</v>
      </c>
      <c r="M322" s="216" t="s">
        <v>281</v>
      </c>
      <c r="N322" s="216" t="s">
        <v>30</v>
      </c>
      <c r="O322" s="216" t="s">
        <v>386</v>
      </c>
      <c r="P322" s="106"/>
      <c r="Q322" s="106"/>
      <c r="R322" s="106"/>
      <c r="S322" s="106"/>
      <c r="T322" s="106"/>
      <c r="W322" s="117"/>
    </row>
    <row r="323" spans="2:23" x14ac:dyDescent="0.3">
      <c r="B323" s="214" t="s">
        <v>454</v>
      </c>
      <c r="C323" s="214" t="str">
        <f t="shared" si="98"/>
        <v>TYNF101</v>
      </c>
      <c r="D323" s="219" t="str">
        <f t="shared" si="104"/>
        <v>TRAHUM</v>
      </c>
      <c r="E323" s="214" t="str">
        <f t="shared" si="99"/>
        <v>TYNF</v>
      </c>
      <c r="F323" s="114">
        <v>1000</v>
      </c>
      <c r="G323" s="114">
        <v>1000</v>
      </c>
      <c r="H323" s="114">
        <v>1000</v>
      </c>
      <c r="I323" s="114">
        <v>1000</v>
      </c>
      <c r="J323" s="114">
        <v>1000</v>
      </c>
      <c r="M323" s="216" t="s">
        <v>127</v>
      </c>
      <c r="N323" s="216" t="s">
        <v>30</v>
      </c>
      <c r="O323" s="216" t="s">
        <v>128</v>
      </c>
      <c r="P323" s="106"/>
      <c r="Q323" s="106"/>
      <c r="R323" s="106"/>
      <c r="S323" s="106"/>
      <c r="T323" s="106"/>
      <c r="W323" s="117"/>
    </row>
    <row r="324" spans="2:23" x14ac:dyDescent="0.3">
      <c r="B324" s="214" t="s">
        <v>454</v>
      </c>
      <c r="C324" s="214" t="str">
        <f t="shared" si="98"/>
        <v>TYNF901</v>
      </c>
      <c r="D324" s="219" t="str">
        <f t="shared" si="104"/>
        <v>TRAHUM</v>
      </c>
      <c r="E324" s="214" t="str">
        <f t="shared" si="99"/>
        <v>TYNF-C</v>
      </c>
      <c r="F324" s="114">
        <v>1000</v>
      </c>
      <c r="G324" s="114">
        <v>1000</v>
      </c>
      <c r="H324" s="114">
        <v>1000</v>
      </c>
      <c r="I324" s="114">
        <v>1000</v>
      </c>
      <c r="J324" s="114">
        <v>1000</v>
      </c>
      <c r="M324" s="216" t="s">
        <v>285</v>
      </c>
      <c r="N324" s="216" t="s">
        <v>30</v>
      </c>
      <c r="O324" s="216" t="s">
        <v>385</v>
      </c>
      <c r="P324" s="106"/>
      <c r="Q324" s="106"/>
      <c r="R324" s="106"/>
      <c r="S324" s="106"/>
      <c r="T324" s="106"/>
      <c r="W324" s="117"/>
    </row>
    <row r="325" spans="2:23" x14ac:dyDescent="0.3">
      <c r="B325" s="214" t="s">
        <v>454</v>
      </c>
      <c r="C325" s="214" t="str">
        <f t="shared" ref="C325:E326" si="105">M325</f>
        <v>TYEP101</v>
      </c>
      <c r="D325" s="219" t="str">
        <f t="shared" si="105"/>
        <v>TRAELC</v>
      </c>
      <c r="E325" s="214" t="str">
        <f t="shared" si="105"/>
        <v>TYEP</v>
      </c>
      <c r="F325" s="252">
        <v>4.53</v>
      </c>
      <c r="G325" s="252">
        <v>4.53</v>
      </c>
      <c r="H325" s="252">
        <v>4.53</v>
      </c>
      <c r="I325" s="252">
        <v>4.53</v>
      </c>
      <c r="J325" s="252">
        <v>4.53</v>
      </c>
      <c r="M325" s="216" t="s">
        <v>29</v>
      </c>
      <c r="N325" s="216" t="s">
        <v>27</v>
      </c>
      <c r="O325" s="216" t="s">
        <v>31</v>
      </c>
      <c r="P325" s="106"/>
      <c r="Q325" s="106"/>
      <c r="R325" s="106"/>
      <c r="S325" s="106"/>
      <c r="T325" s="106"/>
      <c r="W325" s="117"/>
    </row>
    <row r="326" spans="2:23" x14ac:dyDescent="0.3">
      <c r="B326" s="214" t="s">
        <v>454</v>
      </c>
      <c r="C326" s="214" t="str">
        <f t="shared" si="105"/>
        <v>TYEP101</v>
      </c>
      <c r="D326" s="219" t="str">
        <f t="shared" si="105"/>
        <v>TRAHUM</v>
      </c>
      <c r="E326" s="214" t="str">
        <f t="shared" si="105"/>
        <v>TYEP</v>
      </c>
      <c r="F326" s="114">
        <v>1000</v>
      </c>
      <c r="G326" s="114">
        <v>1000</v>
      </c>
      <c r="H326" s="114">
        <v>1000</v>
      </c>
      <c r="I326" s="114">
        <v>1000</v>
      </c>
      <c r="J326" s="114">
        <v>1000</v>
      </c>
      <c r="M326" s="216" t="s">
        <v>29</v>
      </c>
      <c r="N326" s="216" t="s">
        <v>30</v>
      </c>
      <c r="O326" s="216" t="s">
        <v>31</v>
      </c>
      <c r="P326" s="106"/>
      <c r="Q326" s="106"/>
      <c r="R326" s="106"/>
      <c r="S326" s="106"/>
      <c r="T326" s="106"/>
      <c r="W326" s="117" t="s">
        <v>296</v>
      </c>
    </row>
    <row r="327" spans="2:23" x14ac:dyDescent="0.3">
      <c r="B327" s="214" t="s">
        <v>454</v>
      </c>
      <c r="C327" s="214" t="str">
        <f t="shared" si="98"/>
        <v>TYEP901</v>
      </c>
      <c r="D327" s="219" t="str">
        <f t="shared" si="104"/>
        <v>TRAHUM</v>
      </c>
      <c r="E327" s="214" t="str">
        <f t="shared" si="99"/>
        <v>TYEP-C</v>
      </c>
      <c r="F327" s="114">
        <v>1000</v>
      </c>
      <c r="G327" s="114">
        <v>1000</v>
      </c>
      <c r="H327" s="114">
        <v>1000</v>
      </c>
      <c r="I327" s="114">
        <v>1000</v>
      </c>
      <c r="J327" s="114">
        <v>1000</v>
      </c>
      <c r="M327" s="216" t="s">
        <v>283</v>
      </c>
      <c r="N327" s="216" t="s">
        <v>30</v>
      </c>
      <c r="O327" s="216" t="s">
        <v>389</v>
      </c>
      <c r="P327" s="106"/>
      <c r="Q327" s="106"/>
      <c r="R327" s="106"/>
      <c r="S327" s="106"/>
      <c r="T327" s="106"/>
      <c r="W327" s="117"/>
    </row>
    <row r="328" spans="2:23" x14ac:dyDescent="0.3">
      <c r="B328" s="214" t="s">
        <v>454</v>
      </c>
      <c r="C328" s="214" t="str">
        <f t="shared" si="98"/>
        <v>TYEP901</v>
      </c>
      <c r="D328" s="219" t="str">
        <f t="shared" si="104"/>
        <v>TRAELC</v>
      </c>
      <c r="E328" s="214" t="str">
        <f t="shared" si="99"/>
        <v>TYEP-C</v>
      </c>
      <c r="F328" s="252">
        <v>4.53</v>
      </c>
      <c r="G328" s="252">
        <v>4.53</v>
      </c>
      <c r="H328" s="252">
        <v>4.53</v>
      </c>
      <c r="I328" s="252">
        <v>4.53</v>
      </c>
      <c r="J328" s="252">
        <v>4.53</v>
      </c>
      <c r="M328" s="216" t="s">
        <v>283</v>
      </c>
      <c r="N328" s="216" t="s">
        <v>27</v>
      </c>
      <c r="O328" s="216" t="s">
        <v>389</v>
      </c>
      <c r="P328" s="106"/>
      <c r="Q328" s="106"/>
      <c r="R328" s="106"/>
      <c r="S328" s="106"/>
      <c r="T328" s="106"/>
      <c r="W328" s="117" t="s">
        <v>296</v>
      </c>
    </row>
    <row r="329" spans="2:23" x14ac:dyDescent="0.3">
      <c r="B329" s="214" t="s">
        <v>454</v>
      </c>
      <c r="C329" s="214" t="str">
        <f t="shared" si="98"/>
        <v>TYNP101</v>
      </c>
      <c r="D329" s="219" t="str">
        <f t="shared" si="104"/>
        <v>TRAHUM</v>
      </c>
      <c r="E329" s="214" t="str">
        <f t="shared" si="99"/>
        <v>TYNP</v>
      </c>
      <c r="F329" s="114">
        <v>1000</v>
      </c>
      <c r="G329" s="114">
        <v>1000</v>
      </c>
      <c r="H329" s="114">
        <v>1000</v>
      </c>
      <c r="I329" s="114">
        <v>1000</v>
      </c>
      <c r="J329" s="114">
        <v>1000</v>
      </c>
      <c r="M329" s="216" t="s">
        <v>32</v>
      </c>
      <c r="N329" s="216" t="s">
        <v>30</v>
      </c>
      <c r="O329" s="216" t="s">
        <v>33</v>
      </c>
      <c r="P329" s="106"/>
      <c r="Q329" s="106"/>
      <c r="R329" s="106"/>
      <c r="S329" s="106"/>
      <c r="T329" s="106"/>
      <c r="W329" s="117"/>
    </row>
    <row r="330" spans="2:23" x14ac:dyDescent="0.3">
      <c r="B330" s="214" t="s">
        <v>454</v>
      </c>
      <c r="C330" s="214" t="str">
        <f t="shared" si="98"/>
        <v>TYNP901</v>
      </c>
      <c r="D330" s="219" t="str">
        <f t="shared" si="104"/>
        <v>TRAHUM</v>
      </c>
      <c r="E330" s="214" t="str">
        <f t="shared" si="99"/>
        <v>TYNP-C</v>
      </c>
      <c r="F330" s="114">
        <v>1000</v>
      </c>
      <c r="G330" s="114">
        <v>1000</v>
      </c>
      <c r="H330" s="114">
        <v>1000</v>
      </c>
      <c r="I330" s="114">
        <v>1000</v>
      </c>
      <c r="J330" s="114">
        <v>1000</v>
      </c>
      <c r="M330" s="216" t="s">
        <v>287</v>
      </c>
      <c r="N330" s="224" t="s">
        <v>30</v>
      </c>
      <c r="O330" s="224" t="s">
        <v>390</v>
      </c>
      <c r="P330" s="106"/>
      <c r="Q330" s="106"/>
      <c r="R330" s="106"/>
      <c r="S330" s="106"/>
      <c r="T330" s="106"/>
      <c r="W330" s="117"/>
    </row>
  </sheetData>
  <sortState ref="B325:J326">
    <sortCondition ref="D325:D3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TRA_Cars</vt:lpstr>
      <vt:lpstr>TRA_Other</vt:lpstr>
      <vt:lpstr>TRA_Buses</vt:lpstr>
      <vt:lpstr>TRA_Trucks</vt:lpstr>
      <vt:lpstr>TRA_TT</vt:lpstr>
      <vt:lpstr>TRA_TAV</vt:lpstr>
      <vt:lpstr>TRA_TNA</vt:lpstr>
      <vt:lpstr>TRA_COMM_PRO</vt:lpstr>
      <vt:lpstr>CEFF</vt:lpstr>
      <vt:lpstr>INVCOST</vt:lpstr>
      <vt:lpstr>FIXOM_VAROM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2021-12-22T09:42:06Z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761909127235412</vt:r8>
  </property>
</Properties>
</file>