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2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wnloads\"/>
    </mc:Choice>
  </mc:AlternateContent>
  <xr:revisionPtr revIDLastSave="0" documentId="13_ncr:1_{55C78ED1-BF23-42E2-BC42-E8C329E20704}" xr6:coauthVersionLast="47" xr6:coauthVersionMax="47" xr10:uidLastSave="{00000000-0000-0000-0000-000000000000}"/>
  <bookViews>
    <workbookView xWindow="-120" yWindow="-120" windowWidth="29040" windowHeight="14010" tabRatio="500" xr2:uid="{00000000-000D-0000-FFFF-FFFF00000000}"/>
  </bookViews>
  <sheets>
    <sheet name="normal" sheetId="7" r:id="rId1"/>
    <sheet name="normal (i3)" sheetId="2" r:id="rId2"/>
    <sheet name="normal (Xeon)" sheetId="3" r:id="rId3"/>
    <sheet name="normal (Ryzen)" sheetId="4" r:id="rId4"/>
    <sheet name="tasks.sh" sheetId="5" r:id="rId5"/>
    <sheet name="bloques.sh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29" i="7" l="1"/>
  <c r="T11" i="7"/>
  <c r="T20" i="7"/>
  <c r="T26" i="7"/>
  <c r="T27" i="7"/>
  <c r="T28" i="7"/>
  <c r="I26" i="7"/>
  <c r="I29" i="7" s="1"/>
  <c r="I27" i="7"/>
  <c r="I28" i="7"/>
  <c r="T17" i="7"/>
  <c r="T18" i="7"/>
  <c r="T19" i="7"/>
  <c r="I17" i="7"/>
  <c r="I20" i="7" s="1"/>
  <c r="I18" i="7"/>
  <c r="I19" i="7"/>
  <c r="T8" i="7"/>
  <c r="T9" i="7"/>
  <c r="T10" i="7"/>
  <c r="I9" i="7"/>
  <c r="I10" i="7"/>
  <c r="I8" i="7"/>
  <c r="I11" i="7" s="1"/>
  <c r="R20" i="7"/>
  <c r="S29" i="7"/>
  <c r="S11" i="7"/>
  <c r="S20" i="7"/>
  <c r="R29" i="7"/>
  <c r="R11" i="7"/>
  <c r="K26" i="7"/>
  <c r="K27" i="7"/>
  <c r="K28" i="7"/>
  <c r="K17" i="7"/>
  <c r="K18" i="7"/>
  <c r="K19" i="7"/>
  <c r="K8" i="7"/>
  <c r="K9" i="7"/>
  <c r="K10" i="7"/>
  <c r="M21" i="6"/>
  <c r="M22" i="6"/>
  <c r="M23" i="6"/>
  <c r="K21" i="6"/>
  <c r="K22" i="6"/>
  <c r="K23" i="6"/>
  <c r="J21" i="6"/>
  <c r="J22" i="6"/>
  <c r="J23" i="6"/>
  <c r="C21" i="6"/>
  <c r="C22" i="6"/>
  <c r="C23" i="6"/>
  <c r="B21" i="6"/>
  <c r="B22" i="6"/>
  <c r="B23" i="6"/>
  <c r="L21" i="6"/>
  <c r="L22" i="6"/>
  <c r="L23" i="6"/>
  <c r="D21" i="6"/>
  <c r="E21" i="6" s="1"/>
  <c r="D22" i="6"/>
  <c r="E22" i="6" s="1"/>
  <c r="D23" i="6"/>
  <c r="E23" i="6" s="1"/>
  <c r="E11" i="5"/>
  <c r="E12" i="5"/>
  <c r="E13" i="5"/>
  <c r="D11" i="5"/>
  <c r="B11" i="5"/>
  <c r="C11" i="5"/>
  <c r="B12" i="5"/>
  <c r="C12" i="5"/>
  <c r="D12" i="5"/>
  <c r="B13" i="5"/>
  <c r="C13" i="5"/>
  <c r="D13" i="5"/>
  <c r="O28" i="7"/>
  <c r="N28" i="7"/>
  <c r="D28" i="7"/>
  <c r="C28" i="7"/>
  <c r="O27" i="7"/>
  <c r="N27" i="7"/>
  <c r="D27" i="7"/>
  <c r="C27" i="7"/>
  <c r="E27" i="7" s="1"/>
  <c r="O26" i="7"/>
  <c r="N26" i="7"/>
  <c r="D26" i="7"/>
  <c r="C26" i="7"/>
  <c r="E26" i="7" s="1"/>
  <c r="M23" i="7"/>
  <c r="M14" i="7"/>
  <c r="O19" i="7"/>
  <c r="N19" i="7"/>
  <c r="D19" i="7"/>
  <c r="C19" i="7"/>
  <c r="O18" i="7"/>
  <c r="N18" i="7"/>
  <c r="P18" i="7" s="1"/>
  <c r="D18" i="7"/>
  <c r="C18" i="7"/>
  <c r="O17" i="7"/>
  <c r="N17" i="7"/>
  <c r="P17" i="7" s="1"/>
  <c r="D17" i="7"/>
  <c r="C17" i="7"/>
  <c r="O10" i="7"/>
  <c r="N10" i="7"/>
  <c r="O9" i="7"/>
  <c r="N9" i="7"/>
  <c r="P9" i="7" s="1"/>
  <c r="O8" i="7"/>
  <c r="N8" i="7"/>
  <c r="P8" i="7" s="1"/>
  <c r="M5" i="7"/>
  <c r="D10" i="7"/>
  <c r="C10" i="7"/>
  <c r="D9" i="7"/>
  <c r="C9" i="7"/>
  <c r="D8" i="7"/>
  <c r="C8" i="7"/>
  <c r="E8" i="7" s="1"/>
  <c r="P26" i="7" l="1"/>
  <c r="E18" i="7"/>
  <c r="F18" i="7" s="1"/>
  <c r="E19" i="7"/>
  <c r="P27" i="7"/>
  <c r="P10" i="7"/>
  <c r="Q10" i="7" s="1"/>
  <c r="P19" i="7"/>
  <c r="Q19" i="7" s="1"/>
  <c r="E28" i="7"/>
  <c r="F28" i="7" s="1"/>
  <c r="Q9" i="7"/>
  <c r="E9" i="7"/>
  <c r="F9" i="7" s="1"/>
  <c r="F27" i="7"/>
  <c r="P28" i="7"/>
  <c r="Q28" i="7" s="1"/>
  <c r="Q17" i="7"/>
  <c r="F26" i="7"/>
  <c r="Q26" i="7"/>
  <c r="Q8" i="7"/>
  <c r="Q18" i="7"/>
  <c r="F19" i="7"/>
  <c r="Q27" i="7"/>
  <c r="E10" i="7"/>
  <c r="F10" i="7" s="1"/>
  <c r="E17" i="7"/>
  <c r="F17" i="7" s="1"/>
  <c r="F8" i="7"/>
</calcChain>
</file>

<file path=xl/sharedStrings.xml><?xml version="1.0" encoding="utf-8"?>
<sst xmlns="http://schemas.openxmlformats.org/spreadsheetml/2006/main" count="362" uniqueCount="43">
  <si>
    <t>Function</t>
  </si>
  <si>
    <t>Library</t>
  </si>
  <si>
    <t>Size</t>
  </si>
  <si>
    <t>Repetitions</t>
  </si>
  <si>
    <t>Time</t>
  </si>
  <si>
    <t>Error</t>
  </si>
  <si>
    <t>Type</t>
  </si>
  <si>
    <t>BlockSize</t>
  </si>
  <si>
    <t>Python</t>
  </si>
  <si>
    <t>numpy</t>
  </si>
  <si>
    <t>1000x1001x999</t>
  </si>
  <si>
    <t>-</t>
  </si>
  <si>
    <t>MyDGEMM</t>
  </si>
  <si>
    <t>IccO0</t>
  </si>
  <si>
    <t>IccO3</t>
  </si>
  <si>
    <t>2000x2001x1999</t>
  </si>
  <si>
    <t>3000x3001x2999</t>
  </si>
  <si>
    <t>MyDGEMMT</t>
  </si>
  <si>
    <t>MyDGEMMB</t>
  </si>
  <si>
    <t>1000x1000x1000</t>
  </si>
  <si>
    <t>2000x2000x2000</t>
  </si>
  <si>
    <t>3000x3000x3000</t>
  </si>
  <si>
    <t>m</t>
  </si>
  <si>
    <t>n</t>
  </si>
  <si>
    <t>k</t>
  </si>
  <si>
    <t>nº flop</t>
  </si>
  <si>
    <t>t_c</t>
  </si>
  <si>
    <t>Teórico</t>
  </si>
  <si>
    <t>Empírico O0</t>
  </si>
  <si>
    <t>Empírico O3</t>
  </si>
  <si>
    <t>i3 secuencial</t>
  </si>
  <si>
    <t>p</t>
  </si>
  <si>
    <t>i3 paralelo</t>
  </si>
  <si>
    <t>i3</t>
  </si>
  <si>
    <t>TPP</t>
  </si>
  <si>
    <t>Xeon</t>
  </si>
  <si>
    <t>Xeon secuencial</t>
  </si>
  <si>
    <t>Xeon paralelo</t>
  </si>
  <si>
    <t>Ryzen</t>
  </si>
  <si>
    <t>Ryzen paralelo</t>
  </si>
  <si>
    <t>Ryzen secuencial</t>
  </si>
  <si>
    <t>Speedup O3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</si>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</sst>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0%"/>
    <numFmt numFmtId="168" formatCode="0.00000%"/>
    <numFmt numFmtId="169" formatCode="0.000000%"/>
  </numFmts>
  <fonts count="6" x14ac:knownFonts="1">
    <font>
      <sz val="11"/>
      <color rgb="FF000000"/>
      <name val="Calibri"/>
      <family val="2"/>
      <charset val="1"/>
    </font>
    <font>
      <sz val="10"/>
      <name val="Arial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4">
    <xf numFmtId="0" fontId="0" fillId="0" borderId="0"/>
    <xf numFmtId="0" fontId="3" fillId="2" borderId="2" applyNumberFormat="0" applyAlignment="0" applyProtection="0"/>
    <xf numFmtId="0" fontId="2" fillId="0" borderId="1" applyNumberFormat="0" applyFill="0" applyAlignment="0" applyProtection="0"/>
    <xf numFmtId="9" fontId="1" fillId="0" borderId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3" fillId="2" borderId="4" xfId="1" applyBorder="1" applyAlignment="1">
      <alignment horizontal="center"/>
    </xf>
    <xf numFmtId="0" fontId="3" fillId="2" borderId="3" xfId="1" applyBorder="1" applyAlignment="1">
      <alignment horizontal="center"/>
    </xf>
    <xf numFmtId="0" fontId="3" fillId="2" borderId="5" xfId="1" applyBorder="1" applyAlignment="1">
      <alignment horizontal="center"/>
    </xf>
    <xf numFmtId="0" fontId="2" fillId="0" borderId="1" xfId="2" applyAlignment="1">
      <alignment horizontal="center"/>
    </xf>
    <xf numFmtId="0" fontId="0" fillId="0" borderId="0" xfId="0" applyAlignment="1"/>
    <xf numFmtId="167" fontId="1" fillId="0" borderId="0" xfId="3" applyNumberFormat="1"/>
    <xf numFmtId="168" fontId="1" fillId="0" borderId="0" xfId="3" applyNumberFormat="1"/>
    <xf numFmtId="169" fontId="1" fillId="0" borderId="0" xfId="3" applyNumberFormat="1"/>
    <xf numFmtId="169" fontId="4" fillId="0" borderId="6" xfId="3" applyNumberFormat="1" applyFont="1" applyBorder="1"/>
  </cellXfs>
  <cellStyles count="4">
    <cellStyle name="Celda de comprobación" xfId="1" builtinId="23"/>
    <cellStyle name="Celda vinculada" xfId="2" builtinId="24"/>
    <cellStyle name="Normal" xfId="0" builtinId="0"/>
    <cellStyle name="Porcentaje" xfId="3" builtinId="5"/>
  </cellStyles>
  <dxfs count="49">
    <dxf>
      <numFmt numFmtId="169" formatCode="0.000000%"/>
    </dxf>
    <dxf>
      <numFmt numFmtId="15" formatCode="0.00E+00"/>
    </dxf>
    <dxf>
      <numFmt numFmtId="15" formatCode="0.00E+00"/>
    </dxf>
    <dxf>
      <numFmt numFmtId="169" formatCode="0.000000%"/>
    </dxf>
    <dxf>
      <numFmt numFmtId="15" formatCode="0.00E+00"/>
    </dxf>
    <dxf>
      <numFmt numFmtId="15" formatCode="0.00E+00"/>
    </dxf>
    <dxf>
      <numFmt numFmtId="169" formatCode="0.000000%"/>
    </dxf>
    <dxf>
      <numFmt numFmtId="15" formatCode="0.00E+00"/>
    </dxf>
    <dxf>
      <numFmt numFmtId="15" formatCode="0.00E+00"/>
    </dxf>
    <dxf>
      <border outline="0">
        <top style="double">
          <color rgb="FF3F3F3F"/>
        </top>
      </border>
    </dxf>
    <dxf>
      <numFmt numFmtId="169" formatCode="0.000000%"/>
    </dxf>
    <dxf>
      <numFmt numFmtId="15" formatCode="0.00E+00"/>
    </dxf>
    <dxf>
      <numFmt numFmtId="15" formatCode="0.00E+00"/>
    </dxf>
    <dxf>
      <numFmt numFmtId="169" formatCode="0.000000%"/>
    </dxf>
    <dxf>
      <numFmt numFmtId="169" formatCode="0.000000%"/>
    </dxf>
    <dxf>
      <numFmt numFmtId="169" formatCode="0.000000%"/>
    </dxf>
    <dxf>
      <numFmt numFmtId="169" formatCode="0.000000%"/>
    </dxf>
    <dxf>
      <numFmt numFmtId="169" formatCode="0.000000%"/>
    </dxf>
    <dxf>
      <numFmt numFmtId="15" formatCode="0.00E+00"/>
    </dxf>
    <dxf>
      <numFmt numFmtId="15" formatCode="0.00E+00"/>
    </dxf>
    <dxf>
      <border outline="0">
        <top style="double">
          <color rgb="FF3F3F3F"/>
        </top>
      </border>
    </dxf>
    <dxf>
      <numFmt numFmtId="15" formatCode="0.00E+00"/>
    </dxf>
    <dxf>
      <numFmt numFmtId="15" formatCode="0.00E+00"/>
    </dxf>
    <dxf>
      <border outline="0">
        <top style="double">
          <color rgb="FF3F3F3F"/>
        </top>
      </border>
    </dxf>
    <dxf>
      <numFmt numFmtId="15" formatCode="0.00E+00"/>
    </dxf>
    <dxf>
      <numFmt numFmtId="15" formatCode="0.00E+00"/>
    </dxf>
    <dxf>
      <border outline="0">
        <top style="double">
          <color rgb="FF3F3F3F"/>
        </top>
      </border>
    </dxf>
    <dxf>
      <numFmt numFmtId="15" formatCode="0.00E+00"/>
    </dxf>
    <dxf>
      <numFmt numFmtId="15" formatCode="0.00E+00"/>
    </dxf>
    <dxf>
      <border outline="0">
        <top style="double">
          <color rgb="FF3F3F3F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  <dxf>
      <border outline="0">
        <top style="double">
          <color rgb="FF3F3F3F"/>
        </top>
      </border>
    </dxf>
    <dxf>
      <border outline="0">
        <top style="double">
          <color rgb="FF3F3F3F"/>
        </top>
      </border>
    </dxf>
    <dxf>
      <numFmt numFmtId="15" formatCode="0.00E+00"/>
    </dxf>
    <dxf>
      <numFmt numFmtId="15" formatCode="0.00E+00"/>
    </dxf>
    <dxf>
      <border outline="0">
        <top style="double">
          <color rgb="FF3F3F3F"/>
        </top>
      </border>
    </dxf>
    <dxf>
      <numFmt numFmtId="15" formatCode="0.00E+00"/>
    </dxf>
    <dxf>
      <numFmt numFmtId="15" formatCode="0.00E+00"/>
    </dxf>
    <dxf>
      <border outline="0">
        <top style="double">
          <color rgb="FF3F3F3F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Rendimiento MyDGEMM (ICCO0)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i3 secuencial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('normal (i3)'!$C$14,'normal (i3)'!$C$16,'normal (i3)'!$C$18)</c:f>
              <c:strCache>
                <c:ptCount val="3"/>
                <c:pt idx="0">
                  <c:v>1000x1001x999</c:v>
                </c:pt>
                <c:pt idx="1">
                  <c:v>2000x2001x1999</c:v>
                </c:pt>
                <c:pt idx="2">
                  <c:v>3000x3001x2999</c:v>
                </c:pt>
              </c:strCache>
            </c:strRef>
          </c:cat>
          <c:val>
            <c:numRef>
              <c:f>('normal (i3)'!$E$3,'normal (i3)'!$E$6,'normal (i3)'!$E$9)</c:f>
              <c:numCache>
                <c:formatCode>General</c:formatCode>
                <c:ptCount val="3"/>
                <c:pt idx="0">
                  <c:v>57.268652677535997</c:v>
                </c:pt>
                <c:pt idx="1">
                  <c:v>417.58318901062</c:v>
                </c:pt>
                <c:pt idx="2">
                  <c:v>954.555811405182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1-44D7-B259-39A4F63C9310}"/>
            </c:ext>
          </c:extLst>
        </c:ser>
        <c:ser>
          <c:idx val="1"/>
          <c:order val="1"/>
          <c:tx>
            <c:v>i3 paralelo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('normal (i3)'!$C$14,'normal (i3)'!$C$16,'normal (i3)'!$C$18)</c:f>
              <c:strCache>
                <c:ptCount val="3"/>
                <c:pt idx="0">
                  <c:v>1000x1001x999</c:v>
                </c:pt>
                <c:pt idx="1">
                  <c:v>2000x2001x1999</c:v>
                </c:pt>
                <c:pt idx="2">
                  <c:v>3000x3001x2999</c:v>
                </c:pt>
              </c:strCache>
            </c:strRef>
          </c:cat>
          <c:val>
            <c:numRef>
              <c:f>('normal (i3)'!$E$14,'normal (i3)'!$E$16,'normal (i3)'!$E$18)</c:f>
              <c:numCache>
                <c:formatCode>General</c:formatCode>
                <c:ptCount val="3"/>
                <c:pt idx="0">
                  <c:v>29.4396507740021</c:v>
                </c:pt>
                <c:pt idx="1">
                  <c:v>212.22007727623</c:v>
                </c:pt>
                <c:pt idx="2">
                  <c:v>484.115129709244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1-44D7-B259-39A4F63C9310}"/>
            </c:ext>
          </c:extLst>
        </c:ser>
        <c:ser>
          <c:idx val="2"/>
          <c:order val="2"/>
          <c:tx>
            <c:v>Xeon secuencial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('normal (i3)'!$C$14,'normal (i3)'!$C$16,'normal (i3)'!$C$18)</c:f>
              <c:strCache>
                <c:ptCount val="3"/>
                <c:pt idx="0">
                  <c:v>1000x1001x999</c:v>
                </c:pt>
                <c:pt idx="1">
                  <c:v>2000x2001x1999</c:v>
                </c:pt>
                <c:pt idx="2">
                  <c:v>3000x3001x2999</c:v>
                </c:pt>
              </c:strCache>
            </c:strRef>
          </c:cat>
          <c:val>
            <c:numRef>
              <c:f>('normal (Xeon)'!$E$3,'normal (Xeon)'!$E$6,'normal (Xeon)'!$E$9)</c:f>
              <c:numCache>
                <c:formatCode>General</c:formatCode>
                <c:ptCount val="3"/>
                <c:pt idx="0">
                  <c:v>109.40703868865999</c:v>
                </c:pt>
                <c:pt idx="1">
                  <c:v>769.47196078300499</c:v>
                </c:pt>
                <c:pt idx="2">
                  <c:v>1842.4922842979399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11-44D7-B259-39A4F63C9310}"/>
            </c:ext>
          </c:extLst>
        </c:ser>
        <c:ser>
          <c:idx val="3"/>
          <c:order val="3"/>
          <c:tx>
            <c:v>Xeon paralelo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('normal (i3)'!$C$14,'normal (i3)'!$C$16,'normal (i3)'!$C$18)</c:f>
              <c:strCache>
                <c:ptCount val="3"/>
                <c:pt idx="0">
                  <c:v>1000x1001x999</c:v>
                </c:pt>
                <c:pt idx="1">
                  <c:v>2000x2001x1999</c:v>
                </c:pt>
                <c:pt idx="2">
                  <c:v>3000x3001x2999</c:v>
                </c:pt>
              </c:strCache>
            </c:strRef>
          </c:cat>
          <c:val>
            <c:numRef>
              <c:f>('normal (Xeon)'!$E$14,'normal (Xeon)'!$E$16,'normal (Xeon)'!$E$18)</c:f>
              <c:numCache>
                <c:formatCode>General</c:formatCode>
                <c:ptCount val="3"/>
                <c:pt idx="0">
                  <c:v>14.953177452087401</c:v>
                </c:pt>
                <c:pt idx="1">
                  <c:v>101.127728939056</c:v>
                </c:pt>
                <c:pt idx="2">
                  <c:v>238.538269758224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11-44D7-B259-39A4F63C9310}"/>
            </c:ext>
          </c:extLst>
        </c:ser>
        <c:ser>
          <c:idx val="4"/>
          <c:order val="4"/>
          <c:tx>
            <c:v>Ryzen secuencial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('normal (i3)'!$C$14,'normal (i3)'!$C$16,'normal (i3)'!$C$18)</c:f>
              <c:strCache>
                <c:ptCount val="3"/>
                <c:pt idx="0">
                  <c:v>1000x1001x999</c:v>
                </c:pt>
                <c:pt idx="1">
                  <c:v>2000x2001x1999</c:v>
                </c:pt>
                <c:pt idx="2">
                  <c:v>3000x3001x2999</c:v>
                </c:pt>
              </c:strCache>
            </c:strRef>
          </c:cat>
          <c:val>
            <c:numRef>
              <c:f>('normal (Ryzen)'!$E$3,'normal (Ryzen)'!$E$6,'normal (Ryzen)'!$E$9)</c:f>
              <c:numCache>
                <c:formatCode>General</c:formatCode>
                <c:ptCount val="3"/>
                <c:pt idx="0">
                  <c:v>29.2678384780884</c:v>
                </c:pt>
                <c:pt idx="1">
                  <c:v>195.36193585395799</c:v>
                </c:pt>
                <c:pt idx="2">
                  <c:v>600.31209015846298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11-44D7-B259-39A4F63C9310}"/>
            </c:ext>
          </c:extLst>
        </c:ser>
        <c:ser>
          <c:idx val="5"/>
          <c:order val="5"/>
          <c:tx>
            <c:v>Ryzen paralelo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('normal (i3)'!$C$14,'normal (i3)'!$C$16,'normal (i3)'!$C$18)</c:f>
              <c:strCache>
                <c:ptCount val="3"/>
                <c:pt idx="0">
                  <c:v>1000x1001x999</c:v>
                </c:pt>
                <c:pt idx="1">
                  <c:v>2000x2001x1999</c:v>
                </c:pt>
                <c:pt idx="2">
                  <c:v>3000x3001x2999</c:v>
                </c:pt>
              </c:strCache>
            </c:strRef>
          </c:cat>
          <c:val>
            <c:numRef>
              <c:f>('normal (Ryzen)'!$E$14,'normal (Ryzen)'!$E$16,'normal (Ryzen)'!$E$18)</c:f>
              <c:numCache>
                <c:formatCode>General</c:formatCode>
                <c:ptCount val="3"/>
                <c:pt idx="0">
                  <c:v>4.43943548202515</c:v>
                </c:pt>
                <c:pt idx="1">
                  <c:v>27.000347614288302</c:v>
                </c:pt>
                <c:pt idx="2">
                  <c:v>81.221657514572101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11-44D7-B259-39A4F63C9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20200"/>
        <c:axId val="446418888"/>
      </c:lineChart>
      <c:catAx>
        <c:axId val="44642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418888"/>
        <c:crosses val="autoZero"/>
        <c:auto val="1"/>
        <c:lblAlgn val="ctr"/>
        <c:lblOffset val="100"/>
        <c:noMultiLvlLbl val="0"/>
      </c:catAx>
      <c:valAx>
        <c:axId val="44641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42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Rendimiento MyDGEMM (ICCO3)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i3 secuencial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('normal (i3)'!$C$14,'normal (i3)'!$C$16,'normal (i3)'!$C$18)</c:f>
              <c:strCache>
                <c:ptCount val="3"/>
                <c:pt idx="0">
                  <c:v>1000x1001x999</c:v>
                </c:pt>
                <c:pt idx="1">
                  <c:v>2000x2001x1999</c:v>
                </c:pt>
                <c:pt idx="2">
                  <c:v>3000x3001x2999</c:v>
                </c:pt>
              </c:strCache>
            </c:strRef>
          </c:cat>
          <c:val>
            <c:numRef>
              <c:f>('normal (i3)'!$E$4,'normal (i3)'!$E$7,'normal (i3)'!$E$10)</c:f>
              <c:numCache>
                <c:formatCode>General</c:formatCode>
                <c:ptCount val="3"/>
                <c:pt idx="0">
                  <c:v>5.99975490570068</c:v>
                </c:pt>
                <c:pt idx="1">
                  <c:v>36.0615041255951</c:v>
                </c:pt>
                <c:pt idx="2">
                  <c:v>96.015940189361601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D-4FBB-A9D6-6B677347C367}"/>
            </c:ext>
          </c:extLst>
        </c:ser>
        <c:ser>
          <c:idx val="1"/>
          <c:order val="1"/>
          <c:tx>
            <c:v>i3 paralelo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('normal (i3)'!$C$14,'normal (i3)'!$C$16,'normal (i3)'!$C$18)</c:f>
              <c:strCache>
                <c:ptCount val="3"/>
                <c:pt idx="0">
                  <c:v>1000x1001x999</c:v>
                </c:pt>
                <c:pt idx="1">
                  <c:v>2000x2001x1999</c:v>
                </c:pt>
                <c:pt idx="2">
                  <c:v>3000x3001x2999</c:v>
                </c:pt>
              </c:strCache>
            </c:strRef>
          </c:cat>
          <c:val>
            <c:numRef>
              <c:f>('normal (i3)'!$E$15,'normal (i3)'!$E$17,'normal (i3)'!$E$19)</c:f>
              <c:numCache>
                <c:formatCode>General</c:formatCode>
                <c:ptCount val="3"/>
                <c:pt idx="0">
                  <c:v>4.8601453304290798</c:v>
                </c:pt>
                <c:pt idx="1">
                  <c:v>26.054306030273398</c:v>
                </c:pt>
                <c:pt idx="2">
                  <c:v>73.311461687087998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D-4FBB-A9D6-6B677347C367}"/>
            </c:ext>
          </c:extLst>
        </c:ser>
        <c:ser>
          <c:idx val="2"/>
          <c:order val="2"/>
          <c:tx>
            <c:v>Xeon secuencial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('normal (i3)'!$C$14,'normal (i3)'!$C$16,'normal (i3)'!$C$18)</c:f>
              <c:strCache>
                <c:ptCount val="3"/>
                <c:pt idx="0">
                  <c:v>1000x1001x999</c:v>
                </c:pt>
                <c:pt idx="1">
                  <c:v>2000x2001x1999</c:v>
                </c:pt>
                <c:pt idx="2">
                  <c:v>3000x3001x2999</c:v>
                </c:pt>
              </c:strCache>
            </c:strRef>
          </c:cat>
          <c:val>
            <c:numRef>
              <c:f>('normal (Xeon)'!$E$4,'normal (Xeon)'!$E$7,'normal (Xeon)'!$E$10)</c:f>
              <c:numCache>
                <c:formatCode>General</c:formatCode>
                <c:ptCount val="3"/>
                <c:pt idx="0">
                  <c:v>6.7991638183593803</c:v>
                </c:pt>
                <c:pt idx="1">
                  <c:v>92.026823282241807</c:v>
                </c:pt>
                <c:pt idx="2">
                  <c:v>227.212146759033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D-4FBB-A9D6-6B677347C367}"/>
            </c:ext>
          </c:extLst>
        </c:ser>
        <c:ser>
          <c:idx val="3"/>
          <c:order val="3"/>
          <c:tx>
            <c:v>Xeon paralelo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('normal (i3)'!$C$14,'normal (i3)'!$C$16,'normal (i3)'!$C$18)</c:f>
              <c:strCache>
                <c:ptCount val="3"/>
                <c:pt idx="0">
                  <c:v>1000x1001x999</c:v>
                </c:pt>
                <c:pt idx="1">
                  <c:v>2000x2001x1999</c:v>
                </c:pt>
                <c:pt idx="2">
                  <c:v>3000x3001x2999</c:v>
                </c:pt>
              </c:strCache>
            </c:strRef>
          </c:cat>
          <c:val>
            <c:numRef>
              <c:f>('normal (Xeon)'!$E$15,'normal (Xeon)'!$E$17,'normal (Xeon)'!$E$19)</c:f>
              <c:numCache>
                <c:formatCode>General</c:formatCode>
                <c:ptCount val="3"/>
                <c:pt idx="0">
                  <c:v>1.7642347812652599</c:v>
                </c:pt>
                <c:pt idx="1">
                  <c:v>18.900179386138898</c:v>
                </c:pt>
                <c:pt idx="2">
                  <c:v>43.049416542053201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1D-4FBB-A9D6-6B677347C367}"/>
            </c:ext>
          </c:extLst>
        </c:ser>
        <c:ser>
          <c:idx val="4"/>
          <c:order val="4"/>
          <c:tx>
            <c:v>Ryzen secuencial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('normal (i3)'!$C$14,'normal (i3)'!$C$16,'normal (i3)'!$C$18)</c:f>
              <c:strCache>
                <c:ptCount val="3"/>
                <c:pt idx="0">
                  <c:v>1000x1001x999</c:v>
                </c:pt>
                <c:pt idx="1">
                  <c:v>2000x2001x1999</c:v>
                </c:pt>
                <c:pt idx="2">
                  <c:v>3000x3001x2999</c:v>
                </c:pt>
              </c:strCache>
            </c:strRef>
          </c:cat>
          <c:val>
            <c:numRef>
              <c:f>('normal (Ryzen)'!$E$4,'normal (Ryzen)'!$E$7,'normal (Ryzen)'!$E$10)</c:f>
              <c:numCache>
                <c:formatCode>General</c:formatCode>
                <c:ptCount val="3"/>
                <c:pt idx="0">
                  <c:v>1.4525957107543901</c:v>
                </c:pt>
                <c:pt idx="1">
                  <c:v>23.514122247695902</c:v>
                </c:pt>
                <c:pt idx="2">
                  <c:v>59.090897798538201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1D-4FBB-A9D6-6B677347C367}"/>
            </c:ext>
          </c:extLst>
        </c:ser>
        <c:ser>
          <c:idx val="5"/>
          <c:order val="5"/>
          <c:tx>
            <c:v>Ryzen paralelo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('normal (i3)'!$C$14,'normal (i3)'!$C$16,'normal (i3)'!$C$18)</c:f>
              <c:strCache>
                <c:ptCount val="3"/>
                <c:pt idx="0">
                  <c:v>1000x1001x999</c:v>
                </c:pt>
                <c:pt idx="1">
                  <c:v>2000x2001x1999</c:v>
                </c:pt>
                <c:pt idx="2">
                  <c:v>3000x3001x2999</c:v>
                </c:pt>
              </c:strCache>
            </c:strRef>
          </c:cat>
          <c:val>
            <c:numRef>
              <c:f>('normal (Ryzen)'!$E$15,'normal (Ryzen)'!$E$17,'normal (Ryzen)'!$E$19)</c:f>
              <c:numCache>
                <c:formatCode>General</c:formatCode>
                <c:ptCount val="3"/>
                <c:pt idx="0">
                  <c:v>0.50391292572021495</c:v>
                </c:pt>
                <c:pt idx="1">
                  <c:v>6.5134043693542498</c:v>
                </c:pt>
                <c:pt idx="2">
                  <c:v>15.713241338729899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1D-4FBB-A9D6-6B677347C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20200"/>
        <c:axId val="446418888"/>
      </c:lineChart>
      <c:catAx>
        <c:axId val="44642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418888"/>
        <c:crosses val="autoZero"/>
        <c:auto val="1"/>
        <c:lblAlgn val="ctr"/>
        <c:lblOffset val="100"/>
        <c:noMultiLvlLbl val="0"/>
      </c:catAx>
      <c:valAx>
        <c:axId val="44641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42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Python vs. C (Ryzen, MyDGEMM)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('normal (i3)'!$C$14,'normal (i3)'!$C$16,'normal (i3)'!$C$18)</c:f>
              <c:strCache>
                <c:ptCount val="3"/>
                <c:pt idx="0">
                  <c:v>1000x1001x999</c:v>
                </c:pt>
                <c:pt idx="1">
                  <c:v>2000x2001x1999</c:v>
                </c:pt>
                <c:pt idx="2">
                  <c:v>3000x3001x2999</c:v>
                </c:pt>
              </c:strCache>
            </c:strRef>
          </c:cat>
          <c:val>
            <c:numRef>
              <c:f>normal!$J$26:$J$28</c:f>
              <c:numCache>
                <c:formatCode>General</c:formatCode>
                <c:ptCount val="3"/>
                <c:pt idx="0">
                  <c:v>0.36732268333435097</c:v>
                </c:pt>
                <c:pt idx="1">
                  <c:v>2.15224289894104</c:v>
                </c:pt>
                <c:pt idx="2">
                  <c:v>5.3269503116607702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E-42FA-BF7F-706DBA50E412}"/>
            </c:ext>
          </c:extLst>
        </c:ser>
        <c:ser>
          <c:idx val="1"/>
          <c:order val="1"/>
          <c:tx>
            <c:v>C secuencial (-o3)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('normal (i3)'!$C$14,'normal (i3)'!$C$16,'normal (i3)'!$C$18)</c:f>
              <c:strCache>
                <c:ptCount val="3"/>
                <c:pt idx="0">
                  <c:v>1000x1001x999</c:v>
                </c:pt>
                <c:pt idx="1">
                  <c:v>2000x2001x1999</c:v>
                </c:pt>
                <c:pt idx="2">
                  <c:v>3000x3001x2999</c:v>
                </c:pt>
              </c:strCache>
            </c:strRef>
          </c:cat>
          <c:val>
            <c:numRef>
              <c:f>normal!$H$26:$H$28</c:f>
              <c:numCache>
                <c:formatCode>General</c:formatCode>
                <c:ptCount val="3"/>
                <c:pt idx="0">
                  <c:v>1.4525957107543901</c:v>
                </c:pt>
                <c:pt idx="1">
                  <c:v>23.514122247695902</c:v>
                </c:pt>
                <c:pt idx="2">
                  <c:v>59.090897798538201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E-42FA-BF7F-706DBA50E412}"/>
            </c:ext>
          </c:extLst>
        </c:ser>
        <c:ser>
          <c:idx val="2"/>
          <c:order val="2"/>
          <c:tx>
            <c:v>C paralelo (-o3)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('normal (i3)'!$C$14,'normal (i3)'!$C$16,'normal (i3)'!$C$18)</c:f>
              <c:strCache>
                <c:ptCount val="3"/>
                <c:pt idx="0">
                  <c:v>1000x1001x999</c:v>
                </c:pt>
                <c:pt idx="1">
                  <c:v>2000x2001x1999</c:v>
                </c:pt>
                <c:pt idx="2">
                  <c:v>3000x3001x2999</c:v>
                </c:pt>
              </c:strCache>
            </c:strRef>
          </c:cat>
          <c:val>
            <c:numRef>
              <c:f>normal!$S$26:$S$28</c:f>
              <c:numCache>
                <c:formatCode>General</c:formatCode>
                <c:ptCount val="3"/>
                <c:pt idx="0">
                  <c:v>0.50391292572021495</c:v>
                </c:pt>
                <c:pt idx="1">
                  <c:v>6.5134043693542498</c:v>
                </c:pt>
                <c:pt idx="2">
                  <c:v>15.713241338729899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1E-42FA-BF7F-706DBA50E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921320"/>
        <c:axId val="689928208"/>
      </c:lineChart>
      <c:catAx>
        <c:axId val="68992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9928208"/>
        <c:crosses val="autoZero"/>
        <c:auto val="1"/>
        <c:lblAlgn val="ctr"/>
        <c:lblOffset val="100"/>
        <c:noMultiLvlLbl val="0"/>
      </c:catAx>
      <c:valAx>
        <c:axId val="6899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992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MyDGEMM:</a:t>
            </a:r>
            <a:r>
              <a:rPr lang="es-ES" baseline="0"/>
              <a:t> Xeon, ICCO0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80429308836395463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Secuencial (-o0)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('normal (i3)'!$C$2,'normal (i3)'!$C$5,'normal (i3)'!$C$8)</c:f>
              <c:strCache>
                <c:ptCount val="3"/>
                <c:pt idx="0">
                  <c:v>1000x1001x999</c:v>
                </c:pt>
                <c:pt idx="1">
                  <c:v>2000x2001x1999</c:v>
                </c:pt>
                <c:pt idx="2">
                  <c:v>3000x3001x2999</c:v>
                </c:pt>
              </c:strCache>
            </c:strRef>
          </c:cat>
          <c:val>
            <c:numRef>
              <c:f>normal!$G$17:$G$19</c:f>
              <c:numCache>
                <c:formatCode>General</c:formatCode>
                <c:ptCount val="3"/>
                <c:pt idx="0">
                  <c:v>109.40703868865999</c:v>
                </c:pt>
                <c:pt idx="1">
                  <c:v>769.47196078300499</c:v>
                </c:pt>
                <c:pt idx="2">
                  <c:v>1842.4922842979399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E-472F-A3E8-7E146F3D9418}"/>
            </c:ext>
          </c:extLst>
        </c:ser>
        <c:ser>
          <c:idx val="1"/>
          <c:order val="1"/>
          <c:tx>
            <c:v>Paralelo (-o0)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('normal (i3)'!$C$2,'normal (i3)'!$C$5,'normal (i3)'!$C$8)</c:f>
              <c:strCache>
                <c:ptCount val="3"/>
                <c:pt idx="0">
                  <c:v>1000x1001x999</c:v>
                </c:pt>
                <c:pt idx="1">
                  <c:v>2000x2001x1999</c:v>
                </c:pt>
                <c:pt idx="2">
                  <c:v>3000x3001x2999</c:v>
                </c:pt>
              </c:strCache>
            </c:strRef>
          </c:cat>
          <c:val>
            <c:numRef>
              <c:f>normal!$R$17:$R$19</c:f>
              <c:numCache>
                <c:formatCode>General</c:formatCode>
                <c:ptCount val="3"/>
                <c:pt idx="0">
                  <c:v>14.953177452087401</c:v>
                </c:pt>
                <c:pt idx="1">
                  <c:v>101.127728939056</c:v>
                </c:pt>
                <c:pt idx="2">
                  <c:v>238.538269758224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E-472F-A3E8-7E146F3D9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577664"/>
        <c:axId val="684583240"/>
      </c:lineChart>
      <c:catAx>
        <c:axId val="68457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del problema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4583240"/>
        <c:crosses val="autoZero"/>
        <c:auto val="1"/>
        <c:lblAlgn val="ctr"/>
        <c:lblOffset val="100"/>
        <c:noMultiLvlLbl val="0"/>
      </c:catAx>
      <c:valAx>
        <c:axId val="68458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457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511023622047247"/>
          <c:y val="0.21837890055409739"/>
          <c:w val="0.2448897637795275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Speedups entre ej. en secuencial y en paralelo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ICCO0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(normal!$B$4,normal!$B$13,normal!$B$22)</c:f>
              <c:strCache>
                <c:ptCount val="3"/>
                <c:pt idx="0">
                  <c:v>i3</c:v>
                </c:pt>
                <c:pt idx="1">
                  <c:v>Xeon</c:v>
                </c:pt>
                <c:pt idx="2">
                  <c:v>Ryzen</c:v>
                </c:pt>
              </c:strCache>
            </c:strRef>
          </c:cat>
          <c:val>
            <c:numRef>
              <c:f>(normal!$R$11,normal!$R$20,normal!$R$29)</c:f>
              <c:numCache>
                <c:formatCode>0.00000%</c:formatCode>
                <c:ptCount val="3"/>
                <c:pt idx="0">
                  <c:v>0.49283727161370683</c:v>
                </c:pt>
                <c:pt idx="1">
                  <c:v>0.87053499665041134</c:v>
                </c:pt>
                <c:pt idx="2">
                  <c:v>0.86470094664738095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5-419C-B0CD-F4D71E83A574}"/>
            </c:ext>
          </c:extLst>
        </c:ser>
        <c:ser>
          <c:idx val="1"/>
          <c:order val="1"/>
          <c:tx>
            <c:v>ICCO3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(normal!$B$4,normal!$B$13,normal!$B$22)</c:f>
              <c:strCache>
                <c:ptCount val="3"/>
                <c:pt idx="0">
                  <c:v>i3</c:v>
                </c:pt>
                <c:pt idx="1">
                  <c:v>Xeon</c:v>
                </c:pt>
                <c:pt idx="2">
                  <c:v>Ryzen</c:v>
                </c:pt>
              </c:strCache>
            </c:strRef>
          </c:cat>
          <c:val>
            <c:numRef>
              <c:f>(normal!$S$11,normal!$S$20,normal!$S$29)</c:f>
              <c:numCache>
                <c:formatCode>0.00000%</c:formatCode>
                <c:ptCount val="3"/>
                <c:pt idx="0">
                  <c:v>0.23646572076986461</c:v>
                </c:pt>
                <c:pt idx="1">
                  <c:v>0.81053206372937137</c:v>
                </c:pt>
                <c:pt idx="2">
                  <c:v>0.7340835572967277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5-419C-B0CD-F4D71E83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576680"/>
        <c:axId val="684581928"/>
      </c:barChart>
      <c:catAx>
        <c:axId val="68457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4581928"/>
        <c:crosses val="autoZero"/>
        <c:auto val="1"/>
        <c:lblAlgn val="ctr"/>
        <c:lblOffset val="100"/>
        <c:noMultiLvlLbl val="0"/>
      </c:catAx>
      <c:valAx>
        <c:axId val="68458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4576680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Speedup entre</a:t>
            </a:r>
            <a:r>
              <a:rPr lang="es-ES" baseline="0"/>
              <a:t> ICCO0 e ICCO3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Secuencial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(normal!$B$4,normal!$B$13,normal!$B$22)</c:f>
              <c:strCache>
                <c:ptCount val="3"/>
                <c:pt idx="0">
                  <c:v>i3</c:v>
                </c:pt>
                <c:pt idx="1">
                  <c:v>Xeon</c:v>
                </c:pt>
                <c:pt idx="2">
                  <c:v>Ryzen</c:v>
                </c:pt>
              </c:strCache>
            </c:strRef>
          </c:cat>
          <c:val>
            <c:numRef>
              <c:f>(normal!$I$11,normal!$I$20,normal!$I$29)</c:f>
              <c:numCache>
                <c:formatCode>0.000000%</c:formatCode>
                <c:ptCount val="3"/>
                <c:pt idx="0">
                  <c:v>0.90276341062122956</c:v>
                </c:pt>
                <c:pt idx="1">
                  <c:v>0.89831307393653415</c:v>
                </c:pt>
                <c:pt idx="2">
                  <c:v>0.91052446867370518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6-4B2A-8B48-800F96C2E1BC}"/>
            </c:ext>
          </c:extLst>
        </c:ser>
        <c:ser>
          <c:idx val="1"/>
          <c:order val="1"/>
          <c:tx>
            <c:v>Paralelo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(normal!$B$4,normal!$B$13,normal!$B$22)</c:f>
              <c:strCache>
                <c:ptCount val="3"/>
                <c:pt idx="0">
                  <c:v>i3</c:v>
                </c:pt>
                <c:pt idx="1">
                  <c:v>Xeon</c:v>
                </c:pt>
                <c:pt idx="2">
                  <c:v>Ryzen</c:v>
                </c:pt>
              </c:strCache>
            </c:strRef>
          </c:cat>
          <c:val>
            <c:numRef>
              <c:f>(normal!$T$11,normal!$T$20,normal!$T$29)</c:f>
              <c:numCache>
                <c:formatCode>0.0000%</c:formatCode>
                <c:ptCount val="3"/>
                <c:pt idx="0" formatCode="0.000000%">
                  <c:v>0.85356914030671127</c:v>
                </c:pt>
                <c:pt idx="1">
                  <c:v>0.83821672876487174</c:v>
                </c:pt>
                <c:pt idx="2" formatCode="0.00000%">
                  <c:v>0.81726544937469114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6-4B2A-8B48-800F96C2E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282416"/>
        <c:axId val="682274872"/>
      </c:barChart>
      <c:catAx>
        <c:axId val="6822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2274872"/>
        <c:crosses val="autoZero"/>
        <c:auto val="1"/>
        <c:lblAlgn val="ctr"/>
        <c:lblOffset val="100"/>
        <c:noMultiLvlLbl val="0"/>
      </c:catAx>
      <c:valAx>
        <c:axId val="682274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22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entre funciones (Ryzen, ICCO0)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MyDGEMM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(bloques.sh!$C$2,bloques.sh!$C$4,bloques.sh!$C$6)</c:f>
              <c:strCache>
                <c:ptCount val="3"/>
                <c:pt idx="0">
                  <c:v>1000x1000x1000</c:v>
                </c:pt>
                <c:pt idx="1">
                  <c:v>2000x2000x2000</c:v>
                </c:pt>
                <c:pt idx="2">
                  <c:v>3000x3000x3000</c:v>
                </c:pt>
              </c:strCache>
            </c:strRef>
          </c:cat>
          <c:val>
            <c:numRef>
              <c:f>normal!$R$26:$R$28</c:f>
              <c:numCache>
                <c:formatCode>General</c:formatCode>
                <c:ptCount val="3"/>
                <c:pt idx="0">
                  <c:v>4.43943548202515</c:v>
                </c:pt>
                <c:pt idx="1">
                  <c:v>27.000347614288302</c:v>
                </c:pt>
                <c:pt idx="2">
                  <c:v>81.221657514572101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3-4F1B-B0EC-D8A1D22F6D5F}"/>
            </c:ext>
          </c:extLst>
        </c:ser>
        <c:ser>
          <c:idx val="1"/>
          <c:order val="1"/>
          <c:tx>
            <c:v>MyDGEMMT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(bloques.sh!$C$2,bloques.sh!$C$4,bloques.sh!$C$6)</c:f>
              <c:strCache>
                <c:ptCount val="3"/>
                <c:pt idx="0">
                  <c:v>1000x1000x1000</c:v>
                </c:pt>
                <c:pt idx="1">
                  <c:v>2000x2000x2000</c:v>
                </c:pt>
                <c:pt idx="2">
                  <c:v>3000x3000x3000</c:v>
                </c:pt>
              </c:strCache>
            </c:strRef>
          </c:cat>
          <c:val>
            <c:numRef>
              <c:f>tasks.sh!$F$11:$F$13</c:f>
              <c:numCache>
                <c:formatCode>General</c:formatCode>
                <c:ptCount val="3"/>
                <c:pt idx="0">
                  <c:v>9.0486795902252197</c:v>
                </c:pt>
                <c:pt idx="1">
                  <c:v>59.631806612014799</c:v>
                </c:pt>
                <c:pt idx="2">
                  <c:v>170.62195348739601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3-4F1B-B0EC-D8A1D22F6D5F}"/>
            </c:ext>
          </c:extLst>
        </c:ser>
        <c:ser>
          <c:idx val="2"/>
          <c:order val="2"/>
          <c:tx>
            <c:v>MyDGEMMB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(bloques.sh!$C$2,bloques.sh!$C$4,bloques.sh!$C$6)</c:f>
              <c:strCache>
                <c:ptCount val="3"/>
                <c:pt idx="0">
                  <c:v>1000x1000x1000</c:v>
                </c:pt>
                <c:pt idx="1">
                  <c:v>2000x2000x2000</c:v>
                </c:pt>
                <c:pt idx="2">
                  <c:v>3000x3000x3000</c:v>
                </c:pt>
              </c:strCache>
            </c:strRef>
          </c:cat>
          <c:val>
            <c:numRef>
              <c:f>bloques.sh!$N$21:$N$23</c:f>
              <c:numCache>
                <c:formatCode>General</c:formatCode>
                <c:ptCount val="3"/>
                <c:pt idx="0">
                  <c:v>4.8317327499389702</c:v>
                </c:pt>
                <c:pt idx="1">
                  <c:v>27.796392679214499</c:v>
                </c:pt>
                <c:pt idx="2">
                  <c:v>67.768622636795001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83-4F1B-B0EC-D8A1D22F6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098152"/>
        <c:axId val="748098480"/>
      </c:lineChart>
      <c:catAx>
        <c:axId val="748098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del problema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8098480"/>
        <c:crosses val="autoZero"/>
        <c:auto val="1"/>
        <c:lblAlgn val="ctr"/>
        <c:lblOffset val="100"/>
        <c:noMultiLvlLbl val="0"/>
      </c:catAx>
      <c:valAx>
        <c:axId val="7480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ejecución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809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Rendimiento</a:t>
            </a:r>
            <a:r>
              <a:rPr lang="es-ES" baseline="0"/>
              <a:t> analítico vs. empírico (MyDGEMMT)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tasks.sh!$E$10</c:f>
              <c:strCache>
                <c:ptCount val="1"/>
                <c:pt idx="0">
                  <c:v>Teórico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(tasks.sh!$C$2,tasks.sh!$C$4,tasks.sh!$C$6)</c:f>
              <c:strCache>
                <c:ptCount val="3"/>
                <c:pt idx="0">
                  <c:v>1000x1001x999</c:v>
                </c:pt>
                <c:pt idx="1">
                  <c:v>2000x2001x1999</c:v>
                </c:pt>
                <c:pt idx="2">
                  <c:v>3000x3001x2999</c:v>
                </c:pt>
              </c:strCache>
            </c:strRef>
          </c:cat>
          <c:val>
            <c:numRef>
              <c:f>tasks.sh!$E$11:$E$13</c:f>
              <c:numCache>
                <c:formatCode>0.00E+00</c:formatCode>
                <c:ptCount val="3"/>
                <c:pt idx="0">
                  <c:v>3.4774322916666663E-2</c:v>
                </c:pt>
                <c:pt idx="1">
                  <c:v>0.27798614583333331</c:v>
                </c:pt>
                <c:pt idx="2">
                  <c:v>0.93796880208333333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6-4D19-BB6E-EB34D3BA181E}"/>
            </c:ext>
          </c:extLst>
        </c:ser>
        <c:ser>
          <c:idx val="1"/>
          <c:order val="1"/>
          <c:tx>
            <c:strRef>
              <c:f>tasks.sh!$F$10</c:f>
              <c:strCache>
                <c:ptCount val="1"/>
                <c:pt idx="0">
                  <c:v>Empírico O0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(tasks.sh!$C$2,tasks.sh!$C$4,tasks.sh!$C$6)</c:f>
              <c:strCache>
                <c:ptCount val="3"/>
                <c:pt idx="0">
                  <c:v>1000x1001x999</c:v>
                </c:pt>
                <c:pt idx="1">
                  <c:v>2000x2001x1999</c:v>
                </c:pt>
                <c:pt idx="2">
                  <c:v>3000x3001x2999</c:v>
                </c:pt>
              </c:strCache>
            </c:strRef>
          </c:cat>
          <c:val>
            <c:numRef>
              <c:f>tasks.sh!$F$11:$F$13</c:f>
              <c:numCache>
                <c:formatCode>General</c:formatCode>
                <c:ptCount val="3"/>
                <c:pt idx="0">
                  <c:v>9.0486795902252197</c:v>
                </c:pt>
                <c:pt idx="1">
                  <c:v>59.631806612014799</c:v>
                </c:pt>
                <c:pt idx="2">
                  <c:v>170.62195348739601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6-4D19-BB6E-EB34D3BA181E}"/>
            </c:ext>
          </c:extLst>
        </c:ser>
        <c:ser>
          <c:idx val="2"/>
          <c:order val="2"/>
          <c:tx>
            <c:strRef>
              <c:f>tasks.sh!$G$10</c:f>
              <c:strCache>
                <c:ptCount val="1"/>
                <c:pt idx="0">
                  <c:v>Empírico O3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(tasks.sh!$C$2,tasks.sh!$C$4,tasks.sh!$C$6)</c:f>
              <c:strCache>
                <c:ptCount val="3"/>
                <c:pt idx="0">
                  <c:v>1000x1001x999</c:v>
                </c:pt>
                <c:pt idx="1">
                  <c:v>2000x2001x1999</c:v>
                </c:pt>
                <c:pt idx="2">
                  <c:v>3000x3001x2999</c:v>
                </c:pt>
              </c:strCache>
            </c:strRef>
          </c:cat>
          <c:val>
            <c:numRef>
              <c:f>tasks.sh!$G$11:$G$13</c:f>
              <c:numCache>
                <c:formatCode>General</c:formatCode>
                <c:ptCount val="3"/>
                <c:pt idx="0">
                  <c:v>0.50904870033264205</c:v>
                </c:pt>
                <c:pt idx="1">
                  <c:v>6.3909792900085503</c:v>
                </c:pt>
                <c:pt idx="2">
                  <c:v>16.998695373535199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B6-4D19-BB6E-EB34D3BA1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846360"/>
        <c:axId val="674849968"/>
      </c:lineChart>
      <c:catAx>
        <c:axId val="67484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4849968"/>
        <c:crosses val="autoZero"/>
        <c:auto val="1"/>
        <c:lblAlgn val="ctr"/>
        <c:lblOffset val="100"/>
        <c:noMultiLvlLbl val="0"/>
      </c:catAx>
      <c:valAx>
        <c:axId val="6748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484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30</xdr:row>
      <xdr:rowOff>9525</xdr:rowOff>
    </xdr:from>
    <xdr:to>
      <xdr:col>7</xdr:col>
      <xdr:colOff>759102</xdr:colOff>
      <xdr:row>47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708D15-8DBA-4436-AAFD-1602B8706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593034</xdr:colOff>
      <xdr:row>30</xdr:row>
      <xdr:rowOff>79927</xdr:rowOff>
    </xdr:from>
    <xdr:to>
      <xdr:col>20</xdr:col>
      <xdr:colOff>742536</xdr:colOff>
      <xdr:row>47</xdr:row>
      <xdr:rowOff>160889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3FBAA9-CC19-457E-8957-188996D12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304800</xdr:colOff>
      <xdr:row>51</xdr:row>
      <xdr:rowOff>147637</xdr:rowOff>
    </xdr:from>
    <xdr:to>
      <xdr:col>19</xdr:col>
      <xdr:colOff>304800</xdr:colOff>
      <xdr:row>66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F423342-C561-6739-CE2E-D7AC00614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123825</xdr:colOff>
      <xdr:row>51</xdr:row>
      <xdr:rowOff>119062</xdr:rowOff>
    </xdr:from>
    <xdr:to>
      <xdr:col>7</xdr:col>
      <xdr:colOff>123825</xdr:colOff>
      <xdr:row>66</xdr:row>
      <xdr:rowOff>4762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C0E47A6-A161-7596-DAF8-D50385679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428625</xdr:colOff>
      <xdr:row>51</xdr:row>
      <xdr:rowOff>128587</xdr:rowOff>
    </xdr:from>
    <xdr:to>
      <xdr:col>13</xdr:col>
      <xdr:colOff>47625</xdr:colOff>
      <xdr:row>66</xdr:row>
      <xdr:rowOff>14287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F2866AE-DB4B-2A97-0B95-54ADD721F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881062</xdr:colOff>
      <xdr:row>31</xdr:row>
      <xdr:rowOff>14287</xdr:rowOff>
    </xdr:from>
    <xdr:to>
      <xdr:col>13</xdr:col>
      <xdr:colOff>500062</xdr:colOff>
      <xdr:row>45</xdr:row>
      <xdr:rowOff>90487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28732C5-DD4A-3F06-11FA-D09B2D39D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466725</xdr:colOff>
      <xdr:row>67</xdr:row>
      <xdr:rowOff>14287</xdr:rowOff>
    </xdr:from>
    <xdr:to>
      <xdr:col>13</xdr:col>
      <xdr:colOff>85725</xdr:colOff>
      <xdr:row>81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633786C-9B5E-5045-B8C5-9CC4E3738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0</xdr:row>
      <xdr:rowOff>185737</xdr:rowOff>
    </xdr:from>
    <xdr:to>
      <xdr:col>13</xdr:col>
      <xdr:colOff>728662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D4ABA7-A456-6B31-F5EB-4B40E0500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7D1FE3-9485-4092-922F-FBE9ED32ECCC}" name="Tabla10" displayName="Tabla10" ref="B7:I11" totalsRowCount="1" tableBorderDxfId="20">
  <autoFilter ref="B7:I10" xr:uid="{E67D1FE3-9485-4092-922F-FBE9ED32ECCC}"/>
  <tableColumns count="8">
    <tableColumn id="1" xr3:uid="{09701823-453F-4A9A-868D-CAD0874C4B54}" name="m"/>
    <tableColumn id="2" xr3:uid="{8FD381EF-3952-44DA-A316-151A7903751C}" name="n">
      <calculatedColumnFormula>B8+1</calculatedColumnFormula>
    </tableColumn>
    <tableColumn id="3" xr3:uid="{F2E3D76D-31F6-4B65-9CB7-2E07B98A0DEE}" name="k">
      <calculatedColumnFormula>B8-1</calculatedColumnFormula>
    </tableColumn>
    <tableColumn id="4" xr3:uid="{590152C8-5DBE-4B01-9E10-C75567439D8F}" name="nº flop" dataDxfId="19" totalsRowDxfId="12">
      <calculatedColumnFormula>Tabla10[[#This Row],[m]]*Tabla10[[#This Row],[n]]*(2*Tabla10[[#This Row],[k]]+3)</calculatedColumnFormula>
    </tableColumn>
    <tableColumn id="6" xr3:uid="{6508A781-885C-49F8-9364-69B2C9093D3C}" name="Teórico" dataDxfId="18" totalsRowDxfId="11">
      <calculatedColumnFormula>Tabla10[[#This Row],[nº flop]]*M$5</calculatedColumnFormula>
    </tableColumn>
    <tableColumn id="7" xr3:uid="{4DDC6E50-E9B1-41D0-95EF-83BE7F9BE5C0}" name="Empírico O0"/>
    <tableColumn id="8" xr3:uid="{98E667FB-9B3D-42C6-A30D-1FDDF300340D}" name="Empírico O3"/>
    <tableColumn id="9" xr3:uid="{4A321195-1195-4B23-943E-57A2523DFC36}" name="Diferencia" totalsRowFunction="custom" dataDxfId="17" totalsRowDxfId="10" dataCellStyle="Porcentaje" totalsRowCellStyle="Porcentaje">
      <calculatedColumnFormula>1-Tabla10[[#This Row],[Empírico O3]]/Tabla10[[#This Row],[Empírico O0]]</calculatedColumnFormula>
      <totalsRowFormula>AVERAGE(Tabla10[Diferencia])</totalsRow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9746CE-831D-4A0D-82E7-6BB67408AAA9}" name="Tabla3" displayName="Tabla3" ref="A1:F10" totalsRowShown="0">
  <autoFilter ref="A1:F10" xr:uid="{C39746CE-831D-4A0D-82E7-6BB67408AAA9}"/>
  <tableColumns count="6">
    <tableColumn id="1" xr3:uid="{AD796AF2-CFB9-4D24-8246-ED015AAE491D}" name="Function"/>
    <tableColumn id="2" xr3:uid="{04351C27-6951-41A9-A385-8DB356E22E90}" name="Library"/>
    <tableColumn id="3" xr3:uid="{45BEA3E2-9583-4503-85DA-0F82FCC9F45A}" name="Size"/>
    <tableColumn id="4" xr3:uid="{A7CC41BC-C04D-4C3F-99C0-DEF1AF5B8D49}" name="Repetitions"/>
    <tableColumn id="5" xr3:uid="{89C64EF5-DADA-4C9E-9D98-FBCEFB0F0A41}" name="Time"/>
    <tableColumn id="6" xr3:uid="{A768D95D-EF89-4A9F-AEAF-4D1587237CBC}" name="Error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013665-0C5C-4E7E-A1AD-F09DA5A797A4}" name="Tabla4" displayName="Tabla4" ref="A13:F19" totalsRowShown="0">
  <autoFilter ref="A13:F19" xr:uid="{2F013665-0C5C-4E7E-A1AD-F09DA5A797A4}"/>
  <tableColumns count="6">
    <tableColumn id="1" xr3:uid="{679FEBF6-64E5-43B1-8CD4-91506F7355C2}" name="Function"/>
    <tableColumn id="2" xr3:uid="{2CF58B86-40FE-48FC-BB2B-A2F2DB56A666}" name="Library"/>
    <tableColumn id="3" xr3:uid="{970EE0A7-F5AE-4234-82DC-41B53A75E6E1}" name="Size"/>
    <tableColumn id="4" xr3:uid="{A3195D28-086E-4B52-BC67-B31358C0BE21}" name="Repetitions"/>
    <tableColumn id="5" xr3:uid="{33A5F9AE-8D3C-46EA-B916-EBF922E5FDB8}" name="Time"/>
    <tableColumn id="6" xr3:uid="{41AC2E70-E52D-4040-B012-CF8C8C1AA300}" name="Error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5D3165-9936-452E-9170-B5338913BA82}" name="Tabla1" displayName="Tabla1" ref="A1:G10" totalsRowShown="0">
  <autoFilter ref="A1:G10" xr:uid="{D85D3165-9936-452E-9170-B5338913BA82}"/>
  <tableColumns count="7">
    <tableColumn id="1" xr3:uid="{344F619E-6B2C-471F-8A45-DE81EFA66DDD}" name="Function"/>
    <tableColumn id="2" xr3:uid="{E13796F3-7985-4237-A1D2-914FD0ECE029}" name="Library"/>
    <tableColumn id="3" xr3:uid="{763BCD53-4F4F-4A97-B314-CB2C6C05DCA4}" name="Size"/>
    <tableColumn id="4" xr3:uid="{915972D5-85B2-4D2E-8A3F-A1E28DF1E676}" name="Repetitions"/>
    <tableColumn id="5" xr3:uid="{D86905E1-ACC8-4356-B956-062712A333BA}" name="Time"/>
    <tableColumn id="6" xr3:uid="{5930A6A6-DBC7-4CED-B142-6292738C4C03}" name="Error"/>
    <tableColumn id="7" xr3:uid="{206A38A7-FC78-4313-9AF5-7A4A86B8E27D}" name="Type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89CF6A-0753-4D54-88B0-45CE307EFF17}" name="Tabla2" displayName="Tabla2" ref="A13:G19" totalsRowShown="0">
  <autoFilter ref="A13:G19" xr:uid="{2789CF6A-0753-4D54-88B0-45CE307EFF17}"/>
  <tableColumns count="7">
    <tableColumn id="1" xr3:uid="{BE6A0ABF-723C-4B3F-BBF3-4A15115B8FD6}" name="Function"/>
    <tableColumn id="2" xr3:uid="{61C69FAC-B7D6-4932-8092-315BE20ECA1C}" name="Library"/>
    <tableColumn id="3" xr3:uid="{C4D83CDC-B873-455F-B833-D3B6120FB5B3}" name="Size"/>
    <tableColumn id="4" xr3:uid="{BC227D3F-857F-430D-8176-32FFBF496959}" name="Repetitions"/>
    <tableColumn id="5" xr3:uid="{41F078D5-0401-4832-80EA-52F595E660A1}" name="Time"/>
    <tableColumn id="6" xr3:uid="{D7411115-6C19-4D67-8F58-7FA102F65EB4}" name="Error"/>
    <tableColumn id="7" xr3:uid="{9E186B4A-040C-42C0-96CA-32EACE352CA0}" name="Type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9BE2C7-D209-412B-87E3-6E68FAD55A66}" name="Tabla5" displayName="Tabla5" ref="A13:G19" totalsRowShown="0">
  <autoFilter ref="A13:G19" xr:uid="{B29BE2C7-D209-412B-87E3-6E68FAD55A66}"/>
  <tableColumns count="7">
    <tableColumn id="1" xr3:uid="{0E9F8C3A-03F6-4F5D-9EEC-BCBFE708BBCA}" name="Function"/>
    <tableColumn id="2" xr3:uid="{CFFCEF3D-2C32-45C5-9EAE-E0962AC398C3}" name="Library"/>
    <tableColumn id="3" xr3:uid="{304914F0-FFCE-469F-A561-0A9CAE1F3BE3}" name="Size"/>
    <tableColumn id="4" xr3:uid="{4330F3D3-82D1-4049-AB12-EFB74274B4FA}" name="Repetitions"/>
    <tableColumn id="5" xr3:uid="{BFE7DF38-89B6-4035-AD2F-117127295E11}" name="Time"/>
    <tableColumn id="6" xr3:uid="{6755C98C-00CA-458D-B749-B922C4ED104F}" name="Error"/>
    <tableColumn id="7" xr3:uid="{0668563A-F237-4672-9F25-424A869129CD}" name="Type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585B98-F50C-45BC-9BDF-DDEB2BF93570}" name="Tabla6" displayName="Tabla6" ref="A1:G10" totalsRowShown="0">
  <autoFilter ref="A1:G10" xr:uid="{AD585B98-F50C-45BC-9BDF-DDEB2BF93570}"/>
  <tableColumns count="7">
    <tableColumn id="1" xr3:uid="{7696200F-6091-4E06-8FFC-0642233E95F6}" name="Function"/>
    <tableColumn id="2" xr3:uid="{977ABFEF-3B4C-4B50-8F38-788BAC147441}" name="Library"/>
    <tableColumn id="3" xr3:uid="{FF20E894-D167-475F-97C0-E2A9B52F39AA}" name="Size"/>
    <tableColumn id="4" xr3:uid="{253063DA-F4EE-4F6A-8042-4EC4B027E7BC}" name="Repetitions"/>
    <tableColumn id="5" xr3:uid="{7732339E-4BD0-4C86-877B-C11697EB88CD}" name="Time"/>
    <tableColumn id="6" xr3:uid="{2A9593CC-D3D4-4AC5-812D-0C1AE8D66E56}" name="Error"/>
    <tableColumn id="7" xr3:uid="{6D7774D7-C249-4F95-AC72-824D5BDF5D92}" name="Type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9063663-6D4F-4B4D-8B81-F0B01F8E259E}" name="Tabla7" displayName="Tabla7" ref="A1:G7" totalsRowShown="0">
  <autoFilter ref="A1:G7" xr:uid="{19063663-6D4F-4B4D-8B81-F0B01F8E259E}"/>
  <tableColumns count="7">
    <tableColumn id="1" xr3:uid="{13AA93DC-27F7-4117-8203-8928C9151240}" name="Function"/>
    <tableColumn id="2" xr3:uid="{22ABC70B-D227-4536-9AC6-05E60DD259E3}" name="Library"/>
    <tableColumn id="3" xr3:uid="{A6C14F1C-4354-4636-9275-C91C8C05ECAB}" name="Size"/>
    <tableColumn id="4" xr3:uid="{A413BCC6-E7E8-4BF1-A0C4-E688DAFC7FF0}" name="Repetitions"/>
    <tableColumn id="5" xr3:uid="{DD7B1D10-EC5D-4E0E-B736-20EFFBDAB654}" name="Time"/>
    <tableColumn id="6" xr3:uid="{5CB65F40-4EF9-449C-8F9D-EA3B09CD270A}" name="Error"/>
    <tableColumn id="7" xr3:uid="{9C08D049-9925-4B11-9BC4-4CE2A00B353D}" name="Type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284D7AE-1954-4235-813F-C2FBED10A926}" name="Tabla101528" displayName="Tabla101528" ref="A10:G13" totalsRowShown="0" tableBorderDxfId="45">
  <autoFilter ref="A10:G13" xr:uid="{2284D7AE-1954-4235-813F-C2FBED10A926}"/>
  <tableColumns count="7">
    <tableColumn id="1" xr3:uid="{BB72AC2B-8060-4428-B0F3-58D422DC683B}" name="m"/>
    <tableColumn id="2" xr3:uid="{5870C777-DC0F-4F2F-9FCE-C10B2DC859E0}" name="n">
      <calculatedColumnFormula>A11+1</calculatedColumnFormula>
    </tableColumn>
    <tableColumn id="3" xr3:uid="{6AE24CD8-181C-4125-90A8-AA9EA0F30295}" name="k">
      <calculatedColumnFormula>A11-1</calculatedColumnFormula>
    </tableColumn>
    <tableColumn id="4" xr3:uid="{CEDADCFA-4423-4365-B8C2-7EFBB411F19D}" name="nº flop" dataDxfId="44">
      <calculatedColumnFormula>Tabla101528[[#This Row],[m]]*Tabla101528[[#This Row],[n]]*(2*Tabla101528[[#This Row],[k]]+3)</calculatedColumnFormula>
    </tableColumn>
    <tableColumn id="6" xr3:uid="{62C2E5EA-43AD-4C3C-A2B3-5A31861C9929}" name="Teórico" dataDxfId="43">
      <calculatedColumnFormula>Tabla101528[[#This Row],[nº flop]]*normal!$M$23</calculatedColumnFormula>
    </tableColumn>
    <tableColumn id="7" xr3:uid="{21B5CBE6-8C08-4285-B76B-17E85CEF80D8}" name="Empírico O0"/>
    <tableColumn id="8" xr3:uid="{B3B1267D-E0DA-4BD1-8981-1B6E08D00C8E}" name="Empírico O3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F57CAC8-FDD2-4272-95B7-19899D9F1243}" name="Tabla8" displayName="Tabla8" ref="A10:H16" totalsRowShown="0">
  <autoFilter ref="A10:H16" xr:uid="{9F57CAC8-FDD2-4272-95B7-19899D9F1243}"/>
  <tableColumns count="8">
    <tableColumn id="1" xr3:uid="{B5E4EEE8-BA82-4F1A-AD0E-1AC207394A20}" name="Function"/>
    <tableColumn id="2" xr3:uid="{3F9544BF-15CD-4AA4-B7C5-E926F975A81C}" name="Library"/>
    <tableColumn id="3" xr3:uid="{19A2AE9E-A127-4DD1-8170-A1A03A88104D}" name="Size"/>
    <tableColumn id="4" xr3:uid="{254C6824-B0DF-438E-B206-6626F3EA40E1}" name="Repetitions"/>
    <tableColumn id="5" xr3:uid="{A045F931-2F95-4082-BE0C-EF091B6FC1C3}" name="Time"/>
    <tableColumn id="6" xr3:uid="{085CF41E-3CC6-4E4D-86BC-799A48CFE9C4}" name="Error"/>
    <tableColumn id="7" xr3:uid="{03F7BDC1-1AA1-4AD1-9080-1B42643F20ED}" name="Type"/>
    <tableColumn id="8" xr3:uid="{15BB3F0C-CB48-48C6-8E3C-3CFF6A869170}" name="BlockSize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2D223CC-A71B-4F3A-9BFD-470C33193F73}" name="Tabla9" displayName="Tabla9" ref="A1:H7" totalsRowShown="0">
  <autoFilter ref="A1:H7" xr:uid="{C2D223CC-A71B-4F3A-9BFD-470C33193F73}"/>
  <tableColumns count="8">
    <tableColumn id="1" xr3:uid="{AB4E048A-3175-40BE-BD0B-09A4DEFE659F}" name="Function"/>
    <tableColumn id="2" xr3:uid="{0C97281F-922C-405D-9D05-C9133BF64BBC}" name="Library"/>
    <tableColumn id="3" xr3:uid="{1549C63D-A425-463D-BB67-3559F44E54D1}" name="Size"/>
    <tableColumn id="4" xr3:uid="{F7128EF7-8F06-4684-A0F9-C9D41CC51C3A}" name="Repetitions"/>
    <tableColumn id="5" xr3:uid="{108B96C1-6CEE-46DA-9FFF-9B68BE7E7A9D}" name="Time"/>
    <tableColumn id="6" xr3:uid="{069B7A30-8C65-48BB-B426-2F7F2CF5AE8A}" name="Error"/>
    <tableColumn id="7" xr3:uid="{8115A66C-E2F4-49F3-92F2-AD605E6B6F67}" name="Type"/>
    <tableColumn id="8" xr3:uid="{113170A8-E5DF-4AB1-9F8D-DEEA5F480D1F}" name="BlockSiz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C46D39-6CB0-43BB-8300-4847C17460FD}" name="Tabla1014" displayName="Tabla1014" ref="M7:T10" totalsRowShown="0" tableBorderDxfId="26">
  <autoFilter ref="M7:T10" xr:uid="{26C46D39-6CB0-43BB-8300-4847C17460FD}"/>
  <tableColumns count="8">
    <tableColumn id="1" xr3:uid="{5441CB4F-0DFA-44A2-974F-1C726B09A67C}" name="m"/>
    <tableColumn id="2" xr3:uid="{E87DC5CE-D07B-4DF8-85EA-394EA0C5F36D}" name="n">
      <calculatedColumnFormula>M8+1</calculatedColumnFormula>
    </tableColumn>
    <tableColumn id="3" xr3:uid="{C3001EAD-B049-40B3-9E20-232479F1018D}" name="k">
      <calculatedColumnFormula>M8-1</calculatedColumnFormula>
    </tableColumn>
    <tableColumn id="4" xr3:uid="{B910EAB9-2E16-4188-BE57-62FBFAE9F711}" name="nº flop" dataDxfId="25">
      <calculatedColumnFormula>Tabla1014[[#This Row],[m]]*Tabla1014[[#This Row],[n]]/$K$5*(2*Tabla1014[[#This Row],[k]]+3)</calculatedColumnFormula>
    </tableColumn>
    <tableColumn id="6" xr3:uid="{D7D40AC2-4617-4123-9759-4C703E739CE2}" name="Teórico" dataDxfId="24">
      <calculatedColumnFormula>Tabla1014[[#This Row],[nº flop]]*M$5</calculatedColumnFormula>
    </tableColumn>
    <tableColumn id="7" xr3:uid="{0677C2E3-69E1-427D-9749-B50C858ADCCB}" name="Empírico O0"/>
    <tableColumn id="8" xr3:uid="{C7990F3B-4C88-424C-B2C6-59A5CD275933}" name="Empírico O3"/>
    <tableColumn id="9" xr3:uid="{79D9C264-0071-47C7-8981-9F05173A0F29}" name="Diferencia" dataDxfId="16" dataCellStyle="Porcentaje">
      <calculatedColumnFormula>1-Tabla1014[[#This Row],[Empírico O3]]/Tabla1014[[#This Row],[Empírico O0]]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7AD8E4E-FEB4-4755-AA98-67643CEF39D4}" name="Tabla10151729" displayName="Tabla10151729" ref="A20:G23" totalsRowShown="0" tableBorderDxfId="42">
  <autoFilter ref="A20:G23" xr:uid="{F7AD8E4E-FEB4-4755-AA98-67643CEF39D4}"/>
  <tableColumns count="7">
    <tableColumn id="1" xr3:uid="{C95035A0-F61F-4691-9869-D03F260F6078}" name="m"/>
    <tableColumn id="2" xr3:uid="{7BDD2C16-E9D8-4C7E-83A7-1B86762F8F31}" name="n" dataDxfId="37">
      <calculatedColumnFormula>A21</calculatedColumnFormula>
    </tableColumn>
    <tableColumn id="3" xr3:uid="{55AC7438-7EF8-4896-B9DC-D14B7BE74248}" name="k" dataDxfId="36">
      <calculatedColumnFormula>A21</calculatedColumnFormula>
    </tableColumn>
    <tableColumn id="4" xr3:uid="{2A710439-7DA3-467C-92E4-30023F8B11A2}" name="nº flop" dataDxfId="39">
      <calculatedColumnFormula>Tabla10151729[[#This Row],[n]]^2+30*Tabla10151729[[#This Row],[n]]</calculatedColumnFormula>
    </tableColumn>
    <tableColumn id="6" xr3:uid="{0C5795CB-8D4D-45A9-B9B6-5B05D491EF7F}" name="Teórico" dataDxfId="40">
      <calculatedColumnFormula>Tabla10151729[[#This Row],[nº flop]]*normal!$M$23</calculatedColumnFormula>
    </tableColumn>
    <tableColumn id="7" xr3:uid="{B8EAF902-BB16-42D8-93CF-1D5C9358B4EE}" name="Empírico O0"/>
    <tableColumn id="8" xr3:uid="{122A5D8B-82B7-4829-B854-C6ED05E92AB1}" name="Empírico O3"/>
  </tableColumns>
  <tableStyleInfo name="TableStyleMedium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D8887CA-035B-43D1-9185-4B2C583BE446}" name="Tabla1014161830" displayName="Tabla1014161830" ref="I20:O23" totalsRowShown="0" tableBorderDxfId="41">
  <autoFilter ref="I20:O23" xr:uid="{0D8887CA-035B-43D1-9185-4B2C583BE446}"/>
  <tableColumns count="7">
    <tableColumn id="1" xr3:uid="{D30E9967-91C2-4226-B96C-CFBC871354CD}" name="m"/>
    <tableColumn id="2" xr3:uid="{7D347DCB-6475-499A-AD0E-7F3DFE5EB8D1}" name="n" dataDxfId="35">
      <calculatedColumnFormula>I21</calculatedColumnFormula>
    </tableColumn>
    <tableColumn id="3" xr3:uid="{3F274490-EC9D-46AD-8D0E-F4358C8B16B9}" name="k" dataDxfId="34">
      <calculatedColumnFormula>I21</calculatedColumnFormula>
    </tableColumn>
    <tableColumn id="4" xr3:uid="{31069735-9ED9-44C8-AD9B-F252FBF2A809}" name="nº flop" dataDxfId="38">
      <calculatedColumnFormula>Tabla1014161830[[#This Row],[n]]^2/normal!$K$23+30*Tabla1014161830[[#This Row],[n]]/normal!$K$23</calculatedColumnFormula>
    </tableColumn>
    <tableColumn id="6" xr3:uid="{4EBBCA85-A924-4DBD-93A0-307F7450D2C3}" name="Teórico" dataDxfId="33">
      <calculatedColumnFormula>Tabla1014161830[[#This Row],[nº flop]]*normal!$M$23</calculatedColumnFormula>
    </tableColumn>
    <tableColumn id="7" xr3:uid="{9A4DF760-4015-4FDD-B5AD-60566300FE70}" name="Empírico O0"/>
    <tableColumn id="8" xr3:uid="{75C4A8ED-9E13-4290-AE28-CDD3CD93E63B}" name="Empírico O3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CC7047C-49AD-4E8A-ABE0-7A67E4ECDB10}" name="Tabla1015" displayName="Tabla1015" ref="B16:I20" totalsRowCount="1" tableBorderDxfId="9">
  <autoFilter ref="B16:I19" xr:uid="{1CC7047C-49AD-4E8A-ABE0-7A67E4ECDB10}"/>
  <tableColumns count="8">
    <tableColumn id="1" xr3:uid="{D603E403-2E50-40F4-A943-A762E7C04C6D}" name="m"/>
    <tableColumn id="2" xr3:uid="{1620579C-DB5A-4533-A538-B8DBE1870CB3}" name="n">
      <calculatedColumnFormula>B17+1</calculatedColumnFormula>
    </tableColumn>
    <tableColumn id="3" xr3:uid="{60E94413-2B30-4FFD-8F82-03CA8F3FBD0A}" name="k">
      <calculatedColumnFormula>B17-1</calculatedColumnFormula>
    </tableColumn>
    <tableColumn id="4" xr3:uid="{E3FBC4B6-694E-439D-B54C-2B8CAFDC71D1}" name="nº flop" dataDxfId="8" totalsRowDxfId="5">
      <calculatedColumnFormula>Tabla1015[[#This Row],[m]]*Tabla1015[[#This Row],[n]]*(2*Tabla1015[[#This Row],[k]]+3)</calculatedColumnFormula>
    </tableColumn>
    <tableColumn id="6" xr3:uid="{8F6235D6-97AD-4B5A-91A4-49FBEADB41C1}" name="Teórico" dataDxfId="7" totalsRowDxfId="4">
      <calculatedColumnFormula>Tabla1015[[#This Row],[nº flop]]*M$14</calculatedColumnFormula>
    </tableColumn>
    <tableColumn id="7" xr3:uid="{C6BA7C2A-1053-4A5E-B0EA-CE1F7010C502}" name="Empírico O0"/>
    <tableColumn id="8" xr3:uid="{34FE29B8-8835-4435-94B6-A26EAFFF9506}" name="Empírico O3"/>
    <tableColumn id="9" xr3:uid="{0A5EC747-9B85-476E-B08D-1004F401AAA1}" name="Diferencia" totalsRowFunction="custom" dataDxfId="6" totalsRowDxfId="3" dataCellStyle="Porcentaje" totalsRowCellStyle="Porcentaje">
      <calculatedColumnFormula>1-Tabla1015[[#This Row],[Empírico O3]]/Tabla1015[[#This Row],[Empírico O0]]</calculatedColumnFormula>
      <totalsRowFormula>AVERAGE(Tabla1015[Diferencia])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0010FEF-86CF-4881-A9F0-CD3B074403C5}" name="Tabla101416" displayName="Tabla101416" ref="M16:T19" totalsRowShown="0" tableBorderDxfId="29">
  <autoFilter ref="M16:T19" xr:uid="{E0010FEF-86CF-4881-A9F0-CD3B074403C5}"/>
  <tableColumns count="8">
    <tableColumn id="1" xr3:uid="{B36DDDC2-52B8-49B9-8500-6728CBD6D653}" name="m"/>
    <tableColumn id="2" xr3:uid="{AC41D925-9CAE-4443-B051-9FE733AF11B4}" name="n">
      <calculatedColumnFormula>M17+1</calculatedColumnFormula>
    </tableColumn>
    <tableColumn id="3" xr3:uid="{222887F1-85B0-4B47-A94C-D5E4C9C601E0}" name="k">
      <calculatedColumnFormula>M17-1</calculatedColumnFormula>
    </tableColumn>
    <tableColumn id="4" xr3:uid="{782EF7E9-7E50-460D-BF52-0531C8863F1C}" name="nº flop" dataDxfId="28">
      <calculatedColumnFormula>Tabla101416[[#This Row],[m]]*Tabla101416[[#This Row],[n]]/$K$14*(2*Tabla101416[[#This Row],[k]]+3)</calculatedColumnFormula>
    </tableColumn>
    <tableColumn id="6" xr3:uid="{7430590F-3B63-43D9-9C63-3A272F27AE0F}" name="Teórico" dataDxfId="27">
      <calculatedColumnFormula>Tabla101416[[#This Row],[nº flop]]*M$14</calculatedColumnFormula>
    </tableColumn>
    <tableColumn id="7" xr3:uid="{9FE116AF-0EBB-45CE-8877-D33BF6B76FCF}" name="Empírico O0"/>
    <tableColumn id="8" xr3:uid="{BA213DD8-D0FA-4E76-8F96-1F57B601B4BE}" name="Empírico O3"/>
    <tableColumn id="9" xr3:uid="{E37CC967-B95D-4D03-9A1C-E3209D43B646}" name="Diferencia" dataDxfId="15" dataCellStyle="Porcentaje">
      <calculatedColumnFormula>1-Tabla101416[[#This Row],[Empírico O3]]/Tabla101416[[#This Row],[Empírico O0]]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A88D8A-28B4-4CD6-8AF8-858D0FAB43BD}" name="Tabla101517" displayName="Tabla101517" ref="B25:I29" totalsRowCount="1" tableBorderDxfId="48">
  <autoFilter ref="B25:I28" xr:uid="{60A88D8A-28B4-4CD6-8AF8-858D0FAB43BD}"/>
  <tableColumns count="8">
    <tableColumn id="1" xr3:uid="{315BA49A-D7AD-4AED-ACBC-D11F1745DCB9}" name="m"/>
    <tableColumn id="2" xr3:uid="{D9F623C1-D25F-42FE-918B-33E1D971FF0F}" name="n">
      <calculatedColumnFormula>B26+1</calculatedColumnFormula>
    </tableColumn>
    <tableColumn id="3" xr3:uid="{3B4902EC-1EA4-47A9-9E74-942BD22B9B59}" name="k">
      <calculatedColumnFormula>B26-1</calculatedColumnFormula>
    </tableColumn>
    <tableColumn id="4" xr3:uid="{DDD743D5-3ECD-4838-8AF0-7AD3F2A060D4}" name="nº flop" dataDxfId="47" totalsRowDxfId="2">
      <calculatedColumnFormula>Tabla101517[[#This Row],[m]]*Tabla101517[[#This Row],[n]]*(2*Tabla101517[[#This Row],[k]]+3)</calculatedColumnFormula>
    </tableColumn>
    <tableColumn id="6" xr3:uid="{53669AB4-0E67-48D3-92BF-162FD2B8B076}" name="Teórico" dataDxfId="46" totalsRowDxfId="1">
      <calculatedColumnFormula>Tabla101517[[#This Row],[nº flop]]*M$23</calculatedColumnFormula>
    </tableColumn>
    <tableColumn id="7" xr3:uid="{F3B42DF2-8F26-4E15-90DE-52A3EA5C97A6}" name="Empírico O0"/>
    <tableColumn id="8" xr3:uid="{36031690-944A-4CD9-B4B7-F5BADA151A46}" name="Empírico O3"/>
    <tableColumn id="9" xr3:uid="{D4ADE2BE-5975-4335-AA02-22E0366F5823}" name="Diferencia" totalsRowFunction="custom" dataDxfId="14" totalsRowDxfId="0" dataCellStyle="Porcentaje" totalsRowCellStyle="Porcentaje">
      <calculatedColumnFormula>1-Tabla101517[[#This Row],[Empírico O3]]/Tabla101517[[#This Row],[Empírico O0]]</calculatedColumnFormula>
      <totalsRowFormula>AVERAGE(Tabla101517[Diferencia])</totalsRowFormula>
    </tableColumn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686A9E9-C583-46F5-9E16-1C5077537CDD}" name="Tabla10141618" displayName="Tabla10141618" ref="M25:T28" totalsRowShown="0" tableBorderDxfId="23">
  <autoFilter ref="M25:T28" xr:uid="{3686A9E9-C583-46F5-9E16-1C5077537CDD}"/>
  <tableColumns count="8">
    <tableColumn id="1" xr3:uid="{EED44E13-F69F-4FE1-BBB4-25717F8B29D5}" name="m"/>
    <tableColumn id="2" xr3:uid="{FDED48F7-EE15-4A84-AD38-A25A72F574F4}" name="n">
      <calculatedColumnFormula>M26+1</calculatedColumnFormula>
    </tableColumn>
    <tableColumn id="3" xr3:uid="{67815B6B-C6BD-4485-AD58-AB608FB94678}" name="k">
      <calculatedColumnFormula>M26-1</calculatedColumnFormula>
    </tableColumn>
    <tableColumn id="4" xr3:uid="{673D08F9-949D-47A9-BBE0-D3070E04B0B5}" name="nº flop" dataDxfId="22">
      <calculatedColumnFormula>Tabla10141618[[#This Row],[m]]*Tabla10141618[[#This Row],[n]]/$K$23*(2*Tabla10141618[[#This Row],[k]]+3)</calculatedColumnFormula>
    </tableColumn>
    <tableColumn id="6" xr3:uid="{6F52CD87-4081-49AC-B1FB-4FF4B4DB4958}" name="Teórico" dataDxfId="21">
      <calculatedColumnFormula>Tabla10141618[[#This Row],[nº flop]]*M$23</calculatedColumnFormula>
    </tableColumn>
    <tableColumn id="7" xr3:uid="{84CA3699-772B-40E4-854A-0618AE01AC89}" name="Empírico O0"/>
    <tableColumn id="8" xr3:uid="{2C3F59EB-9296-43CB-B85F-EE93DA9D3F7B}" name="Empírico O3"/>
    <tableColumn id="9" xr3:uid="{B3033B75-4126-4D3D-9312-BE1F60FA0187}" name="Diferencia" dataDxfId="13" dataCellStyle="Porcentaje">
      <calculatedColumnFormula>1-Tabla10141618[[#This Row],[Empírico O3]]/Tabla10141618[[#This Row],[Empírico O0]]</calculatedColumnFormula>
    </tableColumn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0C47ABD-AE4E-4AC6-912F-6A53CB1D6ADC}" name="Tabla23" displayName="Tabla23" ref="J7:K10" totalsRowShown="0">
  <autoFilter ref="J7:K10" xr:uid="{C0C47ABD-AE4E-4AC6-912F-6A53CB1D6ADC}"/>
  <tableColumns count="2">
    <tableColumn id="1" xr3:uid="{AB40F1F1-78F8-4F81-A789-18CA218AF8D5}" name="Python"/>
    <tableColumn id="2" xr3:uid="{8A51C95F-2FBA-48C3-B7D3-D52093FB3E39}" name="Speedup O3" dataDxfId="32">
      <calculatedColumnFormula>Tabla1014[[#This Row],[Empírico O3]]/Tabla10[[#This Row],[Empírico O3]]</calculatedColumnFormula>
    </tableColumn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169730C-CC93-4DD9-9375-CE417592D272}" name="Tabla24" displayName="Tabla24" ref="J16:K19" totalsRowShown="0">
  <autoFilter ref="J16:K19" xr:uid="{7169730C-CC93-4DD9-9375-CE417592D272}"/>
  <tableColumns count="2">
    <tableColumn id="1" xr3:uid="{B256BD6A-C506-4ED6-9AC4-7B720133582F}" name="Python"/>
    <tableColumn id="2" xr3:uid="{AB0D7FC4-224F-4289-9272-6D9EFD5FDC21}" name="Speedup O3" dataDxfId="31">
      <calculatedColumnFormula>Tabla101416[[#This Row],[Empírico O3]]/Tabla1015[[#This Row],[Empírico O3]]</calculatedColumnFormula>
    </tableColumn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78FA88E-9262-4FFA-A605-F2DAFE7ED08B}" name="Tabla26" displayName="Tabla26" ref="J25:K28" totalsRowShown="0">
  <autoFilter ref="J25:K28" xr:uid="{878FA88E-9262-4FFA-A605-F2DAFE7ED08B}"/>
  <tableColumns count="2">
    <tableColumn id="1" xr3:uid="{C72349CD-3EC2-4583-8435-5B80BE91919E}" name="Python"/>
    <tableColumn id="2" xr3:uid="{EE00C960-4309-47C0-BEA5-859F8BA48C30}" name="Speedup O3" dataDxfId="30">
      <calculatedColumnFormula>Tabla10141618[[#This Row],[Empírico O3]]/Tabla101517[[#This Row],[Empírico O3]]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4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BE10-008C-4201-8EC7-74BE0C160559}">
  <dimension ref="B4:U31"/>
  <sheetViews>
    <sheetView tabSelected="1" topLeftCell="B66" workbookViewId="0">
      <selection activeCell="E70" sqref="E70"/>
    </sheetView>
  </sheetViews>
  <sheetFormatPr baseColWidth="10" defaultRowHeight="15" x14ac:dyDescent="0.25"/>
  <cols>
    <col min="8" max="9" width="13.7109375" customWidth="1"/>
    <col min="10" max="11" width="12" bestFit="1" customWidth="1"/>
    <col min="21" max="21" width="12" bestFit="1" customWidth="1"/>
  </cols>
  <sheetData>
    <row r="4" spans="2:21" ht="15.75" thickBot="1" x14ac:dyDescent="0.3">
      <c r="B4" s="5" t="s">
        <v>33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2:21" ht="16.5" thickTop="1" thickBot="1" x14ac:dyDescent="0.3">
      <c r="H5" t="s">
        <v>34</v>
      </c>
      <c r="I5">
        <v>49.6</v>
      </c>
      <c r="J5" t="s">
        <v>31</v>
      </c>
      <c r="K5">
        <v>2</v>
      </c>
      <c r="L5" t="s">
        <v>26</v>
      </c>
      <c r="M5">
        <f>K5/$I$5/10^9</f>
        <v>4.0322580645161289E-11</v>
      </c>
    </row>
    <row r="6" spans="2:21" ht="15.75" thickTop="1" x14ac:dyDescent="0.25">
      <c r="B6" s="2" t="s">
        <v>30</v>
      </c>
      <c r="C6" s="3"/>
      <c r="D6" s="3"/>
      <c r="E6" s="3"/>
      <c r="F6" s="3"/>
      <c r="G6" s="3"/>
      <c r="H6" s="4"/>
      <c r="M6" s="2" t="s">
        <v>32</v>
      </c>
      <c r="N6" s="3"/>
      <c r="O6" s="3"/>
      <c r="P6" s="3"/>
      <c r="Q6" s="3"/>
      <c r="R6" s="3"/>
      <c r="S6" s="4"/>
    </row>
    <row r="7" spans="2:21" x14ac:dyDescent="0.25">
      <c r="B7" t="s">
        <v>22</v>
      </c>
      <c r="C7" t="s">
        <v>23</v>
      </c>
      <c r="D7" t="s">
        <v>24</v>
      </c>
      <c r="E7" t="s">
        <v>25</v>
      </c>
      <c r="F7" t="s">
        <v>27</v>
      </c>
      <c r="G7" t="s">
        <v>28</v>
      </c>
      <c r="H7" t="s">
        <v>29</v>
      </c>
      <c r="I7" t="s">
        <v>42</v>
      </c>
      <c r="J7" t="s">
        <v>8</v>
      </c>
      <c r="K7" t="s">
        <v>41</v>
      </c>
      <c r="M7" t="s">
        <v>22</v>
      </c>
      <c r="N7" t="s">
        <v>23</v>
      </c>
      <c r="O7" t="s">
        <v>24</v>
      </c>
      <c r="P7" t="s">
        <v>25</v>
      </c>
      <c r="Q7" t="s">
        <v>27</v>
      </c>
      <c r="R7" t="s">
        <v>28</v>
      </c>
      <c r="S7" t="s">
        <v>29</v>
      </c>
      <c r="T7" t="s">
        <v>42</v>
      </c>
    </row>
    <row r="8" spans="2:21" x14ac:dyDescent="0.25">
      <c r="B8">
        <v>1000</v>
      </c>
      <c r="C8">
        <f>B8+1</f>
        <v>1001</v>
      </c>
      <c r="D8">
        <f>B8-1</f>
        <v>999</v>
      </c>
      <c r="E8" s="1">
        <f>Tabla10[[#This Row],[m]]*Tabla10[[#This Row],[n]]*(2*Tabla10[[#This Row],[k]]+3)</f>
        <v>2003001000</v>
      </c>
      <c r="F8" s="1">
        <f>Tabla10[[#This Row],[nº flop]]*M$5</f>
        <v>8.0766169354838713E-2</v>
      </c>
      <c r="G8">
        <v>57.268652677535997</v>
      </c>
      <c r="H8">
        <v>5.99975490570068</v>
      </c>
      <c r="I8" s="9">
        <f>1-Tabla10[[#This Row],[Empírico O3]]/Tabla10[[#This Row],[Empírico O0]]</f>
        <v>0.89523492128436044</v>
      </c>
      <c r="J8">
        <v>0.978929042816162</v>
      </c>
      <c r="K8">
        <f>Tabla1014[[#This Row],[Empírico O3]]/Tabla10[[#This Row],[Empírico O3]]</f>
        <v>0.81005731180972118</v>
      </c>
      <c r="M8">
        <v>1000</v>
      </c>
      <c r="N8">
        <f>M8+1</f>
        <v>1001</v>
      </c>
      <c r="O8">
        <f>M8-1</f>
        <v>999</v>
      </c>
      <c r="P8" s="1">
        <f>Tabla1014[[#This Row],[m]]*Tabla1014[[#This Row],[n]]/$K$5*(2*Tabla1014[[#This Row],[k]]+3)</f>
        <v>1001500500</v>
      </c>
      <c r="Q8" s="1">
        <f>Tabla1014[[#This Row],[nº flop]]*M$5</f>
        <v>4.0383084677419356E-2</v>
      </c>
      <c r="R8">
        <v>29.4396507740021</v>
      </c>
      <c r="S8">
        <v>4.8601453304290798</v>
      </c>
      <c r="T8" s="9">
        <f>1-Tabla1014[[#This Row],[Empírico O3]]/Tabla1014[[#This Row],[Empírico O0]]</f>
        <v>0.83491158343763261</v>
      </c>
    </row>
    <row r="9" spans="2:21" x14ac:dyDescent="0.25">
      <c r="B9">
        <v>2000</v>
      </c>
      <c r="C9">
        <f>B9+1</f>
        <v>2001</v>
      </c>
      <c r="D9">
        <f>B9-1</f>
        <v>1999</v>
      </c>
      <c r="E9" s="1">
        <f>Tabla10[[#This Row],[m]]*Tabla10[[#This Row],[n]]*(2*Tabla10[[#This Row],[k]]+3)</f>
        <v>16012002000</v>
      </c>
      <c r="F9" s="1">
        <f>Tabla10[[#This Row],[nº flop]]*M$5</f>
        <v>0.64564524193548389</v>
      </c>
      <c r="G9">
        <v>417.58318901062</v>
      </c>
      <c r="H9">
        <v>36.0615041255951</v>
      </c>
      <c r="I9" s="9">
        <f>1-Tabla10[[#This Row],[Empírico O3]]/Tabla10[[#This Row],[Empírico O0]]</f>
        <v>0.91364234702303115</v>
      </c>
      <c r="J9">
        <v>5.8736240863800102</v>
      </c>
      <c r="K9">
        <f>Tabla1014[[#This Row],[Empírico O3]]/Tabla10[[#This Row],[Empírico O3]]</f>
        <v>0.72249637562347357</v>
      </c>
      <c r="M9">
        <v>2000</v>
      </c>
      <c r="N9">
        <f>M9+1</f>
        <v>2001</v>
      </c>
      <c r="O9">
        <f>M9-1</f>
        <v>1999</v>
      </c>
      <c r="P9" s="1">
        <f>Tabla1014[[#This Row],[m]]*Tabla1014[[#This Row],[n]]/$K$5*(2*Tabla1014[[#This Row],[k]]+3)</f>
        <v>8006001000</v>
      </c>
      <c r="Q9" s="1">
        <f>Tabla1014[[#This Row],[nº flop]]*M$5</f>
        <v>0.32282262096774195</v>
      </c>
      <c r="R9">
        <v>212.22007727623</v>
      </c>
      <c r="S9">
        <v>26.054306030273398</v>
      </c>
      <c r="T9" s="9">
        <f>1-Tabla1014[[#This Row],[Empírico O3]]/Tabla1014[[#This Row],[Empírico O0]]</f>
        <v>0.87722977785763134</v>
      </c>
    </row>
    <row r="10" spans="2:21" ht="15.75" thickBot="1" x14ac:dyDescent="0.3">
      <c r="B10">
        <v>3000</v>
      </c>
      <c r="C10">
        <f>B10+1</f>
        <v>3001</v>
      </c>
      <c r="D10">
        <f>B10-1</f>
        <v>2999</v>
      </c>
      <c r="E10" s="1">
        <f>Tabla10[[#This Row],[m]]*Tabla10[[#This Row],[n]]*(2*Tabla10[[#This Row],[k]]+3)</f>
        <v>54027003000</v>
      </c>
      <c r="F10" s="1">
        <f>Tabla10[[#This Row],[nº flop]]*M$5</f>
        <v>2.1785081854838708</v>
      </c>
      <c r="G10">
        <v>954.555811405182</v>
      </c>
      <c r="H10">
        <v>96.015940189361601</v>
      </c>
      <c r="I10" s="9">
        <f>1-Tabla10[[#This Row],[Empírico O3]]/Tabla10[[#This Row],[Empírico O0]]</f>
        <v>0.89941296355629696</v>
      </c>
      <c r="J10">
        <v>14.605161666870099</v>
      </c>
      <c r="K10">
        <f>Tabla1014[[#This Row],[Empírico O3]]/Tabla10[[#This Row],[Empírico O3]]</f>
        <v>0.76353427923013539</v>
      </c>
      <c r="M10">
        <v>3000</v>
      </c>
      <c r="N10">
        <f>M10+1</f>
        <v>3001</v>
      </c>
      <c r="O10">
        <f>M10-1</f>
        <v>2999</v>
      </c>
      <c r="P10" s="1">
        <f>Tabla1014[[#This Row],[m]]*Tabla1014[[#This Row],[n]]/$K$5*(2*Tabla1014[[#This Row],[k]]+3)</f>
        <v>27013501500</v>
      </c>
      <c r="Q10" s="1">
        <f>Tabla1014[[#This Row],[nº flop]]*M$5</f>
        <v>1.0892540927419354</v>
      </c>
      <c r="R10">
        <v>484.115129709244</v>
      </c>
      <c r="S10">
        <v>73.311461687087998</v>
      </c>
      <c r="T10" s="9">
        <f>1-Tabla1014[[#This Row],[Empírico O3]]/Tabla1014[[#This Row],[Empírico O0]]</f>
        <v>0.84856605962486997</v>
      </c>
    </row>
    <row r="11" spans="2:21" ht="15.75" thickTop="1" x14ac:dyDescent="0.25">
      <c r="E11" s="1"/>
      <c r="F11" s="1"/>
      <c r="I11" s="9">
        <f>AVERAGE(Tabla10[Diferencia])</f>
        <v>0.90276341062122956</v>
      </c>
      <c r="R11" s="8">
        <f>1-R10/G10</f>
        <v>0.49283727161370683</v>
      </c>
      <c r="S11" s="8">
        <f>1-S10/H10</f>
        <v>0.23646572076986461</v>
      </c>
      <c r="T11" s="10">
        <f>AVERAGE(Tabla1014[Diferencia])</f>
        <v>0.85356914030671127</v>
      </c>
    </row>
    <row r="13" spans="2:21" ht="15.75" thickBot="1" x14ac:dyDescent="0.3">
      <c r="B13" s="5" t="s">
        <v>35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2:21" ht="16.5" thickTop="1" thickBot="1" x14ac:dyDescent="0.3">
      <c r="H14" t="s">
        <v>34</v>
      </c>
      <c r="I14">
        <v>153.6</v>
      </c>
      <c r="J14" t="s">
        <v>31</v>
      </c>
      <c r="K14">
        <v>8</v>
      </c>
      <c r="L14" t="s">
        <v>26</v>
      </c>
      <c r="M14">
        <f>$K14/$I14/10^9</f>
        <v>5.2083333333333334E-11</v>
      </c>
    </row>
    <row r="15" spans="2:21" ht="15.75" thickTop="1" x14ac:dyDescent="0.25">
      <c r="B15" s="2" t="s">
        <v>36</v>
      </c>
      <c r="C15" s="3"/>
      <c r="D15" s="3"/>
      <c r="E15" s="3"/>
      <c r="F15" s="3"/>
      <c r="G15" s="3"/>
      <c r="H15" s="4"/>
      <c r="M15" s="2" t="s">
        <v>37</v>
      </c>
      <c r="N15" s="3"/>
      <c r="O15" s="3"/>
      <c r="P15" s="3"/>
      <c r="Q15" s="3"/>
      <c r="R15" s="3"/>
      <c r="S15" s="4"/>
    </row>
    <row r="16" spans="2:21" x14ac:dyDescent="0.25">
      <c r="B16" t="s">
        <v>22</v>
      </c>
      <c r="C16" t="s">
        <v>23</v>
      </c>
      <c r="D16" t="s">
        <v>24</v>
      </c>
      <c r="E16" t="s">
        <v>25</v>
      </c>
      <c r="F16" t="s">
        <v>27</v>
      </c>
      <c r="G16" t="s">
        <v>28</v>
      </c>
      <c r="H16" t="s">
        <v>29</v>
      </c>
      <c r="I16" t="s">
        <v>42</v>
      </c>
      <c r="J16" t="s">
        <v>8</v>
      </c>
      <c r="K16" t="s">
        <v>41</v>
      </c>
      <c r="M16" t="s">
        <v>22</v>
      </c>
      <c r="N16" t="s">
        <v>23</v>
      </c>
      <c r="O16" t="s">
        <v>24</v>
      </c>
      <c r="P16" t="s">
        <v>25</v>
      </c>
      <c r="Q16" t="s">
        <v>27</v>
      </c>
      <c r="R16" t="s">
        <v>28</v>
      </c>
      <c r="S16" t="s">
        <v>29</v>
      </c>
      <c r="T16" t="s">
        <v>42</v>
      </c>
    </row>
    <row r="17" spans="2:21" x14ac:dyDescent="0.25">
      <c r="B17">
        <v>1000</v>
      </c>
      <c r="C17">
        <f>B17+1</f>
        <v>1001</v>
      </c>
      <c r="D17">
        <f>B17-1</f>
        <v>999</v>
      </c>
      <c r="E17" s="1">
        <f>Tabla1015[[#This Row],[m]]*Tabla1015[[#This Row],[n]]*(2*Tabla1015[[#This Row],[k]]+3)</f>
        <v>2003001000</v>
      </c>
      <c r="F17" s="1">
        <f>Tabla1015[[#This Row],[nº flop]]*M$14</f>
        <v>0.10432296875000001</v>
      </c>
      <c r="G17">
        <v>109.40703868865999</v>
      </c>
      <c r="H17">
        <v>6.7991638183593803</v>
      </c>
      <c r="I17" s="9">
        <f>1-Tabla1015[[#This Row],[Empírico O3]]/Tabla1015[[#This Row],[Empírico O0]]</f>
        <v>0.93785442052126289</v>
      </c>
      <c r="J17">
        <v>2.4072103500366202</v>
      </c>
      <c r="K17">
        <f>Tabla101416[[#This Row],[Empírico O3]]/Tabla1015[[#This Row],[Empírico O3]]</f>
        <v>0.25947819884871737</v>
      </c>
      <c r="M17">
        <v>1000</v>
      </c>
      <c r="N17">
        <f>M17+1</f>
        <v>1001</v>
      </c>
      <c r="O17">
        <f>M17-1</f>
        <v>999</v>
      </c>
      <c r="P17" s="1">
        <f>Tabla101416[[#This Row],[m]]*Tabla101416[[#This Row],[n]]/$K$14*(2*Tabla101416[[#This Row],[k]]+3)</f>
        <v>250375125</v>
      </c>
      <c r="Q17" s="1">
        <f>Tabla101416[[#This Row],[nº flop]]*M$14</f>
        <v>1.3040371093750001E-2</v>
      </c>
      <c r="R17">
        <v>14.953177452087401</v>
      </c>
      <c r="S17">
        <v>1.7642347812652599</v>
      </c>
      <c r="T17" s="9">
        <f>1-Tabla101416[[#This Row],[Empírico O3]]/Tabla101416[[#This Row],[Empírico O0]]</f>
        <v>0.88201606067217642</v>
      </c>
    </row>
    <row r="18" spans="2:21" x14ac:dyDescent="0.25">
      <c r="B18">
        <v>2000</v>
      </c>
      <c r="C18">
        <f>B18+1</f>
        <v>2001</v>
      </c>
      <c r="D18">
        <f>B18-1</f>
        <v>1999</v>
      </c>
      <c r="E18" s="1">
        <f>Tabla1015[[#This Row],[m]]*Tabla1015[[#This Row],[n]]*(2*Tabla1015[[#This Row],[k]]+3)</f>
        <v>16012002000</v>
      </c>
      <c r="F18" s="1">
        <f>Tabla1015[[#This Row],[nº flop]]*M$14</f>
        <v>0.83395843749999998</v>
      </c>
      <c r="G18">
        <v>769.47196078300499</v>
      </c>
      <c r="H18">
        <v>92.026823282241807</v>
      </c>
      <c r="I18" s="9">
        <f>1-Tabla1015[[#This Row],[Empírico O3]]/Tabla1015[[#This Row],[Empírico O0]]</f>
        <v>0.88040262937119051</v>
      </c>
      <c r="J18">
        <v>14.700524330139199</v>
      </c>
      <c r="K18">
        <f>Tabla101416[[#This Row],[Empírico O3]]/Tabla1015[[#This Row],[Empírico O3]]</f>
        <v>0.20537685331344063</v>
      </c>
      <c r="M18">
        <v>2000</v>
      </c>
      <c r="N18">
        <f>M18+1</f>
        <v>2001</v>
      </c>
      <c r="O18">
        <f>M18-1</f>
        <v>1999</v>
      </c>
      <c r="P18" s="1">
        <f>Tabla101416[[#This Row],[m]]*Tabla101416[[#This Row],[n]]/$K$14*(2*Tabla101416[[#This Row],[k]]+3)</f>
        <v>2001500250</v>
      </c>
      <c r="Q18" s="1">
        <f>Tabla101416[[#This Row],[nº flop]]*M$14</f>
        <v>0.1042448046875</v>
      </c>
      <c r="R18">
        <v>101.127728939056</v>
      </c>
      <c r="S18">
        <v>18.900179386138898</v>
      </c>
      <c r="T18" s="9">
        <f>1-Tabla101416[[#This Row],[Empírico O3]]/Tabla101416[[#This Row],[Empírico O0]]</f>
        <v>0.81310586538011775</v>
      </c>
    </row>
    <row r="19" spans="2:21" x14ac:dyDescent="0.25">
      <c r="B19">
        <v>3000</v>
      </c>
      <c r="C19">
        <f>B19+1</f>
        <v>3001</v>
      </c>
      <c r="D19">
        <f>B19-1</f>
        <v>2999</v>
      </c>
      <c r="E19" s="1">
        <f>Tabla1015[[#This Row],[m]]*Tabla1015[[#This Row],[n]]*(2*Tabla1015[[#This Row],[k]]+3)</f>
        <v>54027003000</v>
      </c>
      <c r="F19" s="1">
        <f>Tabla1015[[#This Row],[nº flop]]*M$14</f>
        <v>2.8139064062500001</v>
      </c>
      <c r="G19">
        <v>1842.4922842979399</v>
      </c>
      <c r="H19">
        <v>227.212146759033</v>
      </c>
      <c r="I19" s="9">
        <f>1-Tabla1015[[#This Row],[Empírico O3]]/Tabla1015[[#This Row],[Empírico O0]]</f>
        <v>0.87668217191714892</v>
      </c>
      <c r="J19">
        <v>36.628698348999002</v>
      </c>
      <c r="K19">
        <f>Tabla101416[[#This Row],[Empírico O3]]/Tabla1015[[#This Row],[Empírico O3]]</f>
        <v>0.18946793627062869</v>
      </c>
      <c r="M19">
        <v>3000</v>
      </c>
      <c r="N19">
        <f>M19+1</f>
        <v>3001</v>
      </c>
      <c r="O19">
        <f>M19-1</f>
        <v>2999</v>
      </c>
      <c r="P19" s="1">
        <f>Tabla101416[[#This Row],[m]]*Tabla101416[[#This Row],[n]]/$K$14*(2*Tabla101416[[#This Row],[k]]+3)</f>
        <v>6753375375</v>
      </c>
      <c r="Q19" s="1">
        <f>Tabla101416[[#This Row],[nº flop]]*M$14</f>
        <v>0.35173830078125001</v>
      </c>
      <c r="R19">
        <v>238.538269758224</v>
      </c>
      <c r="S19">
        <v>43.049416542053201</v>
      </c>
      <c r="T19" s="9">
        <f>1-Tabla101416[[#This Row],[Empírico O3]]/Tabla101416[[#This Row],[Empírico O0]]</f>
        <v>0.81952826024232117</v>
      </c>
    </row>
    <row r="20" spans="2:21" x14ac:dyDescent="0.25">
      <c r="E20" s="1"/>
      <c r="F20" s="1"/>
      <c r="I20" s="9">
        <f>AVERAGE(Tabla1015[Diferencia])</f>
        <v>0.89831307393653415</v>
      </c>
      <c r="R20" s="8">
        <f>1-R19/G19</f>
        <v>0.87053499665041134</v>
      </c>
      <c r="S20" s="8">
        <f>1-S19/H19</f>
        <v>0.81053206372937137</v>
      </c>
      <c r="T20" s="7">
        <f>AVERAGE(Tabla101416[Diferencia])</f>
        <v>0.83821672876487174</v>
      </c>
    </row>
    <row r="22" spans="2:21" ht="15.75" thickBot="1" x14ac:dyDescent="0.3">
      <c r="B22" s="5" t="s">
        <v>38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2:21" ht="16.5" thickTop="1" thickBot="1" x14ac:dyDescent="0.3">
      <c r="H23" t="s">
        <v>34</v>
      </c>
      <c r="I23">
        <v>460.8</v>
      </c>
      <c r="J23" t="s">
        <v>31</v>
      </c>
      <c r="K23">
        <v>8</v>
      </c>
      <c r="L23" t="s">
        <v>26</v>
      </c>
      <c r="M23">
        <f>$K23/$I23/10^9</f>
        <v>1.736111111111111E-11</v>
      </c>
    </row>
    <row r="24" spans="2:21" ht="15.75" thickTop="1" x14ac:dyDescent="0.25">
      <c r="B24" s="2" t="s">
        <v>40</v>
      </c>
      <c r="C24" s="3"/>
      <c r="D24" s="3"/>
      <c r="E24" s="3"/>
      <c r="F24" s="3"/>
      <c r="G24" s="3"/>
      <c r="H24" s="4"/>
      <c r="M24" s="2" t="s">
        <v>39</v>
      </c>
      <c r="N24" s="3"/>
      <c r="O24" s="3"/>
      <c r="P24" s="3"/>
      <c r="Q24" s="3"/>
      <c r="R24" s="3"/>
      <c r="S24" s="4"/>
    </row>
    <row r="25" spans="2:21" x14ac:dyDescent="0.25">
      <c r="B25" t="s">
        <v>22</v>
      </c>
      <c r="C25" t="s">
        <v>23</v>
      </c>
      <c r="D25" t="s">
        <v>24</v>
      </c>
      <c r="E25" t="s">
        <v>25</v>
      </c>
      <c r="F25" t="s">
        <v>27</v>
      </c>
      <c r="G25" t="s">
        <v>28</v>
      </c>
      <c r="H25" t="s">
        <v>29</v>
      </c>
      <c r="I25" t="s">
        <v>42</v>
      </c>
      <c r="J25" t="s">
        <v>8</v>
      </c>
      <c r="K25" t="s">
        <v>41</v>
      </c>
      <c r="M25" t="s">
        <v>22</v>
      </c>
      <c r="N25" t="s">
        <v>23</v>
      </c>
      <c r="O25" t="s">
        <v>24</v>
      </c>
      <c r="P25" t="s">
        <v>25</v>
      </c>
      <c r="Q25" t="s">
        <v>27</v>
      </c>
      <c r="R25" t="s">
        <v>28</v>
      </c>
      <c r="S25" t="s">
        <v>29</v>
      </c>
      <c r="T25" t="s">
        <v>42</v>
      </c>
    </row>
    <row r="26" spans="2:21" x14ac:dyDescent="0.25">
      <c r="B26">
        <v>1000</v>
      </c>
      <c r="C26">
        <f>B26+1</f>
        <v>1001</v>
      </c>
      <c r="D26">
        <f>B26-1</f>
        <v>999</v>
      </c>
      <c r="E26" s="1">
        <f>Tabla101517[[#This Row],[m]]*Tabla101517[[#This Row],[n]]*(2*Tabla101517[[#This Row],[k]]+3)</f>
        <v>2003001000</v>
      </c>
      <c r="F26" s="1">
        <f>Tabla101517[[#This Row],[nº flop]]*M$23</f>
        <v>3.4774322916666663E-2</v>
      </c>
      <c r="G26">
        <v>29.2678384780884</v>
      </c>
      <c r="H26">
        <v>1.4525957107543901</v>
      </c>
      <c r="I26" s="9">
        <f>1-Tabla101517[[#This Row],[Empírico O3]]/Tabla101517[[#This Row],[Empírico O0]]</f>
        <v>0.95036887634042788</v>
      </c>
      <c r="J26">
        <v>0.36732268333435097</v>
      </c>
      <c r="K26">
        <f>Tabla10141618[[#This Row],[Empírico O3]]/Tabla101517[[#This Row],[Empírico O3]]</f>
        <v>0.34690514503757769</v>
      </c>
      <c r="M26">
        <v>1000</v>
      </c>
      <c r="N26">
        <f>M26+1</f>
        <v>1001</v>
      </c>
      <c r="O26">
        <f>M26-1</f>
        <v>999</v>
      </c>
      <c r="P26" s="1">
        <f>Tabla10141618[[#This Row],[m]]*Tabla10141618[[#This Row],[n]]/$K$23*(2*Tabla10141618[[#This Row],[k]]+3)</f>
        <v>250375125</v>
      </c>
      <c r="Q26" s="1">
        <f>Tabla10141618[[#This Row],[nº flop]]*M$23</f>
        <v>4.3467903645833328E-3</v>
      </c>
      <c r="R26">
        <v>4.43943548202515</v>
      </c>
      <c r="S26">
        <v>0.50391292572021495</v>
      </c>
      <c r="T26" s="9">
        <f>1-Tabla10141618[[#This Row],[Empírico O3]]/Tabla10141618[[#This Row],[Empírico O0]]</f>
        <v>0.88649166594254825</v>
      </c>
    </row>
    <row r="27" spans="2:21" x14ac:dyDescent="0.25">
      <c r="B27">
        <v>2000</v>
      </c>
      <c r="C27">
        <f>B27+1</f>
        <v>2001</v>
      </c>
      <c r="D27">
        <f>B27-1</f>
        <v>1999</v>
      </c>
      <c r="E27" s="1">
        <f>Tabla101517[[#This Row],[m]]*Tabla101517[[#This Row],[n]]*(2*Tabla101517[[#This Row],[k]]+3)</f>
        <v>16012002000</v>
      </c>
      <c r="F27" s="1">
        <f>Tabla101517[[#This Row],[nº flop]]*M$23</f>
        <v>0.27798614583333331</v>
      </c>
      <c r="G27">
        <v>195.36193585395799</v>
      </c>
      <c r="H27">
        <v>23.514122247695902</v>
      </c>
      <c r="I27" s="9">
        <f>1-Tabla101517[[#This Row],[Empírico O3]]/Tabla101517[[#This Row],[Empírico O0]]</f>
        <v>0.87963815906659637</v>
      </c>
      <c r="J27">
        <v>2.15224289894104</v>
      </c>
      <c r="K27">
        <f>Tabla10141618[[#This Row],[Empírico O3]]/Tabla101517[[#This Row],[Empírico O3]]</f>
        <v>0.27699968132948211</v>
      </c>
      <c r="M27">
        <v>2000</v>
      </c>
      <c r="N27">
        <f>M27+1</f>
        <v>2001</v>
      </c>
      <c r="O27">
        <f>M27-1</f>
        <v>1999</v>
      </c>
      <c r="P27" s="1">
        <f>Tabla10141618[[#This Row],[m]]*Tabla10141618[[#This Row],[n]]/$K$23*(2*Tabla10141618[[#This Row],[k]]+3)</f>
        <v>2001500250</v>
      </c>
      <c r="Q27" s="1">
        <f>Tabla10141618[[#This Row],[nº flop]]*M$23</f>
        <v>3.4748268229166664E-2</v>
      </c>
      <c r="R27">
        <v>27.000347614288302</v>
      </c>
      <c r="S27">
        <v>6.5134043693542498</v>
      </c>
      <c r="T27" s="9">
        <f>1-Tabla10141618[[#This Row],[Empírico O3]]/Tabla10141618[[#This Row],[Empírico O0]]</f>
        <v>0.75876590692827139</v>
      </c>
    </row>
    <row r="28" spans="2:21" x14ac:dyDescent="0.25">
      <c r="B28">
        <v>3000</v>
      </c>
      <c r="C28">
        <f>B28+1</f>
        <v>3001</v>
      </c>
      <c r="D28">
        <f>B28-1</f>
        <v>2999</v>
      </c>
      <c r="E28" s="1">
        <f>Tabla101517[[#This Row],[m]]*Tabla101517[[#This Row],[n]]*(2*Tabla101517[[#This Row],[k]]+3)</f>
        <v>54027003000</v>
      </c>
      <c r="F28" s="1">
        <f>Tabla101517[[#This Row],[nº flop]]*M$23</f>
        <v>0.93796880208333333</v>
      </c>
      <c r="G28">
        <v>600.31209015846298</v>
      </c>
      <c r="H28">
        <v>59.090897798538201</v>
      </c>
      <c r="I28" s="9">
        <f>1-Tabla101517[[#This Row],[Empírico O3]]/Tabla101517[[#This Row],[Empírico O0]]</f>
        <v>0.90156637061409151</v>
      </c>
      <c r="J28">
        <v>5.3269503116607702</v>
      </c>
      <c r="K28">
        <f>Tabla10141618[[#This Row],[Empírico O3]]/Tabla101517[[#This Row],[Empírico O3]]</f>
        <v>0.26591644270327225</v>
      </c>
      <c r="M28">
        <v>3000</v>
      </c>
      <c r="N28">
        <f>M28+1</f>
        <v>3001</v>
      </c>
      <c r="O28">
        <f>M28-1</f>
        <v>2999</v>
      </c>
      <c r="P28" s="1">
        <f>Tabla10141618[[#This Row],[m]]*Tabla10141618[[#This Row],[n]]/$K$23*(2*Tabla10141618[[#This Row],[k]]+3)</f>
        <v>6753375375</v>
      </c>
      <c r="Q28" s="1">
        <f>Tabla10141618[[#This Row],[nº flop]]*M$23</f>
        <v>0.11724610026041667</v>
      </c>
      <c r="R28">
        <v>81.221657514572101</v>
      </c>
      <c r="S28">
        <v>15.713241338729899</v>
      </c>
      <c r="T28" s="9">
        <f>1-Tabla10141618[[#This Row],[Empírico O3]]/Tabla10141618[[#This Row],[Empírico O0]]</f>
        <v>0.80653877525325357</v>
      </c>
    </row>
    <row r="29" spans="2:21" x14ac:dyDescent="0.25">
      <c r="E29" s="1"/>
      <c r="F29" s="1"/>
      <c r="I29" s="9">
        <f>AVERAGE(Tabla101517[Diferencia])</f>
        <v>0.91052446867370518</v>
      </c>
      <c r="R29" s="8">
        <f>1-R28/G28</f>
        <v>0.86470094664738095</v>
      </c>
      <c r="S29" s="8">
        <f>1-S28/H28</f>
        <v>0.7340835572967277</v>
      </c>
      <c r="T29" s="8">
        <f>AVERAGE(Tabla10141618[Diferencia])</f>
        <v>0.81726544937469114</v>
      </c>
    </row>
    <row r="31" spans="2:21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</sheetData>
  <mergeCells count="9">
    <mergeCell ref="B15:H15"/>
    <mergeCell ref="M15:S15"/>
    <mergeCell ref="B22:U22"/>
    <mergeCell ref="B24:H24"/>
    <mergeCell ref="M24:S24"/>
    <mergeCell ref="B4:U4"/>
    <mergeCell ref="B6:H6"/>
    <mergeCell ref="M6:S6"/>
    <mergeCell ref="B13:U13"/>
  </mergeCells>
  <phoneticPr fontId="5" type="noConversion"/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Normal="100" workbookViewId="0">
      <selection activeCell="C18" sqref="C16:C18"/>
    </sheetView>
  </sheetViews>
  <sheetFormatPr baseColWidth="10" defaultColWidth="11.5703125" defaultRowHeight="15" x14ac:dyDescent="0.25"/>
  <cols>
    <col min="1" max="1" width="10.85546875" customWidth="1"/>
    <col min="2" max="2" width="9.140625" customWidth="1"/>
    <col min="3" max="3" width="14.7109375" customWidth="1"/>
    <col min="4" max="4" width="13.42578125" customWidth="1"/>
    <col min="5" max="5" width="17.140625" customWidth="1"/>
    <col min="6" max="6" width="19.85546875" customWidth="1"/>
    <col min="7" max="7" width="7.42578125" customWidth="1"/>
    <col min="8" max="8" width="9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8</v>
      </c>
      <c r="B2" t="s">
        <v>9</v>
      </c>
      <c r="C2" t="s">
        <v>10</v>
      </c>
      <c r="D2">
        <v>10</v>
      </c>
      <c r="E2">
        <v>0.978929042816162</v>
      </c>
      <c r="F2" t="s">
        <v>11</v>
      </c>
    </row>
    <row r="3" spans="1:6" x14ac:dyDescent="0.25">
      <c r="A3" t="s">
        <v>12</v>
      </c>
      <c r="B3" t="s">
        <v>13</v>
      </c>
      <c r="C3" t="s">
        <v>10</v>
      </c>
      <c r="D3">
        <v>10</v>
      </c>
      <c r="E3">
        <v>57.268652677535997</v>
      </c>
      <c r="F3">
        <v>2.6527488026784199E-10</v>
      </c>
    </row>
    <row r="4" spans="1:6" x14ac:dyDescent="0.25">
      <c r="A4" t="s">
        <v>12</v>
      </c>
      <c r="B4" t="s">
        <v>14</v>
      </c>
      <c r="C4" t="s">
        <v>10</v>
      </c>
      <c r="D4">
        <v>10</v>
      </c>
      <c r="E4">
        <v>5.99975490570068</v>
      </c>
      <c r="F4">
        <v>8.7684617207878098E-11</v>
      </c>
    </row>
    <row r="5" spans="1:6" x14ac:dyDescent="0.25">
      <c r="A5" t="s">
        <v>8</v>
      </c>
      <c r="B5" t="s">
        <v>9</v>
      </c>
      <c r="C5" t="s">
        <v>15</v>
      </c>
      <c r="D5">
        <v>8</v>
      </c>
      <c r="E5">
        <v>5.8736240863800102</v>
      </c>
      <c r="F5" t="s">
        <v>11</v>
      </c>
    </row>
    <row r="6" spans="1:6" x14ac:dyDescent="0.25">
      <c r="A6" t="s">
        <v>12</v>
      </c>
      <c r="B6" t="s">
        <v>13</v>
      </c>
      <c r="C6" t="s">
        <v>15</v>
      </c>
      <c r="D6">
        <v>8</v>
      </c>
      <c r="E6">
        <v>417.58318901062</v>
      </c>
      <c r="F6">
        <v>1.4586698998762001E-9</v>
      </c>
    </row>
    <row r="7" spans="1:6" x14ac:dyDescent="0.25">
      <c r="A7" t="s">
        <v>12</v>
      </c>
      <c r="B7" t="s">
        <v>14</v>
      </c>
      <c r="C7" t="s">
        <v>15</v>
      </c>
      <c r="D7">
        <v>8</v>
      </c>
      <c r="E7">
        <v>36.0615041255951</v>
      </c>
      <c r="F7">
        <v>2.9321409124709899E-10</v>
      </c>
    </row>
    <row r="8" spans="1:6" x14ac:dyDescent="0.25">
      <c r="A8" t="s">
        <v>8</v>
      </c>
      <c r="B8" t="s">
        <v>9</v>
      </c>
      <c r="C8" t="s">
        <v>16</v>
      </c>
      <c r="D8">
        <v>6</v>
      </c>
      <c r="E8">
        <v>14.605161666870099</v>
      </c>
      <c r="F8" t="s">
        <v>11</v>
      </c>
    </row>
    <row r="9" spans="1:6" x14ac:dyDescent="0.25">
      <c r="A9" t="s">
        <v>12</v>
      </c>
      <c r="B9" t="s">
        <v>13</v>
      </c>
      <c r="C9" t="s">
        <v>16</v>
      </c>
      <c r="D9">
        <v>6</v>
      </c>
      <c r="E9">
        <v>954.555811405182</v>
      </c>
      <c r="F9">
        <v>4.5508674997266297E-9</v>
      </c>
    </row>
    <row r="10" spans="1:6" x14ac:dyDescent="0.25">
      <c r="A10" t="s">
        <v>12</v>
      </c>
      <c r="B10" t="s">
        <v>14</v>
      </c>
      <c r="C10" t="s">
        <v>16</v>
      </c>
      <c r="D10">
        <v>6</v>
      </c>
      <c r="E10">
        <v>96.015940189361601</v>
      </c>
      <c r="F10">
        <v>8.15570111481016E-10</v>
      </c>
    </row>
    <row r="13" spans="1:6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</row>
    <row r="14" spans="1:6" x14ac:dyDescent="0.25">
      <c r="A14" t="s">
        <v>12</v>
      </c>
      <c r="B14" t="s">
        <v>13</v>
      </c>
      <c r="C14" t="s">
        <v>10</v>
      </c>
      <c r="D14">
        <v>10</v>
      </c>
      <c r="E14">
        <v>29.4396507740021</v>
      </c>
      <c r="F14">
        <v>2.6656276263274802E-10</v>
      </c>
    </row>
    <row r="15" spans="1:6" x14ac:dyDescent="0.25">
      <c r="A15" t="s">
        <v>12</v>
      </c>
      <c r="B15" t="s">
        <v>14</v>
      </c>
      <c r="C15" t="s">
        <v>10</v>
      </c>
      <c r="D15">
        <v>10</v>
      </c>
      <c r="E15">
        <v>4.8601453304290798</v>
      </c>
      <c r="F15">
        <v>8.8090684720164803E-11</v>
      </c>
    </row>
    <row r="16" spans="1:6" x14ac:dyDescent="0.25">
      <c r="A16" t="s">
        <v>12</v>
      </c>
      <c r="B16" t="s">
        <v>13</v>
      </c>
      <c r="C16" t="s">
        <v>15</v>
      </c>
      <c r="D16">
        <v>8</v>
      </c>
      <c r="E16">
        <v>212.22007727623</v>
      </c>
      <c r="F16">
        <v>1.4593542077673399E-9</v>
      </c>
    </row>
    <row r="17" spans="1:6" x14ac:dyDescent="0.25">
      <c r="A17" t="s">
        <v>12</v>
      </c>
      <c r="B17" t="s">
        <v>14</v>
      </c>
      <c r="C17" t="s">
        <v>15</v>
      </c>
      <c r="D17">
        <v>8</v>
      </c>
      <c r="E17">
        <v>26.054306030273398</v>
      </c>
      <c r="F17">
        <v>2.9351909420259002E-10</v>
      </c>
    </row>
    <row r="18" spans="1:6" x14ac:dyDescent="0.25">
      <c r="A18" t="s">
        <v>12</v>
      </c>
      <c r="B18" t="s">
        <v>13</v>
      </c>
      <c r="C18" t="s">
        <v>16</v>
      </c>
      <c r="D18">
        <v>6</v>
      </c>
      <c r="E18">
        <v>484.115129709244</v>
      </c>
      <c r="F18">
        <v>4.5504755685530999E-9</v>
      </c>
    </row>
    <row r="19" spans="1:6" x14ac:dyDescent="0.25">
      <c r="A19" t="s">
        <v>12</v>
      </c>
      <c r="B19" t="s">
        <v>14</v>
      </c>
      <c r="C19" t="s">
        <v>16</v>
      </c>
      <c r="D19">
        <v>6</v>
      </c>
      <c r="E19">
        <v>73.311461687087998</v>
      </c>
      <c r="F19">
        <v>8.1545473396860102E-10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zoomScaleNormal="100" workbookViewId="0">
      <selection activeCell="E19" sqref="E19"/>
    </sheetView>
  </sheetViews>
  <sheetFormatPr baseColWidth="10" defaultColWidth="11.5703125" defaultRowHeight="15" x14ac:dyDescent="0.25"/>
  <cols>
    <col min="1" max="1" width="10.85546875" customWidth="1"/>
    <col min="2" max="2" width="9.140625" customWidth="1"/>
    <col min="3" max="3" width="14.7109375" customWidth="1"/>
    <col min="4" max="4" width="13.42578125" customWidth="1"/>
    <col min="5" max="5" width="16.140625" customWidth="1"/>
    <col min="6" max="6" width="19.85546875" customWidth="1"/>
    <col min="7" max="7" width="7.42578125" customWidth="1"/>
    <col min="8" max="8" width="9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8</v>
      </c>
      <c r="B2" t="s">
        <v>9</v>
      </c>
      <c r="C2" t="s">
        <v>10</v>
      </c>
      <c r="D2">
        <v>10</v>
      </c>
      <c r="E2">
        <v>2.4072103500366202</v>
      </c>
      <c r="F2" t="s">
        <v>11</v>
      </c>
      <c r="G2" t="s">
        <v>11</v>
      </c>
    </row>
    <row r="3" spans="1:7" x14ac:dyDescent="0.25">
      <c r="A3" t="s">
        <v>12</v>
      </c>
      <c r="B3" t="s">
        <v>13</v>
      </c>
      <c r="C3" t="s">
        <v>10</v>
      </c>
      <c r="D3">
        <v>10</v>
      </c>
      <c r="E3">
        <v>109.40703868865999</v>
      </c>
      <c r="F3">
        <v>2.6563284826622299E-10</v>
      </c>
      <c r="G3">
        <v>2</v>
      </c>
    </row>
    <row r="4" spans="1:7" x14ac:dyDescent="0.25">
      <c r="A4" t="s">
        <v>12</v>
      </c>
      <c r="B4" t="s">
        <v>14</v>
      </c>
      <c r="C4" t="s">
        <v>10</v>
      </c>
      <c r="D4">
        <v>10</v>
      </c>
      <c r="E4">
        <v>6.7991638183593803</v>
      </c>
      <c r="F4">
        <v>8.7628882361390001E-11</v>
      </c>
      <c r="G4">
        <v>2</v>
      </c>
    </row>
    <row r="5" spans="1:7" x14ac:dyDescent="0.25">
      <c r="A5" t="s">
        <v>8</v>
      </c>
      <c r="B5" t="s">
        <v>9</v>
      </c>
      <c r="C5" t="s">
        <v>15</v>
      </c>
      <c r="D5">
        <v>8</v>
      </c>
      <c r="E5">
        <v>14.700524330139199</v>
      </c>
      <c r="F5" t="s">
        <v>11</v>
      </c>
      <c r="G5" t="s">
        <v>11</v>
      </c>
    </row>
    <row r="6" spans="1:7" x14ac:dyDescent="0.25">
      <c r="A6" t="s">
        <v>12</v>
      </c>
      <c r="B6" t="s">
        <v>13</v>
      </c>
      <c r="C6" t="s">
        <v>15</v>
      </c>
      <c r="D6">
        <v>8</v>
      </c>
      <c r="E6">
        <v>769.47196078300499</v>
      </c>
      <c r="F6">
        <v>1.45936449006917E-9</v>
      </c>
      <c r="G6">
        <v>2</v>
      </c>
    </row>
    <row r="7" spans="1:7" x14ac:dyDescent="0.25">
      <c r="A7" t="s">
        <v>12</v>
      </c>
      <c r="B7" t="s">
        <v>14</v>
      </c>
      <c r="C7" t="s">
        <v>15</v>
      </c>
      <c r="D7">
        <v>8</v>
      </c>
      <c r="E7">
        <v>92.026823282241807</v>
      </c>
      <c r="F7">
        <v>2.9421740671993402E-10</v>
      </c>
      <c r="G7">
        <v>2</v>
      </c>
    </row>
    <row r="8" spans="1:7" x14ac:dyDescent="0.25">
      <c r="A8" t="s">
        <v>8</v>
      </c>
      <c r="B8" t="s">
        <v>9</v>
      </c>
      <c r="C8" t="s">
        <v>16</v>
      </c>
      <c r="D8">
        <v>6</v>
      </c>
      <c r="E8">
        <v>36.628698348999002</v>
      </c>
      <c r="F8" t="s">
        <v>11</v>
      </c>
      <c r="G8" t="s">
        <v>11</v>
      </c>
    </row>
    <row r="9" spans="1:7" x14ac:dyDescent="0.25">
      <c r="A9" t="s">
        <v>12</v>
      </c>
      <c r="B9" t="s">
        <v>13</v>
      </c>
      <c r="C9" t="s">
        <v>16</v>
      </c>
      <c r="D9">
        <v>6</v>
      </c>
      <c r="E9">
        <v>1842.4922842979399</v>
      </c>
      <c r="F9">
        <v>4.5479330533178402E-9</v>
      </c>
      <c r="G9">
        <v>2</v>
      </c>
    </row>
    <row r="10" spans="1:7" x14ac:dyDescent="0.25">
      <c r="A10" t="s">
        <v>12</v>
      </c>
      <c r="B10" t="s">
        <v>14</v>
      </c>
      <c r="C10" t="s">
        <v>16</v>
      </c>
      <c r="D10">
        <v>6</v>
      </c>
      <c r="E10">
        <v>227.212146759033</v>
      </c>
      <c r="F10">
        <v>8.1536513872706903E-10</v>
      </c>
      <c r="G10">
        <v>2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 t="s">
        <v>12</v>
      </c>
      <c r="B14" t="s">
        <v>13</v>
      </c>
      <c r="C14" t="s">
        <v>10</v>
      </c>
      <c r="D14">
        <v>10</v>
      </c>
      <c r="E14">
        <v>14.953177452087401</v>
      </c>
      <c r="F14">
        <v>2.6542862640214197E-10</v>
      </c>
      <c r="G14">
        <v>2</v>
      </c>
    </row>
    <row r="15" spans="1:7" x14ac:dyDescent="0.25">
      <c r="A15" t="s">
        <v>12</v>
      </c>
      <c r="B15" t="s">
        <v>14</v>
      </c>
      <c r="C15" t="s">
        <v>10</v>
      </c>
      <c r="D15">
        <v>10</v>
      </c>
      <c r="E15">
        <v>1.7642347812652599</v>
      </c>
      <c r="F15">
        <v>8.6721207335881797E-11</v>
      </c>
      <c r="G15">
        <v>2</v>
      </c>
    </row>
    <row r="16" spans="1:7" x14ac:dyDescent="0.25">
      <c r="A16" t="s">
        <v>12</v>
      </c>
      <c r="B16" t="s">
        <v>13</v>
      </c>
      <c r="C16" t="s">
        <v>15</v>
      </c>
      <c r="D16">
        <v>8</v>
      </c>
      <c r="E16">
        <v>101.127728939056</v>
      </c>
      <c r="F16">
        <v>1.4578987436958501E-9</v>
      </c>
      <c r="G16">
        <v>2</v>
      </c>
    </row>
    <row r="17" spans="1:7" x14ac:dyDescent="0.25">
      <c r="A17" t="s">
        <v>12</v>
      </c>
      <c r="B17" t="s">
        <v>14</v>
      </c>
      <c r="C17" t="s">
        <v>15</v>
      </c>
      <c r="D17">
        <v>8</v>
      </c>
      <c r="E17">
        <v>18.900179386138898</v>
      </c>
      <c r="F17">
        <v>2.9317618052444099E-10</v>
      </c>
      <c r="G17">
        <v>2</v>
      </c>
    </row>
    <row r="18" spans="1:7" x14ac:dyDescent="0.25">
      <c r="A18" t="s">
        <v>12</v>
      </c>
      <c r="B18" t="s">
        <v>13</v>
      </c>
      <c r="C18" t="s">
        <v>16</v>
      </c>
      <c r="D18">
        <v>6</v>
      </c>
      <c r="E18">
        <v>238.538269758224</v>
      </c>
      <c r="F18">
        <v>4.5483822363336402E-9</v>
      </c>
      <c r="G18">
        <v>2</v>
      </c>
    </row>
    <row r="19" spans="1:7" x14ac:dyDescent="0.25">
      <c r="A19" t="s">
        <v>12</v>
      </c>
      <c r="B19" t="s">
        <v>14</v>
      </c>
      <c r="C19" t="s">
        <v>16</v>
      </c>
      <c r="D19">
        <v>6</v>
      </c>
      <c r="E19">
        <v>43.049416542053201</v>
      </c>
      <c r="F19">
        <v>8.1516943735975702E-10</v>
      </c>
      <c r="G19">
        <v>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zoomScaleNormal="100" workbookViewId="0">
      <selection activeCell="E19" sqref="E19"/>
    </sheetView>
  </sheetViews>
  <sheetFormatPr baseColWidth="10" defaultColWidth="11.5703125" defaultRowHeight="15" x14ac:dyDescent="0.25"/>
  <cols>
    <col min="1" max="1" width="10.85546875" customWidth="1"/>
    <col min="2" max="2" width="9.140625" customWidth="1"/>
    <col min="3" max="3" width="14.7109375" customWidth="1"/>
    <col min="4" max="4" width="13.42578125" customWidth="1"/>
    <col min="5" max="5" width="17.140625" customWidth="1"/>
    <col min="6" max="6" width="19.85546875" customWidth="1"/>
    <col min="7" max="7" width="7.42578125" customWidth="1"/>
    <col min="8" max="8" width="9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8</v>
      </c>
      <c r="B2" t="s">
        <v>9</v>
      </c>
      <c r="C2" t="s">
        <v>10</v>
      </c>
      <c r="D2">
        <v>10</v>
      </c>
      <c r="E2">
        <v>0.36732268333435097</v>
      </c>
      <c r="F2" t="s">
        <v>11</v>
      </c>
      <c r="G2" t="s">
        <v>11</v>
      </c>
    </row>
    <row r="3" spans="1:7" x14ac:dyDescent="0.25">
      <c r="A3" t="s">
        <v>12</v>
      </c>
      <c r="B3" t="s">
        <v>13</v>
      </c>
      <c r="C3" t="s">
        <v>10</v>
      </c>
      <c r="D3">
        <v>10</v>
      </c>
      <c r="E3">
        <v>29.2678384780884</v>
      </c>
      <c r="F3">
        <v>2.6592304589405198E-10</v>
      </c>
      <c r="G3">
        <v>2</v>
      </c>
    </row>
    <row r="4" spans="1:7" x14ac:dyDescent="0.25">
      <c r="A4" t="s">
        <v>12</v>
      </c>
      <c r="B4" t="s">
        <v>14</v>
      </c>
      <c r="C4" t="s">
        <v>10</v>
      </c>
      <c r="D4">
        <v>10</v>
      </c>
      <c r="E4">
        <v>1.4525957107543901</v>
      </c>
      <c r="F4">
        <v>8.7791545856449902E-11</v>
      </c>
      <c r="G4">
        <v>2</v>
      </c>
    </row>
    <row r="5" spans="1:7" x14ac:dyDescent="0.25">
      <c r="A5" t="s">
        <v>8</v>
      </c>
      <c r="B5" t="s">
        <v>9</v>
      </c>
      <c r="C5" t="s">
        <v>15</v>
      </c>
      <c r="D5">
        <v>8</v>
      </c>
      <c r="E5">
        <v>2.15224289894104</v>
      </c>
      <c r="F5" t="s">
        <v>11</v>
      </c>
      <c r="G5" t="s">
        <v>11</v>
      </c>
    </row>
    <row r="6" spans="1:7" x14ac:dyDescent="0.25">
      <c r="A6" t="s">
        <v>12</v>
      </c>
      <c r="B6" t="s">
        <v>13</v>
      </c>
      <c r="C6" t="s">
        <v>15</v>
      </c>
      <c r="D6">
        <v>8</v>
      </c>
      <c r="E6">
        <v>195.36193585395799</v>
      </c>
      <c r="F6">
        <v>1.45980813649286E-9</v>
      </c>
      <c r="G6">
        <v>2</v>
      </c>
    </row>
    <row r="7" spans="1:7" x14ac:dyDescent="0.25">
      <c r="A7" t="s">
        <v>12</v>
      </c>
      <c r="B7" t="s">
        <v>14</v>
      </c>
      <c r="C7" t="s">
        <v>15</v>
      </c>
      <c r="D7">
        <v>8</v>
      </c>
      <c r="E7">
        <v>23.514122247695902</v>
      </c>
      <c r="F7">
        <v>2.9383735051087199E-10</v>
      </c>
      <c r="G7">
        <v>2</v>
      </c>
    </row>
    <row r="8" spans="1:7" x14ac:dyDescent="0.25">
      <c r="A8" t="s">
        <v>8</v>
      </c>
      <c r="B8" t="s">
        <v>9</v>
      </c>
      <c r="C8" t="s">
        <v>16</v>
      </c>
      <c r="D8">
        <v>6</v>
      </c>
      <c r="E8">
        <v>5.3269503116607702</v>
      </c>
      <c r="F8" t="s">
        <v>11</v>
      </c>
      <c r="G8" t="s">
        <v>11</v>
      </c>
    </row>
    <row r="9" spans="1:7" x14ac:dyDescent="0.25">
      <c r="A9" t="s">
        <v>12</v>
      </c>
      <c r="B9" t="s">
        <v>13</v>
      </c>
      <c r="C9" t="s">
        <v>16</v>
      </c>
      <c r="D9">
        <v>6</v>
      </c>
      <c r="E9">
        <v>600.31209015846298</v>
      </c>
      <c r="F9">
        <v>4.54697106486553E-9</v>
      </c>
      <c r="G9">
        <v>2</v>
      </c>
    </row>
    <row r="10" spans="1:7" x14ac:dyDescent="0.25">
      <c r="A10" t="s">
        <v>12</v>
      </c>
      <c r="B10" t="s">
        <v>14</v>
      </c>
      <c r="C10" t="s">
        <v>16</v>
      </c>
      <c r="D10">
        <v>6</v>
      </c>
      <c r="E10">
        <v>59.090897798538201</v>
      </c>
      <c r="F10">
        <v>8.1510625182841402E-10</v>
      </c>
      <c r="G10">
        <v>2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 t="s">
        <v>12</v>
      </c>
      <c r="B14" t="s">
        <v>13</v>
      </c>
      <c r="C14" t="s">
        <v>10</v>
      </c>
      <c r="D14">
        <v>10</v>
      </c>
      <c r="E14">
        <v>4.43943548202515</v>
      </c>
      <c r="F14">
        <v>2.6587472997596602E-10</v>
      </c>
      <c r="G14">
        <v>2</v>
      </c>
    </row>
    <row r="15" spans="1:7" x14ac:dyDescent="0.25">
      <c r="A15" t="s">
        <v>12</v>
      </c>
      <c r="B15" t="s">
        <v>14</v>
      </c>
      <c r="C15" t="s">
        <v>10</v>
      </c>
      <c r="D15">
        <v>10</v>
      </c>
      <c r="E15">
        <v>0.50391292572021495</v>
      </c>
      <c r="F15">
        <v>8.7664586969100697E-11</v>
      </c>
      <c r="G15">
        <v>2</v>
      </c>
    </row>
    <row r="16" spans="1:7" x14ac:dyDescent="0.25">
      <c r="A16" t="s">
        <v>12</v>
      </c>
      <c r="B16" t="s">
        <v>13</v>
      </c>
      <c r="C16" t="s">
        <v>15</v>
      </c>
      <c r="D16">
        <v>8</v>
      </c>
      <c r="E16">
        <v>27.000347614288302</v>
      </c>
      <c r="F16">
        <v>1.4593749759940099E-9</v>
      </c>
      <c r="G16">
        <v>2</v>
      </c>
    </row>
    <row r="17" spans="1:7" x14ac:dyDescent="0.25">
      <c r="A17" t="s">
        <v>12</v>
      </c>
      <c r="B17" t="s">
        <v>14</v>
      </c>
      <c r="C17" t="s">
        <v>15</v>
      </c>
      <c r="D17">
        <v>8</v>
      </c>
      <c r="E17">
        <v>6.5134043693542498</v>
      </c>
      <c r="F17">
        <v>2.9435899997064501E-10</v>
      </c>
      <c r="G17">
        <v>2</v>
      </c>
    </row>
    <row r="18" spans="1:7" x14ac:dyDescent="0.25">
      <c r="A18" t="s">
        <v>12</v>
      </c>
      <c r="B18" t="s">
        <v>13</v>
      </c>
      <c r="C18" t="s">
        <v>16</v>
      </c>
      <c r="D18">
        <v>6</v>
      </c>
      <c r="E18">
        <v>81.221657514572101</v>
      </c>
      <c r="F18">
        <v>4.5488855544300202E-9</v>
      </c>
      <c r="G18">
        <v>2</v>
      </c>
    </row>
    <row r="19" spans="1:7" x14ac:dyDescent="0.25">
      <c r="A19" t="s">
        <v>12</v>
      </c>
      <c r="B19" t="s">
        <v>14</v>
      </c>
      <c r="C19" t="s">
        <v>16</v>
      </c>
      <c r="D19">
        <v>6</v>
      </c>
      <c r="E19">
        <v>15.713241338729899</v>
      </c>
      <c r="F19">
        <v>8.1495607734848998E-10</v>
      </c>
      <c r="G19">
        <v>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zoomScaleNormal="100" workbookViewId="0">
      <selection activeCell="H15" sqref="H15"/>
    </sheetView>
  </sheetViews>
  <sheetFormatPr baseColWidth="10" defaultColWidth="11.5703125" defaultRowHeight="15" x14ac:dyDescent="0.25"/>
  <cols>
    <col min="1" max="1" width="10.85546875" customWidth="1"/>
    <col min="2" max="2" width="9.140625" customWidth="1"/>
    <col min="3" max="3" width="14.7109375" customWidth="1"/>
    <col min="4" max="4" width="13.42578125" customWidth="1"/>
    <col min="5" max="5" width="17.140625" customWidth="1"/>
    <col min="6" max="7" width="13.85546875" bestFit="1" customWidth="1"/>
    <col min="8" max="8" width="9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17</v>
      </c>
      <c r="B2" t="s">
        <v>13</v>
      </c>
      <c r="C2" t="s">
        <v>10</v>
      </c>
      <c r="D2">
        <v>10</v>
      </c>
      <c r="E2">
        <v>9.0486795902252197</v>
      </c>
      <c r="F2">
        <v>2.6596470160441299E-10</v>
      </c>
      <c r="G2">
        <v>2</v>
      </c>
    </row>
    <row r="3" spans="1:7" x14ac:dyDescent="0.25">
      <c r="A3" t="s">
        <v>17</v>
      </c>
      <c r="B3" t="s">
        <v>14</v>
      </c>
      <c r="C3" t="s">
        <v>10</v>
      </c>
      <c r="D3">
        <v>10</v>
      </c>
      <c r="E3">
        <v>0.50904870033264205</v>
      </c>
      <c r="F3">
        <v>9.0195622059084104E-11</v>
      </c>
      <c r="G3">
        <v>2</v>
      </c>
    </row>
    <row r="4" spans="1:7" x14ac:dyDescent="0.25">
      <c r="A4" t="s">
        <v>17</v>
      </c>
      <c r="B4" t="s">
        <v>13</v>
      </c>
      <c r="C4" t="s">
        <v>15</v>
      </c>
      <c r="D4">
        <v>8</v>
      </c>
      <c r="E4">
        <v>59.631806612014799</v>
      </c>
      <c r="F4">
        <v>1.4575335233026801E-9</v>
      </c>
      <c r="G4">
        <v>2</v>
      </c>
    </row>
    <row r="5" spans="1:7" x14ac:dyDescent="0.25">
      <c r="A5" t="s">
        <v>17</v>
      </c>
      <c r="B5" t="s">
        <v>14</v>
      </c>
      <c r="C5" t="s">
        <v>15</v>
      </c>
      <c r="D5">
        <v>8</v>
      </c>
      <c r="E5">
        <v>6.3909792900085503</v>
      </c>
      <c r="F5">
        <v>4.5165489949190699E-10</v>
      </c>
      <c r="G5">
        <v>2</v>
      </c>
    </row>
    <row r="6" spans="1:7" x14ac:dyDescent="0.25">
      <c r="A6" t="s">
        <v>17</v>
      </c>
      <c r="B6" t="s">
        <v>13</v>
      </c>
      <c r="C6" t="s">
        <v>16</v>
      </c>
      <c r="D6">
        <v>6</v>
      </c>
      <c r="E6">
        <v>170.62195348739601</v>
      </c>
      <c r="F6">
        <v>4.54987417426542E-9</v>
      </c>
      <c r="G6">
        <v>2</v>
      </c>
    </row>
    <row r="7" spans="1:7" x14ac:dyDescent="0.25">
      <c r="A7" t="s">
        <v>17</v>
      </c>
      <c r="B7" t="s">
        <v>14</v>
      </c>
      <c r="C7" t="s">
        <v>16</v>
      </c>
      <c r="D7">
        <v>6</v>
      </c>
      <c r="E7">
        <v>16.998695373535199</v>
      </c>
      <c r="F7">
        <v>1.2926903997151301E-9</v>
      </c>
      <c r="G7">
        <v>2</v>
      </c>
    </row>
    <row r="10" spans="1:7" x14ac:dyDescent="0.25">
      <c r="A10" t="s">
        <v>22</v>
      </c>
      <c r="B10" t="s">
        <v>23</v>
      </c>
      <c r="C10" t="s">
        <v>24</v>
      </c>
      <c r="D10" t="s">
        <v>25</v>
      </c>
      <c r="E10" t="s">
        <v>27</v>
      </c>
      <c r="F10" t="s">
        <v>28</v>
      </c>
      <c r="G10" t="s">
        <v>29</v>
      </c>
    </row>
    <row r="11" spans="1:7" x14ac:dyDescent="0.25">
      <c r="A11">
        <v>1000</v>
      </c>
      <c r="B11">
        <f>A11+1</f>
        <v>1001</v>
      </c>
      <c r="C11">
        <f>A11-1</f>
        <v>999</v>
      </c>
      <c r="D11" s="1">
        <f>Tabla101528[[#This Row],[m]]*Tabla101528[[#This Row],[n]]*(2*Tabla101528[[#This Row],[k]]+3)</f>
        <v>2003001000</v>
      </c>
      <c r="E11" s="1">
        <f>Tabla101528[[#This Row],[nº flop]]*normal!$M$23</f>
        <v>3.4774322916666663E-2</v>
      </c>
      <c r="F11">
        <v>9.0486795902252197</v>
      </c>
      <c r="G11">
        <v>0.50904870033264205</v>
      </c>
    </row>
    <row r="12" spans="1:7" x14ac:dyDescent="0.25">
      <c r="A12">
        <v>2000</v>
      </c>
      <c r="B12">
        <f>A12+1</f>
        <v>2001</v>
      </c>
      <c r="C12">
        <f>A12-1</f>
        <v>1999</v>
      </c>
      <c r="D12" s="1">
        <f>Tabla101528[[#This Row],[m]]*Tabla101528[[#This Row],[n]]*(2*Tabla101528[[#This Row],[k]]+3)</f>
        <v>16012002000</v>
      </c>
      <c r="E12" s="1">
        <f>Tabla101528[[#This Row],[nº flop]]*normal!$M$23</f>
        <v>0.27798614583333331</v>
      </c>
      <c r="F12">
        <v>59.631806612014799</v>
      </c>
      <c r="G12">
        <v>6.3909792900085503</v>
      </c>
    </row>
    <row r="13" spans="1:7" x14ac:dyDescent="0.25">
      <c r="A13">
        <v>3000</v>
      </c>
      <c r="B13">
        <f>A13+1</f>
        <v>3001</v>
      </c>
      <c r="C13">
        <f>A13-1</f>
        <v>2999</v>
      </c>
      <c r="D13" s="1">
        <f>Tabla101528[[#This Row],[m]]*Tabla101528[[#This Row],[n]]*(2*Tabla101528[[#This Row],[k]]+3)</f>
        <v>54027003000</v>
      </c>
      <c r="E13" s="1">
        <f>Tabla101528[[#This Row],[nº flop]]*normal!$M$23</f>
        <v>0.93796880208333333</v>
      </c>
      <c r="F13">
        <v>170.62195348739601</v>
      </c>
      <c r="G13">
        <v>16.998695373535199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3"/>
  <sheetViews>
    <sheetView zoomScaleNormal="100" workbookViewId="0">
      <selection activeCell="G36" sqref="G36"/>
    </sheetView>
  </sheetViews>
  <sheetFormatPr baseColWidth="10" defaultColWidth="11.5703125" defaultRowHeight="15" x14ac:dyDescent="0.25"/>
  <cols>
    <col min="1" max="1" width="10.85546875" customWidth="1"/>
    <col min="2" max="2" width="9.140625" customWidth="1"/>
    <col min="3" max="3" width="14.7109375" customWidth="1"/>
    <col min="4" max="4" width="13.42578125" customWidth="1"/>
    <col min="5" max="5" width="17.140625" customWidth="1"/>
    <col min="6" max="6" width="19.7109375" customWidth="1"/>
    <col min="7" max="7" width="13.85546875" bestFit="1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18</v>
      </c>
      <c r="B2" t="s">
        <v>13</v>
      </c>
      <c r="C2" t="s">
        <v>19</v>
      </c>
      <c r="D2">
        <v>10</v>
      </c>
      <c r="E2">
        <v>30.453657865524299</v>
      </c>
      <c r="F2">
        <v>8.53798937089634E-11</v>
      </c>
      <c r="G2">
        <v>2</v>
      </c>
      <c r="H2">
        <v>100</v>
      </c>
    </row>
    <row r="3" spans="1:8" x14ac:dyDescent="0.25">
      <c r="A3" t="s">
        <v>18</v>
      </c>
      <c r="B3" t="s">
        <v>14</v>
      </c>
      <c r="C3" t="s">
        <v>19</v>
      </c>
      <c r="D3">
        <v>10</v>
      </c>
      <c r="E3">
        <v>1.7848148345947299</v>
      </c>
      <c r="F3">
        <v>8.1008473422254394E-11</v>
      </c>
      <c r="G3">
        <v>2</v>
      </c>
      <c r="H3">
        <v>100</v>
      </c>
    </row>
    <row r="4" spans="1:8" x14ac:dyDescent="0.25">
      <c r="A4" t="s">
        <v>18</v>
      </c>
      <c r="B4" t="s">
        <v>13</v>
      </c>
      <c r="C4" t="s">
        <v>20</v>
      </c>
      <c r="D4">
        <v>8</v>
      </c>
      <c r="E4">
        <v>191.59093880653401</v>
      </c>
      <c r="F4">
        <v>2.8296238256912799E-10</v>
      </c>
      <c r="G4">
        <v>2</v>
      </c>
      <c r="H4">
        <v>200</v>
      </c>
    </row>
    <row r="5" spans="1:8" x14ac:dyDescent="0.25">
      <c r="A5" t="s">
        <v>18</v>
      </c>
      <c r="B5" t="s">
        <v>14</v>
      </c>
      <c r="C5" t="s">
        <v>20</v>
      </c>
      <c r="D5">
        <v>8</v>
      </c>
      <c r="E5">
        <v>9.9225142002105695</v>
      </c>
      <c r="F5">
        <v>2.7141715257624699E-10</v>
      </c>
      <c r="G5">
        <v>2</v>
      </c>
      <c r="H5">
        <v>200</v>
      </c>
    </row>
    <row r="6" spans="1:8" x14ac:dyDescent="0.25">
      <c r="A6" t="s">
        <v>18</v>
      </c>
      <c r="B6" t="s">
        <v>13</v>
      </c>
      <c r="C6" t="s">
        <v>21</v>
      </c>
      <c r="D6">
        <v>6</v>
      </c>
      <c r="E6">
        <v>491.77334737777699</v>
      </c>
      <c r="F6">
        <v>6.6036736482043802E-10</v>
      </c>
      <c r="G6">
        <v>2</v>
      </c>
      <c r="H6">
        <v>300</v>
      </c>
    </row>
    <row r="7" spans="1:8" x14ac:dyDescent="0.25">
      <c r="A7" t="s">
        <v>18</v>
      </c>
      <c r="B7" t="s">
        <v>14</v>
      </c>
      <c r="C7" t="s">
        <v>21</v>
      </c>
      <c r="D7">
        <v>6</v>
      </c>
      <c r="E7">
        <v>29.737488985061599</v>
      </c>
      <c r="F7">
        <v>5.6312259313539696E-10</v>
      </c>
      <c r="G7">
        <v>2</v>
      </c>
      <c r="H7">
        <v>300</v>
      </c>
    </row>
    <row r="10" spans="1:8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</row>
    <row r="11" spans="1:8" x14ac:dyDescent="0.25">
      <c r="A11" t="s">
        <v>18</v>
      </c>
      <c r="B11" t="s">
        <v>13</v>
      </c>
      <c r="C11" t="s">
        <v>19</v>
      </c>
      <c r="D11">
        <v>10</v>
      </c>
      <c r="E11">
        <v>4.8317327499389702</v>
      </c>
      <c r="F11">
        <v>8.4984352150259005E-11</v>
      </c>
      <c r="G11">
        <v>2</v>
      </c>
      <c r="H11">
        <v>100</v>
      </c>
    </row>
    <row r="12" spans="1:8" x14ac:dyDescent="0.25">
      <c r="A12" t="s">
        <v>18</v>
      </c>
      <c r="B12" t="s">
        <v>14</v>
      </c>
      <c r="C12" t="s">
        <v>19</v>
      </c>
      <c r="D12">
        <v>10</v>
      </c>
      <c r="E12">
        <v>0.70913195610046398</v>
      </c>
      <c r="F12">
        <v>8.0647991532862006E-11</v>
      </c>
      <c r="G12">
        <v>2</v>
      </c>
      <c r="H12">
        <v>100</v>
      </c>
    </row>
    <row r="13" spans="1:8" x14ac:dyDescent="0.25">
      <c r="A13" t="s">
        <v>18</v>
      </c>
      <c r="B13" t="s">
        <v>13</v>
      </c>
      <c r="C13" t="s">
        <v>20</v>
      </c>
      <c r="D13">
        <v>8</v>
      </c>
      <c r="E13">
        <v>27.796392679214499</v>
      </c>
      <c r="F13">
        <v>2.8213323772816002E-10</v>
      </c>
      <c r="G13">
        <v>2</v>
      </c>
      <c r="H13">
        <v>200</v>
      </c>
    </row>
    <row r="14" spans="1:8" x14ac:dyDescent="0.25">
      <c r="A14" t="s">
        <v>18</v>
      </c>
      <c r="B14" t="s">
        <v>14</v>
      </c>
      <c r="C14" t="s">
        <v>20</v>
      </c>
      <c r="D14">
        <v>8</v>
      </c>
      <c r="E14">
        <v>2.3724100589752202</v>
      </c>
      <c r="F14">
        <v>2.7058630493290901E-10</v>
      </c>
      <c r="G14">
        <v>2</v>
      </c>
      <c r="H14">
        <v>200</v>
      </c>
    </row>
    <row r="15" spans="1:8" x14ac:dyDescent="0.25">
      <c r="A15" t="s">
        <v>18</v>
      </c>
      <c r="B15" t="s">
        <v>13</v>
      </c>
      <c r="C15" t="s">
        <v>21</v>
      </c>
      <c r="D15">
        <v>6</v>
      </c>
      <c r="E15">
        <v>67.768622636795001</v>
      </c>
      <c r="F15">
        <v>6.5965444247480499E-10</v>
      </c>
      <c r="G15">
        <v>2</v>
      </c>
      <c r="H15">
        <v>300</v>
      </c>
    </row>
    <row r="16" spans="1:8" x14ac:dyDescent="0.25">
      <c r="A16" t="s">
        <v>18</v>
      </c>
      <c r="B16" t="s">
        <v>14</v>
      </c>
      <c r="C16" t="s">
        <v>21</v>
      </c>
      <c r="D16">
        <v>6</v>
      </c>
      <c r="E16">
        <v>5.3505876064300502</v>
      </c>
      <c r="F16">
        <v>5.6250334493386803E-10</v>
      </c>
      <c r="G16">
        <v>2</v>
      </c>
      <c r="H16">
        <v>300</v>
      </c>
    </row>
    <row r="18" spans="1:15" ht="15.75" thickBot="1" x14ac:dyDescent="0.3"/>
    <row r="19" spans="1:15" ht="15.75" thickTop="1" x14ac:dyDescent="0.25">
      <c r="A19" s="2" t="s">
        <v>40</v>
      </c>
      <c r="B19" s="3"/>
      <c r="C19" s="3"/>
      <c r="D19" s="3"/>
      <c r="E19" s="3"/>
      <c r="F19" s="3"/>
      <c r="G19" s="4"/>
      <c r="I19" s="2" t="s">
        <v>39</v>
      </c>
      <c r="J19" s="3"/>
      <c r="K19" s="3"/>
      <c r="L19" s="3"/>
      <c r="M19" s="3"/>
      <c r="N19" s="3"/>
      <c r="O19" s="4"/>
    </row>
    <row r="20" spans="1:15" x14ac:dyDescent="0.25">
      <c r="A20" t="s">
        <v>22</v>
      </c>
      <c r="B20" t="s">
        <v>23</v>
      </c>
      <c r="C20" t="s">
        <v>24</v>
      </c>
      <c r="D20" t="s">
        <v>25</v>
      </c>
      <c r="E20" t="s">
        <v>27</v>
      </c>
      <c r="F20" t="s">
        <v>28</v>
      </c>
      <c r="G20" t="s">
        <v>29</v>
      </c>
      <c r="I20" t="s">
        <v>22</v>
      </c>
      <c r="J20" t="s">
        <v>23</v>
      </c>
      <c r="K20" t="s">
        <v>24</v>
      </c>
      <c r="L20" t="s">
        <v>25</v>
      </c>
      <c r="M20" t="s">
        <v>27</v>
      </c>
      <c r="N20" t="s">
        <v>28</v>
      </c>
      <c r="O20" t="s">
        <v>29</v>
      </c>
    </row>
    <row r="21" spans="1:15" x14ac:dyDescent="0.25">
      <c r="A21">
        <v>1000</v>
      </c>
      <c r="B21">
        <f t="shared" ref="B21:B23" si="0">A21</f>
        <v>1000</v>
      </c>
      <c r="C21">
        <f t="shared" ref="C21:C23" si="1">A21</f>
        <v>1000</v>
      </c>
      <c r="D21" s="1">
        <f>Tabla10151729[[#This Row],[n]]^2+30*Tabla10151729[[#This Row],[n]]</f>
        <v>1030000</v>
      </c>
      <c r="E21" s="1">
        <f>Tabla10151729[[#This Row],[nº flop]]*normal!$M$23</f>
        <v>1.7881944444444445E-5</v>
      </c>
      <c r="F21">
        <v>30.453657865524299</v>
      </c>
      <c r="G21">
        <v>1.7848148345947299</v>
      </c>
      <c r="I21">
        <v>1000</v>
      </c>
      <c r="J21">
        <f t="shared" ref="J21:J23" si="2">I21</f>
        <v>1000</v>
      </c>
      <c r="K21">
        <f t="shared" ref="K21:K23" si="3">I21</f>
        <v>1000</v>
      </c>
      <c r="L21" s="1">
        <f>Tabla1014161830[[#This Row],[n]]^2/normal!$K$23+30*Tabla1014161830[[#This Row],[n]]/normal!$K$23</f>
        <v>128750</v>
      </c>
      <c r="M21" s="1">
        <f>Tabla1014161830[[#This Row],[nº flop]]*normal!$M$23</f>
        <v>2.2352430555555556E-6</v>
      </c>
      <c r="N21">
        <v>4.8317327499389702</v>
      </c>
      <c r="O21">
        <v>0.70913195610046398</v>
      </c>
    </row>
    <row r="22" spans="1:15" x14ac:dyDescent="0.25">
      <c r="A22">
        <v>2000</v>
      </c>
      <c r="B22">
        <f t="shared" si="0"/>
        <v>2000</v>
      </c>
      <c r="C22">
        <f t="shared" si="1"/>
        <v>2000</v>
      </c>
      <c r="D22" s="1">
        <f>Tabla10151729[[#This Row],[n]]^2+30*Tabla10151729[[#This Row],[n]]</f>
        <v>4060000</v>
      </c>
      <c r="E22" s="1">
        <f>Tabla10151729[[#This Row],[nº flop]]*normal!$M$23</f>
        <v>7.0486111111111105E-5</v>
      </c>
      <c r="F22">
        <v>191.59093880653401</v>
      </c>
      <c r="G22">
        <v>9.9225142002105695</v>
      </c>
      <c r="I22">
        <v>2000</v>
      </c>
      <c r="J22">
        <f t="shared" si="2"/>
        <v>2000</v>
      </c>
      <c r="K22">
        <f t="shared" si="3"/>
        <v>2000</v>
      </c>
      <c r="L22" s="1">
        <f>Tabla1014161830[[#This Row],[n]]^2/normal!$K$23+30*Tabla1014161830[[#This Row],[n]]/normal!$K$23</f>
        <v>507500</v>
      </c>
      <c r="M22" s="1">
        <f>Tabla1014161830[[#This Row],[nº flop]]*normal!$M$23</f>
        <v>8.8107638888888881E-6</v>
      </c>
      <c r="N22">
        <v>27.796392679214499</v>
      </c>
      <c r="O22">
        <v>2.3724100589752202</v>
      </c>
    </row>
    <row r="23" spans="1:15" x14ac:dyDescent="0.25">
      <c r="A23">
        <v>3000</v>
      </c>
      <c r="B23">
        <f t="shared" si="0"/>
        <v>3000</v>
      </c>
      <c r="C23">
        <f t="shared" si="1"/>
        <v>3000</v>
      </c>
      <c r="D23" s="1">
        <f>Tabla10151729[[#This Row],[n]]^2+30*Tabla10151729[[#This Row],[n]]</f>
        <v>9090000</v>
      </c>
      <c r="E23" s="1">
        <f>Tabla10151729[[#This Row],[nº flop]]*normal!$M$23</f>
        <v>1.5781249999999999E-4</v>
      </c>
      <c r="F23">
        <v>491.77334737777699</v>
      </c>
      <c r="G23">
        <v>29.737488985061599</v>
      </c>
      <c r="I23">
        <v>3000</v>
      </c>
      <c r="J23">
        <f t="shared" si="2"/>
        <v>3000</v>
      </c>
      <c r="K23">
        <f t="shared" si="3"/>
        <v>3000</v>
      </c>
      <c r="L23" s="1">
        <f>Tabla1014161830[[#This Row],[n]]^2/normal!$K$23+30*Tabla1014161830[[#This Row],[n]]/normal!$K$23</f>
        <v>1136250</v>
      </c>
      <c r="M23" s="1">
        <f>Tabla1014161830[[#This Row],[nº flop]]*normal!$M$23</f>
        <v>1.9726562499999999E-5</v>
      </c>
      <c r="N23">
        <v>67.768622636795001</v>
      </c>
      <c r="O23">
        <v>5.3505876064300502</v>
      </c>
    </row>
  </sheetData>
  <mergeCells count="2">
    <mergeCell ref="A19:G19"/>
    <mergeCell ref="I19:O1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normal</vt:lpstr>
      <vt:lpstr>normal (i3)</vt:lpstr>
      <vt:lpstr>normal (Xeon)</vt:lpstr>
      <vt:lpstr>normal (Ryzen)</vt:lpstr>
      <vt:lpstr>tasks.sh</vt:lpstr>
      <vt:lpstr>bloques.sh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Administrador</dc:creator>
  <dc:description/>
  <cp:lastModifiedBy>Administrador</cp:lastModifiedBy>
  <cp:revision>1</cp:revision>
  <dcterms:created xsi:type="dcterms:W3CDTF">2015-06-05T18:17:20Z</dcterms:created>
  <dcterms:modified xsi:type="dcterms:W3CDTF">2022-11-10T22:56:48Z</dcterms:modified>
  <dc:language>en-US</dc:language>
</cp:coreProperties>
</file>