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O281827\Downloads\"/>
    </mc:Choice>
  </mc:AlternateContent>
  <bookViews>
    <workbookView xWindow="0" yWindow="0" windowWidth="28800" windowHeight="12330" firstSheet="3" activeTab="5"/>
  </bookViews>
  <sheets>
    <sheet name="Presupuesto" sheetId="3" r:id="rId1"/>
    <sheet name="Viabilidad Economica" sheetId="2" r:id="rId2"/>
    <sheet name="Viabilidad Economica (2)" sheetId="4" r:id="rId3"/>
    <sheet name="Hoja2" sheetId="5" r:id="rId4"/>
    <sheet name="Hoja2 (2)" sheetId="6" r:id="rId5"/>
    <sheet name="Hoja2 (3)" sheetId="7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" i="7" l="1"/>
  <c r="W17" i="7"/>
  <c r="Q9" i="7"/>
  <c r="Q8" i="7"/>
  <c r="Q7" i="7"/>
  <c r="B45" i="7"/>
  <c r="B42" i="7"/>
  <c r="C40" i="7"/>
  <c r="C39" i="7"/>
  <c r="F38" i="7"/>
  <c r="E38" i="7"/>
  <c r="D38" i="7"/>
  <c r="C38" i="7"/>
  <c r="D39" i="7" s="1"/>
  <c r="D40" i="7" s="1"/>
  <c r="B30" i="7"/>
  <c r="B31" i="7" s="1"/>
  <c r="V28" i="7"/>
  <c r="B28" i="7"/>
  <c r="V27" i="7"/>
  <c r="U27" i="7"/>
  <c r="V26" i="7"/>
  <c r="U26" i="7"/>
  <c r="V25" i="7"/>
  <c r="U25" i="7"/>
  <c r="V24" i="7"/>
  <c r="U24" i="7"/>
  <c r="V23" i="7"/>
  <c r="U23" i="7"/>
  <c r="B23" i="7"/>
  <c r="B22" i="7"/>
  <c r="T15" i="7"/>
  <c r="R15" i="7"/>
  <c r="Q15" i="7"/>
  <c r="B15" i="7"/>
  <c r="B17" i="7" s="1"/>
  <c r="U6" i="7" s="1"/>
  <c r="T14" i="7"/>
  <c r="R14" i="7"/>
  <c r="Q14" i="7"/>
  <c r="T13" i="7"/>
  <c r="R13" i="7"/>
  <c r="Q13" i="7"/>
  <c r="T12" i="7"/>
  <c r="R12" i="7"/>
  <c r="Q12" i="7"/>
  <c r="T11" i="7"/>
  <c r="R11" i="7"/>
  <c r="Q11" i="7"/>
  <c r="T10" i="7"/>
  <c r="R10" i="7"/>
  <c r="T9" i="7"/>
  <c r="R9" i="7"/>
  <c r="T8" i="7"/>
  <c r="R8" i="7"/>
  <c r="B8" i="7"/>
  <c r="T7" i="7"/>
  <c r="R7" i="7"/>
  <c r="F7" i="7"/>
  <c r="F8" i="7" s="1"/>
  <c r="E7" i="7"/>
  <c r="G7" i="7" s="1"/>
  <c r="V6" i="7"/>
  <c r="R6" i="7"/>
  <c r="P6" i="7"/>
  <c r="J6" i="7"/>
  <c r="K6" i="7" s="1"/>
  <c r="L6" i="7" s="1"/>
  <c r="E6" i="7"/>
  <c r="O6" i="7" s="1"/>
  <c r="Q5" i="7"/>
  <c r="P5" i="7"/>
  <c r="M5" i="7"/>
  <c r="J5" i="7"/>
  <c r="F5" i="7"/>
  <c r="E5" i="7"/>
  <c r="G5" i="7" s="1"/>
  <c r="B5" i="7"/>
  <c r="W17" i="6"/>
  <c r="X19" i="5"/>
  <c r="V5" i="5"/>
  <c r="V6" i="5"/>
  <c r="V7" i="5"/>
  <c r="V8" i="5"/>
  <c r="V9" i="5"/>
  <c r="V10" i="5"/>
  <c r="V11" i="5"/>
  <c r="V12" i="5"/>
  <c r="V13" i="5"/>
  <c r="V14" i="5"/>
  <c r="V15" i="5"/>
  <c r="G40" i="5"/>
  <c r="F39" i="5"/>
  <c r="F38" i="5"/>
  <c r="F40" i="5"/>
  <c r="E39" i="5"/>
  <c r="E40" i="5" s="1"/>
  <c r="E38" i="5"/>
  <c r="D39" i="5"/>
  <c r="D40" i="5" s="1"/>
  <c r="D38" i="5"/>
  <c r="C40" i="5"/>
  <c r="C38" i="5"/>
  <c r="C39" i="5"/>
  <c r="B45" i="6"/>
  <c r="B42" i="6"/>
  <c r="B36" i="6"/>
  <c r="M15" i="6" s="1"/>
  <c r="B31" i="6"/>
  <c r="B46" i="6" s="1"/>
  <c r="R5" i="6" s="1"/>
  <c r="B30" i="6"/>
  <c r="B28" i="6"/>
  <c r="V27" i="6"/>
  <c r="U27" i="6"/>
  <c r="V26" i="6"/>
  <c r="U26" i="6"/>
  <c r="V25" i="6"/>
  <c r="U25" i="6"/>
  <c r="V24" i="6"/>
  <c r="V28" i="6" s="1"/>
  <c r="U24" i="6"/>
  <c r="V23" i="6"/>
  <c r="U23" i="6"/>
  <c r="B23" i="6"/>
  <c r="B22" i="6"/>
  <c r="T15" i="6"/>
  <c r="R15" i="6"/>
  <c r="Q15" i="6"/>
  <c r="B15" i="6"/>
  <c r="B17" i="6" s="1"/>
  <c r="U6" i="6" s="1"/>
  <c r="T14" i="6"/>
  <c r="R14" i="6"/>
  <c r="Q14" i="6"/>
  <c r="M14" i="6"/>
  <c r="T13" i="6"/>
  <c r="R13" i="6"/>
  <c r="Q13" i="6"/>
  <c r="T12" i="6"/>
  <c r="R12" i="6"/>
  <c r="Q12" i="6"/>
  <c r="M12" i="6"/>
  <c r="T11" i="6"/>
  <c r="R11" i="6"/>
  <c r="Q11" i="6"/>
  <c r="T10" i="6"/>
  <c r="R10" i="6"/>
  <c r="Q10" i="6"/>
  <c r="M10" i="6"/>
  <c r="T9" i="6"/>
  <c r="R9" i="6"/>
  <c r="T8" i="6"/>
  <c r="R8" i="6"/>
  <c r="M8" i="6"/>
  <c r="B8" i="6"/>
  <c r="T7" i="6"/>
  <c r="R7" i="6"/>
  <c r="M7" i="6"/>
  <c r="F7" i="6"/>
  <c r="E7" i="6" s="1"/>
  <c r="T6" i="6"/>
  <c r="R6" i="6"/>
  <c r="P6" i="6"/>
  <c r="O6" i="6"/>
  <c r="M6" i="6"/>
  <c r="J6" i="6"/>
  <c r="H6" i="6"/>
  <c r="G6" i="6"/>
  <c r="E6" i="6"/>
  <c r="Q5" i="6"/>
  <c r="P5" i="6"/>
  <c r="M5" i="6"/>
  <c r="J5" i="6"/>
  <c r="F5" i="6"/>
  <c r="E5" i="6"/>
  <c r="O5" i="6" s="1"/>
  <c r="B5" i="6"/>
  <c r="V27" i="5"/>
  <c r="V26" i="5"/>
  <c r="V25" i="5"/>
  <c r="V24" i="5"/>
  <c r="V23" i="5"/>
  <c r="U27" i="5"/>
  <c r="U26" i="5"/>
  <c r="U25" i="5"/>
  <c r="U24" i="5"/>
  <c r="U23" i="5"/>
  <c r="U28" i="7" l="1"/>
  <c r="L5" i="7"/>
  <c r="P8" i="7"/>
  <c r="J8" i="7"/>
  <c r="F9" i="7"/>
  <c r="E8" i="7"/>
  <c r="H7" i="7"/>
  <c r="B36" i="7"/>
  <c r="B46" i="7"/>
  <c r="R5" i="7" s="1"/>
  <c r="I5" i="7"/>
  <c r="H5" i="7"/>
  <c r="O7" i="7"/>
  <c r="E39" i="7"/>
  <c r="E40" i="7" s="1"/>
  <c r="O5" i="7"/>
  <c r="U5" i="7"/>
  <c r="V5" i="7" s="1"/>
  <c r="G6" i="7"/>
  <c r="J7" i="7"/>
  <c r="P7" i="7"/>
  <c r="F39" i="7"/>
  <c r="F40" i="7" s="1"/>
  <c r="K5" i="7"/>
  <c r="U28" i="6"/>
  <c r="U5" i="6"/>
  <c r="V5" i="6" s="1"/>
  <c r="N6" i="6"/>
  <c r="S6" i="6" s="1"/>
  <c r="V6" i="6"/>
  <c r="O7" i="6"/>
  <c r="G7" i="6"/>
  <c r="K5" i="6"/>
  <c r="L5" i="6" s="1"/>
  <c r="G5" i="6"/>
  <c r="M9" i="6"/>
  <c r="M11" i="6"/>
  <c r="K6" i="6"/>
  <c r="L6" i="6" s="1"/>
  <c r="M13" i="6"/>
  <c r="I6" i="6"/>
  <c r="J7" i="6"/>
  <c r="P7" i="6"/>
  <c r="F8" i="6"/>
  <c r="V28" i="5"/>
  <c r="U28" i="5"/>
  <c r="G40" i="7" l="1"/>
  <c r="U7" i="7"/>
  <c r="V7" i="7" s="1"/>
  <c r="K7" i="7"/>
  <c r="L7" i="7" s="1"/>
  <c r="O8" i="7"/>
  <c r="G8" i="7"/>
  <c r="H6" i="7"/>
  <c r="P9" i="7"/>
  <c r="E9" i="7"/>
  <c r="J9" i="7"/>
  <c r="F10" i="7"/>
  <c r="M13" i="7"/>
  <c r="M11" i="7"/>
  <c r="M9" i="7"/>
  <c r="M12" i="7"/>
  <c r="M10" i="7"/>
  <c r="M7" i="7"/>
  <c r="M14" i="7"/>
  <c r="M8" i="7"/>
  <c r="M6" i="7"/>
  <c r="M15" i="7"/>
  <c r="U8" i="7"/>
  <c r="V8" i="7" s="1"/>
  <c r="K8" i="7"/>
  <c r="L8" i="7" s="1"/>
  <c r="N5" i="7"/>
  <c r="S5" i="7" s="1"/>
  <c r="Y5" i="7" s="1"/>
  <c r="I7" i="7"/>
  <c r="N7" i="7" s="1"/>
  <c r="H7" i="6"/>
  <c r="K7" i="6"/>
  <c r="L7" i="6" s="1"/>
  <c r="U7" i="6"/>
  <c r="V7" i="6" s="1"/>
  <c r="H5" i="6"/>
  <c r="Y6" i="6"/>
  <c r="W6" i="6"/>
  <c r="E8" i="6"/>
  <c r="P8" i="6"/>
  <c r="J8" i="6"/>
  <c r="F9" i="6"/>
  <c r="K9" i="7" l="1"/>
  <c r="L9" i="7" s="1"/>
  <c r="U9" i="7"/>
  <c r="V9" i="7" s="1"/>
  <c r="G9" i="7"/>
  <c r="O9" i="7"/>
  <c r="P10" i="7"/>
  <c r="J10" i="7"/>
  <c r="F11" i="7"/>
  <c r="E10" i="7"/>
  <c r="H8" i="7"/>
  <c r="I8" i="7" s="1"/>
  <c r="S7" i="7"/>
  <c r="Y7" i="7" s="1"/>
  <c r="W5" i="7"/>
  <c r="N6" i="7"/>
  <c r="S6" i="7" s="1"/>
  <c r="I6" i="7"/>
  <c r="E9" i="6"/>
  <c r="P9" i="6"/>
  <c r="J9" i="6"/>
  <c r="F10" i="6"/>
  <c r="K8" i="6"/>
  <c r="L8" i="6" s="1"/>
  <c r="U8" i="6"/>
  <c r="V8" i="6" s="1"/>
  <c r="N7" i="6"/>
  <c r="S7" i="6" s="1"/>
  <c r="Y7" i="6" s="1"/>
  <c r="I5" i="6"/>
  <c r="N5" i="6" s="1"/>
  <c r="S5" i="6" s="1"/>
  <c r="I7" i="6"/>
  <c r="G8" i="6"/>
  <c r="O8" i="6"/>
  <c r="W6" i="7" l="1"/>
  <c r="Y6" i="7"/>
  <c r="X5" i="7"/>
  <c r="U10" i="7"/>
  <c r="V10" i="7" s="1"/>
  <c r="K10" i="7"/>
  <c r="L10" i="7" s="1"/>
  <c r="W7" i="7"/>
  <c r="J11" i="7"/>
  <c r="E11" i="7"/>
  <c r="P11" i="7"/>
  <c r="F12" i="7"/>
  <c r="N8" i="7"/>
  <c r="S8" i="7" s="1"/>
  <c r="O10" i="7"/>
  <c r="G10" i="7"/>
  <c r="H9" i="7"/>
  <c r="W7" i="6"/>
  <c r="W5" i="6"/>
  <c r="Y5" i="6"/>
  <c r="O9" i="6"/>
  <c r="G9" i="6"/>
  <c r="H8" i="6"/>
  <c r="E10" i="6"/>
  <c r="P10" i="6"/>
  <c r="J10" i="6"/>
  <c r="F11" i="6"/>
  <c r="K9" i="6"/>
  <c r="U9" i="6"/>
  <c r="V9" i="6" s="1"/>
  <c r="L9" i="6"/>
  <c r="K11" i="7" l="1"/>
  <c r="L11" i="7" s="1"/>
  <c r="U11" i="7"/>
  <c r="V11" i="7" s="1"/>
  <c r="G11" i="7"/>
  <c r="O11" i="7"/>
  <c r="W8" i="7"/>
  <c r="Y8" i="7"/>
  <c r="I9" i="7"/>
  <c r="N9" i="7" s="1"/>
  <c r="S9" i="7" s="1"/>
  <c r="P12" i="7"/>
  <c r="J12" i="7"/>
  <c r="F13" i="7"/>
  <c r="E12" i="7"/>
  <c r="H10" i="7"/>
  <c r="X6" i="7"/>
  <c r="X7" i="7" s="1"/>
  <c r="H9" i="6"/>
  <c r="K10" i="6"/>
  <c r="L10" i="6" s="1"/>
  <c r="U10" i="6"/>
  <c r="V10" i="6" s="1"/>
  <c r="G10" i="6"/>
  <c r="O10" i="6"/>
  <c r="N8" i="6"/>
  <c r="S8" i="6" s="1"/>
  <c r="E11" i="6"/>
  <c r="P11" i="6"/>
  <c r="J11" i="6"/>
  <c r="F12" i="6"/>
  <c r="I8" i="6"/>
  <c r="X5" i="6"/>
  <c r="X6" i="6" s="1"/>
  <c r="X7" i="6" s="1"/>
  <c r="Y9" i="7" l="1"/>
  <c r="W9" i="7"/>
  <c r="X8" i="7"/>
  <c r="I11" i="7"/>
  <c r="H11" i="7"/>
  <c r="P13" i="7"/>
  <c r="J13" i="7"/>
  <c r="E13" i="7"/>
  <c r="F14" i="7"/>
  <c r="I10" i="7"/>
  <c r="N10" i="7" s="1"/>
  <c r="S10" i="7" s="1"/>
  <c r="O12" i="7"/>
  <c r="G12" i="7"/>
  <c r="U12" i="7"/>
  <c r="V12" i="7" s="1"/>
  <c r="K12" i="7"/>
  <c r="L12" i="7" s="1"/>
  <c r="O11" i="6"/>
  <c r="G11" i="6"/>
  <c r="H10" i="6"/>
  <c r="Y8" i="6"/>
  <c r="W8" i="6"/>
  <c r="E12" i="6"/>
  <c r="P12" i="6"/>
  <c r="F13" i="6"/>
  <c r="J12" i="6"/>
  <c r="K11" i="6"/>
  <c r="U11" i="6"/>
  <c r="V11" i="6" s="1"/>
  <c r="L11" i="6"/>
  <c r="I9" i="6"/>
  <c r="N9" i="6" s="1"/>
  <c r="S9" i="6" s="1"/>
  <c r="W10" i="7" l="1"/>
  <c r="Y10" i="7"/>
  <c r="F15" i="7"/>
  <c r="P14" i="7"/>
  <c r="J14" i="7"/>
  <c r="E14" i="7"/>
  <c r="H12" i="7"/>
  <c r="G13" i="7"/>
  <c r="O13" i="7"/>
  <c r="K13" i="7"/>
  <c r="L13" i="7" s="1"/>
  <c r="U13" i="7"/>
  <c r="V13" i="7" s="1"/>
  <c r="X9" i="7"/>
  <c r="B54" i="7"/>
  <c r="N11" i="7"/>
  <c r="S11" i="7" s="1"/>
  <c r="W9" i="6"/>
  <c r="Y9" i="6"/>
  <c r="E13" i="6"/>
  <c r="P13" i="6"/>
  <c r="J13" i="6"/>
  <c r="F14" i="6"/>
  <c r="H11" i="6"/>
  <c r="L12" i="6"/>
  <c r="K12" i="6"/>
  <c r="U12" i="6"/>
  <c r="V12" i="6" s="1"/>
  <c r="I10" i="6"/>
  <c r="N10" i="6" s="1"/>
  <c r="S10" i="6" s="1"/>
  <c r="G12" i="6"/>
  <c r="O12" i="6"/>
  <c r="X8" i="6"/>
  <c r="U14" i="7" l="1"/>
  <c r="V14" i="7" s="1"/>
  <c r="K14" i="7"/>
  <c r="L14" i="7" s="1"/>
  <c r="W11" i="7"/>
  <c r="Y11" i="7"/>
  <c r="G14" i="7"/>
  <c r="O14" i="7"/>
  <c r="H13" i="7"/>
  <c r="I13" i="7" s="1"/>
  <c r="E15" i="7"/>
  <c r="P15" i="7"/>
  <c r="J15" i="7"/>
  <c r="I12" i="7"/>
  <c r="N12" i="7" s="1"/>
  <c r="S12" i="7" s="1"/>
  <c r="X10" i="7"/>
  <c r="B55" i="7" s="1"/>
  <c r="W18" i="7"/>
  <c r="W10" i="6"/>
  <c r="Y10" i="6"/>
  <c r="K13" i="6"/>
  <c r="U13" i="6"/>
  <c r="V13" i="6" s="1"/>
  <c r="L13" i="6"/>
  <c r="N11" i="6"/>
  <c r="S11" i="6" s="1"/>
  <c r="I11" i="6"/>
  <c r="O13" i="6"/>
  <c r="G13" i="6"/>
  <c r="H12" i="6"/>
  <c r="E14" i="6"/>
  <c r="F15" i="6"/>
  <c r="P14" i="6"/>
  <c r="J14" i="6"/>
  <c r="X9" i="6"/>
  <c r="Y12" i="7" l="1"/>
  <c r="W12" i="7"/>
  <c r="U15" i="7"/>
  <c r="V15" i="7" s="1"/>
  <c r="K15" i="7"/>
  <c r="L15" i="7" s="1"/>
  <c r="O15" i="7"/>
  <c r="G15" i="7"/>
  <c r="X11" i="7"/>
  <c r="H14" i="7"/>
  <c r="N13" i="7"/>
  <c r="S13" i="7" s="1"/>
  <c r="W11" i="6"/>
  <c r="Y11" i="6"/>
  <c r="P15" i="6"/>
  <c r="J15" i="6"/>
  <c r="E15" i="6"/>
  <c r="N12" i="6"/>
  <c r="S12" i="6" s="1"/>
  <c r="H13" i="6"/>
  <c r="K14" i="6"/>
  <c r="L14" i="6" s="1"/>
  <c r="U14" i="6"/>
  <c r="V14" i="6" s="1"/>
  <c r="G14" i="6"/>
  <c r="O14" i="6"/>
  <c r="I12" i="6"/>
  <c r="X10" i="6"/>
  <c r="B55" i="6" s="1"/>
  <c r="B54" i="6"/>
  <c r="W19" i="6"/>
  <c r="R5" i="5"/>
  <c r="B46" i="5"/>
  <c r="B22" i="5"/>
  <c r="B5" i="5"/>
  <c r="W13" i="7" l="1"/>
  <c r="Y13" i="7"/>
  <c r="X12" i="7"/>
  <c r="N14" i="7"/>
  <c r="S14" i="7" s="1"/>
  <c r="I14" i="7"/>
  <c r="H15" i="7"/>
  <c r="Y12" i="6"/>
  <c r="W12" i="6"/>
  <c r="O15" i="6"/>
  <c r="G15" i="6"/>
  <c r="U15" i="6"/>
  <c r="V15" i="6" s="1"/>
  <c r="K15" i="6"/>
  <c r="L15" i="6" s="1"/>
  <c r="H14" i="6"/>
  <c r="I14" i="6" s="1"/>
  <c r="I13" i="6"/>
  <c r="N13" i="6" s="1"/>
  <c r="S13" i="6" s="1"/>
  <c r="X11" i="6"/>
  <c r="F48" i="2"/>
  <c r="B23" i="5"/>
  <c r="L25" i="2"/>
  <c r="L26" i="2"/>
  <c r="L27" i="2"/>
  <c r="L28" i="2"/>
  <c r="L29" i="2"/>
  <c r="L30" i="2"/>
  <c r="L24" i="2"/>
  <c r="R6" i="5"/>
  <c r="T6" i="5"/>
  <c r="T5" i="5"/>
  <c r="M5" i="5"/>
  <c r="Q5" i="5"/>
  <c r="F5" i="5"/>
  <c r="E5" i="5" s="1"/>
  <c r="Q13" i="5"/>
  <c r="R13" i="5"/>
  <c r="T13" i="5"/>
  <c r="Q14" i="5"/>
  <c r="R14" i="5"/>
  <c r="T14" i="5"/>
  <c r="Q15" i="5"/>
  <c r="R15" i="5"/>
  <c r="T15" i="5"/>
  <c r="Q11" i="5"/>
  <c r="Q12" i="5"/>
  <c r="Q10" i="5"/>
  <c r="R8" i="5"/>
  <c r="T8" i="5"/>
  <c r="R9" i="5"/>
  <c r="T9" i="5"/>
  <c r="R10" i="5"/>
  <c r="T10" i="5"/>
  <c r="R11" i="5"/>
  <c r="T11" i="5"/>
  <c r="R12" i="5"/>
  <c r="T12" i="5"/>
  <c r="H25" i="4"/>
  <c r="B8" i="5"/>
  <c r="J6" i="5"/>
  <c r="K6" i="5" s="1"/>
  <c r="F7" i="5"/>
  <c r="P7" i="5" s="1"/>
  <c r="E6" i="5"/>
  <c r="R7" i="5"/>
  <c r="T7" i="5"/>
  <c r="P6" i="5"/>
  <c r="B45" i="5"/>
  <c r="B42" i="5"/>
  <c r="Q9" i="5" s="1"/>
  <c r="B30" i="5"/>
  <c r="B28" i="5"/>
  <c r="B15" i="5"/>
  <c r="B17" i="5" s="1"/>
  <c r="C40" i="4"/>
  <c r="F24" i="4"/>
  <c r="G25" i="4"/>
  <c r="G26" i="4" s="1"/>
  <c r="F26" i="4" s="1"/>
  <c r="I41" i="4"/>
  <c r="I40" i="4"/>
  <c r="I39" i="4"/>
  <c r="I38" i="4"/>
  <c r="I37" i="4"/>
  <c r="I36" i="4"/>
  <c r="I35" i="4"/>
  <c r="C19" i="4"/>
  <c r="C24" i="4" s="1"/>
  <c r="L18" i="4"/>
  <c r="C35" i="4" s="1"/>
  <c r="P6" i="4"/>
  <c r="M6" i="4"/>
  <c r="C5" i="4"/>
  <c r="C8" i="4" s="1"/>
  <c r="P5" i="4"/>
  <c r="M5" i="4"/>
  <c r="P4" i="4"/>
  <c r="M4" i="4"/>
  <c r="C29" i="4" s="1"/>
  <c r="P3" i="4"/>
  <c r="C24" i="2"/>
  <c r="C19" i="2"/>
  <c r="W14" i="7" l="1"/>
  <c r="Y14" i="7"/>
  <c r="I15" i="7"/>
  <c r="N15" i="7" s="1"/>
  <c r="S15" i="7" s="1"/>
  <c r="X13" i="7"/>
  <c r="Y13" i="6"/>
  <c r="W13" i="6"/>
  <c r="H15" i="6"/>
  <c r="X12" i="6"/>
  <c r="N14" i="6"/>
  <c r="S14" i="6" s="1"/>
  <c r="Q8" i="5"/>
  <c r="P5" i="5"/>
  <c r="O5" i="5"/>
  <c r="G5" i="5"/>
  <c r="H5" i="5" s="1"/>
  <c r="J5" i="5"/>
  <c r="U5" i="5" s="1"/>
  <c r="U6" i="5"/>
  <c r="J7" i="5"/>
  <c r="K7" i="5" s="1"/>
  <c r="G6" i="5"/>
  <c r="H6" i="5" s="1"/>
  <c r="Q7" i="5"/>
  <c r="Q6" i="5"/>
  <c r="F8" i="5"/>
  <c r="P8" i="5" s="1"/>
  <c r="O6" i="5"/>
  <c r="E7" i="5"/>
  <c r="L6" i="5"/>
  <c r="B31" i="5"/>
  <c r="B36" i="5" s="1"/>
  <c r="F25" i="4"/>
  <c r="G27" i="4"/>
  <c r="H24" i="4"/>
  <c r="Y15" i="7" l="1"/>
  <c r="W15" i="7"/>
  <c r="X14" i="7"/>
  <c r="X13" i="6"/>
  <c r="Y14" i="6"/>
  <c r="W14" i="6"/>
  <c r="I15" i="6"/>
  <c r="N15" i="6" s="1"/>
  <c r="S15" i="6" s="1"/>
  <c r="K5" i="5"/>
  <c r="L5" i="5" s="1"/>
  <c r="I5" i="5"/>
  <c r="N5" i="5" s="1"/>
  <c r="S5" i="5" s="1"/>
  <c r="W5" i="5" s="1"/>
  <c r="U7" i="5"/>
  <c r="M14" i="5"/>
  <c r="M8" i="5"/>
  <c r="M10" i="5"/>
  <c r="M13" i="5"/>
  <c r="M15" i="5"/>
  <c r="M12" i="5"/>
  <c r="M11" i="5"/>
  <c r="M9" i="5"/>
  <c r="J8" i="5"/>
  <c r="G7" i="5"/>
  <c r="H7" i="5" s="1"/>
  <c r="O7" i="5"/>
  <c r="I6" i="5"/>
  <c r="N6" i="5" s="1"/>
  <c r="F9" i="5"/>
  <c r="L7" i="5"/>
  <c r="M6" i="5"/>
  <c r="M7" i="5"/>
  <c r="E8" i="5"/>
  <c r="G28" i="4"/>
  <c r="F27" i="4"/>
  <c r="C34" i="4"/>
  <c r="F35" i="4"/>
  <c r="G35" i="4"/>
  <c r="H35" i="4"/>
  <c r="X15" i="7" l="1"/>
  <c r="X5" i="5"/>
  <c r="X14" i="6"/>
  <c r="Y15" i="6"/>
  <c r="W15" i="6"/>
  <c r="Y5" i="5"/>
  <c r="S6" i="5"/>
  <c r="W6" i="5" s="1"/>
  <c r="K8" i="5"/>
  <c r="L8" i="5" s="1"/>
  <c r="U8" i="5"/>
  <c r="P9" i="5"/>
  <c r="J9" i="5"/>
  <c r="O8" i="5"/>
  <c r="G8" i="5"/>
  <c r="F10" i="5"/>
  <c r="E9" i="5"/>
  <c r="F28" i="4"/>
  <c r="G29" i="4"/>
  <c r="I24" i="4"/>
  <c r="H36" i="4"/>
  <c r="G36" i="4"/>
  <c r="F36" i="4"/>
  <c r="H26" i="4"/>
  <c r="X6" i="5" l="1"/>
  <c r="X15" i="6"/>
  <c r="Y6" i="5"/>
  <c r="H8" i="5"/>
  <c r="I8" i="5" s="1"/>
  <c r="N8" i="5" s="1"/>
  <c r="S8" i="5" s="1"/>
  <c r="W8" i="5" s="1"/>
  <c r="K9" i="5"/>
  <c r="L9" i="5" s="1"/>
  <c r="U9" i="5"/>
  <c r="P10" i="5"/>
  <c r="J10" i="5"/>
  <c r="O9" i="5"/>
  <c r="G9" i="5"/>
  <c r="E10" i="5"/>
  <c r="F11" i="5"/>
  <c r="I7" i="5"/>
  <c r="F29" i="4"/>
  <c r="G30" i="4"/>
  <c r="F30" i="4" s="1"/>
  <c r="K24" i="4"/>
  <c r="J24" i="4"/>
  <c r="H27" i="4"/>
  <c r="I25" i="4"/>
  <c r="G37" i="4"/>
  <c r="H37" i="4"/>
  <c r="F37" i="4"/>
  <c r="Y8" i="5" l="1"/>
  <c r="K10" i="5"/>
  <c r="L10" i="5" s="1"/>
  <c r="U10" i="5"/>
  <c r="H9" i="5"/>
  <c r="I9" i="5" s="1"/>
  <c r="E11" i="5"/>
  <c r="P11" i="5"/>
  <c r="J11" i="5"/>
  <c r="O10" i="5"/>
  <c r="G10" i="5"/>
  <c r="N7" i="5"/>
  <c r="S7" i="5" s="1"/>
  <c r="W7" i="5" s="1"/>
  <c r="F12" i="5"/>
  <c r="I26" i="4"/>
  <c r="J26" i="4" s="1"/>
  <c r="H38" i="4"/>
  <c r="G38" i="4"/>
  <c r="F38" i="4"/>
  <c r="H28" i="4"/>
  <c r="K25" i="4"/>
  <c r="J25" i="4"/>
  <c r="X7" i="5" l="1"/>
  <c r="X8" i="5" s="1"/>
  <c r="Y7" i="5"/>
  <c r="N9" i="5"/>
  <c r="S9" i="5" s="1"/>
  <c r="W9" i="5" s="1"/>
  <c r="W17" i="5" s="1"/>
  <c r="K11" i="5"/>
  <c r="L11" i="5" s="1"/>
  <c r="U11" i="5"/>
  <c r="H10" i="5"/>
  <c r="I10" i="5" s="1"/>
  <c r="N10" i="5" s="1"/>
  <c r="S10" i="5" s="1"/>
  <c r="W10" i="5" s="1"/>
  <c r="E12" i="5"/>
  <c r="O12" i="5" s="1"/>
  <c r="F13" i="5"/>
  <c r="P12" i="5"/>
  <c r="J12" i="5"/>
  <c r="O11" i="5"/>
  <c r="G11" i="5"/>
  <c r="K26" i="4"/>
  <c r="I27" i="4"/>
  <c r="J27" i="4" s="1"/>
  <c r="F47" i="4" s="1"/>
  <c r="F48" i="4" s="1"/>
  <c r="H29" i="4"/>
  <c r="H39" i="4"/>
  <c r="F39" i="4"/>
  <c r="G39" i="4"/>
  <c r="W18" i="5" l="1"/>
  <c r="W19" i="5"/>
  <c r="X9" i="5"/>
  <c r="X10" i="5" s="1"/>
  <c r="B54" i="5"/>
  <c r="Y10" i="5"/>
  <c r="Y9" i="5"/>
  <c r="G12" i="5"/>
  <c r="H12" i="5" s="1"/>
  <c r="I12" i="5" s="1"/>
  <c r="N12" i="5" s="1"/>
  <c r="S12" i="5" s="1"/>
  <c r="H11" i="5"/>
  <c r="I11" i="5" s="1"/>
  <c r="N11" i="5" s="1"/>
  <c r="S11" i="5" s="1"/>
  <c r="W11" i="5" s="1"/>
  <c r="K12" i="5"/>
  <c r="L12" i="5" s="1"/>
  <c r="U12" i="5"/>
  <c r="E13" i="5"/>
  <c r="F14" i="5"/>
  <c r="P13" i="5"/>
  <c r="J13" i="5"/>
  <c r="K27" i="4"/>
  <c r="I28" i="4"/>
  <c r="G40" i="4"/>
  <c r="H40" i="4"/>
  <c r="F40" i="4"/>
  <c r="H41" i="4"/>
  <c r="G41" i="4"/>
  <c r="F41" i="4"/>
  <c r="H30" i="4"/>
  <c r="L18" i="2"/>
  <c r="P4" i="2"/>
  <c r="P5" i="2"/>
  <c r="P6" i="2"/>
  <c r="P3" i="2"/>
  <c r="C39" i="2"/>
  <c r="G20" i="3"/>
  <c r="G19" i="3"/>
  <c r="E13" i="3"/>
  <c r="F13" i="3"/>
  <c r="G13" i="3" s="1"/>
  <c r="I36" i="2"/>
  <c r="I37" i="2"/>
  <c r="I38" i="2"/>
  <c r="I39" i="2"/>
  <c r="I40" i="2"/>
  <c r="I41" i="2"/>
  <c r="I35" i="2"/>
  <c r="G9" i="3"/>
  <c r="G10" i="3"/>
  <c r="G15" i="3"/>
  <c r="G16" i="3"/>
  <c r="G14" i="3"/>
  <c r="G8" i="3"/>
  <c r="G7" i="3"/>
  <c r="M5" i="2"/>
  <c r="M6" i="2"/>
  <c r="M4" i="2"/>
  <c r="C29" i="2" s="1"/>
  <c r="C5" i="2"/>
  <c r="F24" i="2" s="1"/>
  <c r="F25" i="2" s="1"/>
  <c r="W12" i="5" l="1"/>
  <c r="X11" i="5"/>
  <c r="B55" i="5"/>
  <c r="Y11" i="5"/>
  <c r="Y12" i="5"/>
  <c r="K13" i="5"/>
  <c r="L13" i="5" s="1"/>
  <c r="U13" i="5"/>
  <c r="P14" i="5"/>
  <c r="J14" i="5"/>
  <c r="F15" i="5"/>
  <c r="E14" i="5"/>
  <c r="O13" i="5"/>
  <c r="G13" i="5"/>
  <c r="H25" i="2"/>
  <c r="F26" i="2"/>
  <c r="G26" i="2" s="1"/>
  <c r="G25" i="2"/>
  <c r="I29" i="4"/>
  <c r="J29" i="4" s="1"/>
  <c r="I30" i="4"/>
  <c r="J30" i="4" s="1"/>
  <c r="K28" i="4"/>
  <c r="J28" i="4"/>
  <c r="G21" i="3"/>
  <c r="G11" i="3"/>
  <c r="G17" i="3"/>
  <c r="G23" i="3" s="1"/>
  <c r="C35" i="2"/>
  <c r="G24" i="2"/>
  <c r="C34" i="2" s="1"/>
  <c r="H24" i="2"/>
  <c r="C8" i="2"/>
  <c r="X12" i="5" l="1"/>
  <c r="K14" i="5"/>
  <c r="L14" i="5" s="1"/>
  <c r="U14" i="5"/>
  <c r="H13" i="5"/>
  <c r="I13" i="5" s="1"/>
  <c r="O14" i="5"/>
  <c r="G14" i="5"/>
  <c r="E15" i="5"/>
  <c r="J15" i="5"/>
  <c r="P15" i="5"/>
  <c r="K29" i="4"/>
  <c r="K30" i="4" s="1"/>
  <c r="D25" i="3"/>
  <c r="D26" i="3"/>
  <c r="G35" i="2"/>
  <c r="F35" i="2"/>
  <c r="H35" i="2"/>
  <c r="H14" i="5" l="1"/>
  <c r="I14" i="5" s="1"/>
  <c r="N14" i="5" s="1"/>
  <c r="S14" i="5" s="1"/>
  <c r="W14" i="5" s="1"/>
  <c r="K15" i="5"/>
  <c r="L15" i="5" s="1"/>
  <c r="U15" i="5"/>
  <c r="G15" i="5"/>
  <c r="O15" i="5"/>
  <c r="N13" i="5"/>
  <c r="S13" i="5" s="1"/>
  <c r="W13" i="5" s="1"/>
  <c r="X13" i="5" s="1"/>
  <c r="I24" i="2"/>
  <c r="K24" i="2" s="1"/>
  <c r="H26" i="2"/>
  <c r="H27" i="2" s="1"/>
  <c r="H28" i="2" s="1"/>
  <c r="H29" i="2" s="1"/>
  <c r="H30" i="2" s="1"/>
  <c r="D28" i="3"/>
  <c r="D29" i="3" s="1"/>
  <c r="D30" i="3" s="1"/>
  <c r="H36" i="2"/>
  <c r="G36" i="2"/>
  <c r="F36" i="2"/>
  <c r="I25" i="2" s="1"/>
  <c r="F27" i="2"/>
  <c r="F28" i="2" s="1"/>
  <c r="X14" i="5" l="1"/>
  <c r="Y13" i="5"/>
  <c r="Y14" i="5"/>
  <c r="H15" i="5"/>
  <c r="I15" i="5" s="1"/>
  <c r="J24" i="2"/>
  <c r="K25" i="2"/>
  <c r="G28" i="2"/>
  <c r="G27" i="2"/>
  <c r="F37" i="2"/>
  <c r="H37" i="2"/>
  <c r="G37" i="2"/>
  <c r="N15" i="5" l="1"/>
  <c r="S15" i="5" s="1"/>
  <c r="W15" i="5" s="1"/>
  <c r="X15" i="5" s="1"/>
  <c r="I26" i="2"/>
  <c r="F39" i="2"/>
  <c r="H39" i="2"/>
  <c r="G39" i="2"/>
  <c r="F29" i="2"/>
  <c r="G29" i="2" s="1"/>
  <c r="G40" i="2" s="1"/>
  <c r="J25" i="2"/>
  <c r="H38" i="2"/>
  <c r="F38" i="2"/>
  <c r="G38" i="2"/>
  <c r="Y15" i="5" l="1"/>
  <c r="I27" i="2"/>
  <c r="J27" i="2" s="1"/>
  <c r="F30" i="2"/>
  <c r="G30" i="2" s="1"/>
  <c r="F40" i="2"/>
  <c r="I28" i="2"/>
  <c r="J28" i="2" s="1"/>
  <c r="H40" i="2"/>
  <c r="J26" i="2"/>
  <c r="K26" i="2"/>
  <c r="I29" i="2" l="1"/>
  <c r="J29" i="2" s="1"/>
  <c r="K27" i="2"/>
  <c r="K28" i="2" s="1"/>
  <c r="G41" i="2"/>
  <c r="H41" i="2"/>
  <c r="F41" i="2"/>
  <c r="I30" i="2" l="1"/>
  <c r="K29" i="2"/>
  <c r="J30" i="2"/>
  <c r="K30" i="2" l="1"/>
  <c r="F47" i="2"/>
</calcChain>
</file>

<file path=xl/sharedStrings.xml><?xml version="1.0" encoding="utf-8"?>
<sst xmlns="http://schemas.openxmlformats.org/spreadsheetml/2006/main" count="404" uniqueCount="143">
  <si>
    <t xml:space="preserve">Descripción </t>
  </si>
  <si>
    <t>Unidad</t>
  </si>
  <si>
    <t>Cantidad</t>
  </si>
  <si>
    <t>Precio</t>
  </si>
  <si>
    <t>Total</t>
  </si>
  <si>
    <t>Software</t>
  </si>
  <si>
    <t>Analista</t>
  </si>
  <si>
    <t>Horas</t>
  </si>
  <si>
    <t>Diseñador</t>
  </si>
  <si>
    <t>Programador</t>
  </si>
  <si>
    <t>Tester</t>
  </si>
  <si>
    <t>Hardware</t>
  </si>
  <si>
    <t>Servidor (2 servidores 1 año)</t>
  </si>
  <si>
    <t>Hub inteligente Sonoff Bridge</t>
  </si>
  <si>
    <t>Unidades</t>
  </si>
  <si>
    <t>Strong Router 4G LTE</t>
  </si>
  <si>
    <t>Parkingdoor</t>
  </si>
  <si>
    <t>Mano de obra</t>
  </si>
  <si>
    <t>Instalación</t>
  </si>
  <si>
    <t>Mantenimiento</t>
  </si>
  <si>
    <t>TOTAL=&gt;</t>
  </si>
  <si>
    <t>Gastos generales</t>
  </si>
  <si>
    <t>Beneficio industrial</t>
  </si>
  <si>
    <t>Nuevo total</t>
  </si>
  <si>
    <t>IVA</t>
  </si>
  <si>
    <t>Presupuesto final</t>
  </si>
  <si>
    <t>DATOS</t>
  </si>
  <si>
    <t>Habitantes area metropolitana Asturias (zona centro)</t>
  </si>
  <si>
    <t>Componentes hardware</t>
  </si>
  <si>
    <t>Inflacion+intereses</t>
  </si>
  <si>
    <t>Año</t>
  </si>
  <si>
    <t>Habitantes en las ciudades</t>
  </si>
  <si>
    <t>Precio de mercado</t>
  </si>
  <si>
    <t>Precio a granel</t>
  </si>
  <si>
    <t>tienen plaza de garaje (varias personas misma plaza)</t>
  </si>
  <si>
    <t>Apertura porton</t>
  </si>
  <si>
    <t>Apertura mediante wifi/bluetooth</t>
  </si>
  <si>
    <t>Numero de plazas garajes potenciales</t>
  </si>
  <si>
    <t>Conexion garaje-Servidor</t>
  </si>
  <si>
    <t>Incremento del alcance anual</t>
  </si>
  <si>
    <t>Numero medio de plazas por garaje</t>
  </si>
  <si>
    <t>Servidor en la nuve €/h</t>
  </si>
  <si>
    <t>Numero estimado de garajes</t>
  </si>
  <si>
    <t>Propósito general</t>
  </si>
  <si>
    <t>Optimización de la computación</t>
  </si>
  <si>
    <t>Memoria optimizada</t>
  </si>
  <si>
    <t>GPU</t>
  </si>
  <si>
    <t>Servicios de instalacion y mantenimiento (Subcontratado)</t>
  </si>
  <si>
    <t>Instalacion</t>
  </si>
  <si>
    <t xml:space="preserve">Horas promedio mensuales por plaza </t>
  </si>
  <si>
    <t>Mantenimiento (precio anual por garaje)</t>
  </si>
  <si>
    <t>precio promedio de alquiler (sin carga)</t>
  </si>
  <si>
    <t>precio promedio de carga</t>
  </si>
  <si>
    <t>Costes iniciales (Desarrollo)</t>
  </si>
  <si>
    <t>uso promedio de carga</t>
  </si>
  <si>
    <t>Desarrollo software</t>
  </si>
  <si>
    <t>precio promedio final</t>
  </si>
  <si>
    <t>Comision que nos llevamos</t>
  </si>
  <si>
    <t>Desglose de ingresos (Mensuales)</t>
  </si>
  <si>
    <t>AÑO</t>
  </si>
  <si>
    <t>Plazas esperadas</t>
  </si>
  <si>
    <t>Garajes estimados</t>
  </si>
  <si>
    <t>Ingresos</t>
  </si>
  <si>
    <t>Costes</t>
  </si>
  <si>
    <t>Balance Anual</t>
  </si>
  <si>
    <t>Balance añadido</t>
  </si>
  <si>
    <t>Ingresos/Costes</t>
  </si>
  <si>
    <t>Total Ingresos Mensuales</t>
  </si>
  <si>
    <t>Costes fijos</t>
  </si>
  <si>
    <t>Componentes Hardware (Por garaje)</t>
  </si>
  <si>
    <t xml:space="preserve">Desembolso inicial para la compra del hardware </t>
  </si>
  <si>
    <t>Compra de hardware</t>
  </si>
  <si>
    <t>Costos/Año</t>
  </si>
  <si>
    <t>Servidores</t>
  </si>
  <si>
    <t>Personal administrativo</t>
  </si>
  <si>
    <t>Gastos corrientes de funcionamiento</t>
  </si>
  <si>
    <t>Desarrollo App</t>
  </si>
  <si>
    <t>Prestamo</t>
  </si>
  <si>
    <t>Interes</t>
  </si>
  <si>
    <t>Interés Annual</t>
  </si>
  <si>
    <t xml:space="preserve">Horizonte </t>
  </si>
  <si>
    <t>años</t>
  </si>
  <si>
    <t>Inflacion 3%</t>
  </si>
  <si>
    <t>Intereses 3%</t>
  </si>
  <si>
    <t>VAN (horizonte a 4 años)</t>
  </si>
  <si>
    <t>TIR</t>
  </si>
  <si>
    <t>Propietarios usuarios de P&amp;G</t>
  </si>
  <si>
    <t>Duración Prestamo (Años)</t>
  </si>
  <si>
    <t>POSIBLES USUARIOS</t>
  </si>
  <si>
    <t>Usuarios</t>
  </si>
  <si>
    <t>Gastos</t>
  </si>
  <si>
    <t>Balance</t>
  </si>
  <si>
    <t>Número de habitantes</t>
  </si>
  <si>
    <t>Número de garajes</t>
  </si>
  <si>
    <t>Número de plazas</t>
  </si>
  <si>
    <t>Fijos</t>
  </si>
  <si>
    <t>Variables</t>
  </si>
  <si>
    <t>Inversión</t>
  </si>
  <si>
    <t>Préstamo</t>
  </si>
  <si>
    <t>Comisión</t>
  </si>
  <si>
    <t>Anual</t>
  </si>
  <si>
    <t>Acumulado</t>
  </si>
  <si>
    <t>Porcentaje de habitantes en ciudad</t>
  </si>
  <si>
    <t>Nuevos</t>
  </si>
  <si>
    <t>Totales</t>
  </si>
  <si>
    <t>Nuevas</t>
  </si>
  <si>
    <t>Porcentaje de habitantes en ciudad con plazas de garaje</t>
  </si>
  <si>
    <t>Sin cargador</t>
  </si>
  <si>
    <t>Con cargador</t>
  </si>
  <si>
    <t>Porcentaje de usuarios de P&amp;G</t>
  </si>
  <si>
    <t>Número de usuarios de P&amp;G por garaje</t>
  </si>
  <si>
    <t>INGRESOS MENSUALES POR PLAZA</t>
  </si>
  <si>
    <t>Horas de alquiler</t>
  </si>
  <si>
    <t>Precio alquiler por hora (sin carga)</t>
  </si>
  <si>
    <t>Precio alquiler por hora (con carga)</t>
  </si>
  <si>
    <t>Porcentaje de alquileres con carga</t>
  </si>
  <si>
    <t>Precio alquiler promedio</t>
  </si>
  <si>
    <t>Comision Park&amp;Go</t>
  </si>
  <si>
    <t>Total ingresos Park&amp;Go</t>
  </si>
  <si>
    <t>GASTOS VARIABLES</t>
  </si>
  <si>
    <t>Por plaza nueva</t>
  </si>
  <si>
    <t>Por garaje nuevo</t>
  </si>
  <si>
    <t>Por cargador nuevo</t>
  </si>
  <si>
    <t>Mantenimiento (Anual y por garaje)</t>
  </si>
  <si>
    <t>GASTOS FIJOS (ANUALES)</t>
  </si>
  <si>
    <t>Precio por hora</t>
  </si>
  <si>
    <t>Número de servidores</t>
  </si>
  <si>
    <t>Número de horas</t>
  </si>
  <si>
    <t>Personal Administrativo</t>
  </si>
  <si>
    <t>Gastos Corrientes de Funcionamiento</t>
  </si>
  <si>
    <t>PRESTAMO</t>
  </si>
  <si>
    <t>Interés</t>
  </si>
  <si>
    <t>Duración</t>
  </si>
  <si>
    <t>Pago anual</t>
  </si>
  <si>
    <t>INVERSIÓN</t>
  </si>
  <si>
    <t>Stock</t>
  </si>
  <si>
    <t>Servicios</t>
  </si>
  <si>
    <t>NÚMEROS</t>
  </si>
  <si>
    <t>CERO</t>
  </si>
  <si>
    <t>INFORMACION</t>
  </si>
  <si>
    <t>Tasa de Actualización</t>
  </si>
  <si>
    <t>VAN</t>
  </si>
  <si>
    <t>Período de Retorno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</si>
</sst>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#,##0.00\ &quot;€&quot;;[Red]\-#,##0.00\ &quot;€&quot;"/>
    <numFmt numFmtId="164" formatCode="_(&quot;$&quot;* #,##0.00_);_(&quot;$&quot;* \(#,##0.00\);_(&quot;$&quot;* &quot;-&quot;??_);_(@_)"/>
    <numFmt numFmtId="165" formatCode="#,##0.00\ &quot;€&quot;"/>
    <numFmt numFmtId="166" formatCode="_-* #,##0.00\ [$€-C0A]_-;\-* #,##0.00\ [$€-C0A]_-;_-* &quot;-&quot;??\ [$€-C0A]_-;_-@_-"/>
  </numFmts>
  <fonts count="1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3"/>
      <color rgb="FF4C4243"/>
      <name val="Calibri"/>
      <family val="2"/>
    </font>
    <font>
      <sz val="11"/>
      <color rgb="FFFF000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36"/>
      <name val="Aptos Narrow"/>
      <family val="2"/>
      <scheme val="minor"/>
    </font>
    <font>
      <sz val="11"/>
      <color rgb="FF000000"/>
      <name val="Consolas"/>
      <family val="3"/>
    </font>
    <font>
      <sz val="11"/>
      <color rgb="FF000000"/>
      <name val="Aptos Narrow"/>
      <family val="2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4A4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CCC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3">
    <xf numFmtId="0" fontId="0" fillId="0" borderId="0" xfId="0"/>
    <xf numFmtId="165" fontId="0" fillId="0" borderId="0" xfId="0" applyNumberForma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0" applyFont="1" applyAlignment="1">
      <alignment horizontal="left" vertical="top" wrapText="1"/>
    </xf>
    <xf numFmtId="0" fontId="0" fillId="6" borderId="4" xfId="0" applyFill="1" applyBorder="1"/>
    <xf numFmtId="0" fontId="0" fillId="6" borderId="20" xfId="0" applyFill="1" applyBorder="1"/>
    <xf numFmtId="165" fontId="0" fillId="0" borderId="10" xfId="0" applyNumberFormat="1" applyBorder="1"/>
    <xf numFmtId="165" fontId="0" fillId="0" borderId="12" xfId="0" applyNumberFormat="1" applyBorder="1"/>
    <xf numFmtId="0" fontId="0" fillId="0" borderId="0" xfId="0" applyAlignment="1">
      <alignment horizontal="center" vertical="center"/>
    </xf>
    <xf numFmtId="1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165" fontId="0" fillId="0" borderId="4" xfId="0" applyNumberFormat="1" applyBorder="1"/>
    <xf numFmtId="165" fontId="7" fillId="10" borderId="3" xfId="0" applyNumberFormat="1" applyFont="1" applyFill="1" applyBorder="1"/>
    <xf numFmtId="165" fontId="0" fillId="0" borderId="17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4" fillId="11" borderId="24" xfId="0" applyNumberFormat="1" applyFont="1" applyFill="1" applyBorder="1"/>
    <xf numFmtId="8" fontId="0" fillId="12" borderId="4" xfId="0" applyNumberFormat="1" applyFill="1" applyBorder="1"/>
    <xf numFmtId="8" fontId="0" fillId="5" borderId="4" xfId="0" applyNumberFormat="1" applyFill="1" applyBorder="1"/>
    <xf numFmtId="165" fontId="0" fillId="5" borderId="4" xfId="0" applyNumberFormat="1" applyFill="1" applyBorder="1"/>
    <xf numFmtId="0" fontId="0" fillId="8" borderId="2" xfId="0" applyFill="1" applyBorder="1" applyAlignment="1">
      <alignment vertical="center"/>
    </xf>
    <xf numFmtId="8" fontId="0" fillId="6" borderId="19" xfId="0" applyNumberFormat="1" applyFill="1" applyBorder="1"/>
    <xf numFmtId="8" fontId="0" fillId="6" borderId="27" xfId="0" applyNumberFormat="1" applyFill="1" applyBorder="1"/>
    <xf numFmtId="8" fontId="0" fillId="6" borderId="18" xfId="0" applyNumberFormat="1" applyFill="1" applyBorder="1"/>
    <xf numFmtId="8" fontId="0" fillId="6" borderId="28" xfId="0" applyNumberFormat="1" applyFill="1" applyBorder="1"/>
    <xf numFmtId="8" fontId="0" fillId="6" borderId="29" xfId="0" applyNumberFormat="1" applyFill="1" applyBorder="1"/>
    <xf numFmtId="8" fontId="0" fillId="6" borderId="21" xfId="0" applyNumberFormat="1" applyFill="1" applyBorder="1"/>
    <xf numFmtId="0" fontId="0" fillId="8" borderId="29" xfId="0" applyFill="1" applyBorder="1"/>
    <xf numFmtId="0" fontId="0" fillId="8" borderId="19" xfId="0" applyFill="1" applyBorder="1" applyAlignment="1">
      <alignment horizontal="center" vertical="center"/>
    </xf>
    <xf numFmtId="0" fontId="0" fillId="8" borderId="19" xfId="0" applyFill="1" applyBorder="1" applyAlignment="1">
      <alignment vertical="center"/>
    </xf>
    <xf numFmtId="0" fontId="0" fillId="0" borderId="30" xfId="0" applyBorder="1"/>
    <xf numFmtId="0" fontId="10" fillId="0" borderId="0" xfId="0" applyFont="1" applyAlignment="1">
      <alignment vertical="center"/>
    </xf>
    <xf numFmtId="0" fontId="0" fillId="15" borderId="30" xfId="0" applyFill="1" applyBorder="1"/>
    <xf numFmtId="0" fontId="8" fillId="13" borderId="30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4" borderId="4" xfId="0" applyFont="1" applyFill="1" applyBorder="1"/>
    <xf numFmtId="165" fontId="0" fillId="0" borderId="30" xfId="0" applyNumberFormat="1" applyBorder="1"/>
    <xf numFmtId="0" fontId="8" fillId="2" borderId="30" xfId="0" applyFont="1" applyFill="1" applyBorder="1"/>
    <xf numFmtId="0" fontId="0" fillId="0" borderId="31" xfId="0" applyBorder="1"/>
    <xf numFmtId="8" fontId="0" fillId="0" borderId="30" xfId="0" applyNumberFormat="1" applyBorder="1"/>
    <xf numFmtId="0" fontId="8" fillId="3" borderId="32" xfId="0" applyFont="1" applyFill="1" applyBorder="1"/>
    <xf numFmtId="9" fontId="0" fillId="0" borderId="30" xfId="0" applyNumberFormat="1" applyBorder="1"/>
    <xf numFmtId="3" fontId="0" fillId="0" borderId="30" xfId="0" applyNumberFormat="1" applyBorder="1"/>
    <xf numFmtId="0" fontId="8" fillId="16" borderId="30" xfId="0" applyFont="1" applyFill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8" fillId="14" borderId="30" xfId="0" applyFont="1" applyFill="1" applyBorder="1"/>
    <xf numFmtId="165" fontId="8" fillId="14" borderId="30" xfId="0" applyNumberFormat="1" applyFont="1" applyFill="1" applyBorder="1"/>
    <xf numFmtId="0" fontId="0" fillId="0" borderId="33" xfId="0" applyBorder="1"/>
    <xf numFmtId="0" fontId="0" fillId="17" borderId="4" xfId="0" applyFill="1" applyBorder="1"/>
    <xf numFmtId="165" fontId="0" fillId="17" borderId="4" xfId="0" applyNumberFormat="1" applyFill="1" applyBorder="1"/>
    <xf numFmtId="0" fontId="0" fillId="5" borderId="4" xfId="0" applyFill="1" applyBorder="1" applyAlignment="1">
      <alignment horizontal="center"/>
    </xf>
    <xf numFmtId="0" fontId="0" fillId="18" borderId="30" xfId="0" applyFill="1" applyBorder="1"/>
    <xf numFmtId="0" fontId="11" fillId="0" borderId="0" xfId="0" applyFont="1"/>
    <xf numFmtId="2" fontId="0" fillId="0" borderId="0" xfId="0" applyNumberFormat="1" applyAlignment="1">
      <alignment horizontal="center" vertical="center"/>
    </xf>
    <xf numFmtId="0" fontId="12" fillId="0" borderId="30" xfId="0" applyFont="1" applyBorder="1"/>
    <xf numFmtId="0" fontId="12" fillId="0" borderId="31" xfId="0" applyFont="1" applyBorder="1"/>
    <xf numFmtId="164" fontId="0" fillId="0" borderId="0" xfId="2" applyFont="1"/>
    <xf numFmtId="0" fontId="0" fillId="0" borderId="34" xfId="0" applyBorder="1"/>
    <xf numFmtId="9" fontId="0" fillId="0" borderId="34" xfId="3" applyFont="1" applyFill="1" applyBorder="1"/>
    <xf numFmtId="166" fontId="11" fillId="0" borderId="0" xfId="2" applyNumberFormat="1" applyFont="1"/>
    <xf numFmtId="0" fontId="2" fillId="12" borderId="0" xfId="0" applyFont="1" applyFill="1"/>
    <xf numFmtId="166" fontId="0" fillId="0" borderId="30" xfId="2" applyNumberFormat="1" applyFont="1" applyBorder="1"/>
    <xf numFmtId="166" fontId="0" fillId="0" borderId="30" xfId="0" applyNumberFormat="1" applyBorder="1"/>
    <xf numFmtId="166" fontId="0" fillId="0" borderId="0" xfId="0" applyNumberFormat="1"/>
    <xf numFmtId="9" fontId="0" fillId="0" borderId="30" xfId="3" applyFont="1" applyBorder="1"/>
    <xf numFmtId="0" fontId="0" fillId="0" borderId="38" xfId="0" applyBorder="1"/>
    <xf numFmtId="0" fontId="0" fillId="0" borderId="39" xfId="0" applyBorder="1"/>
    <xf numFmtId="166" fontId="0" fillId="0" borderId="39" xfId="0" applyNumberFormat="1" applyBorder="1"/>
    <xf numFmtId="166" fontId="0" fillId="0" borderId="38" xfId="0" applyNumberFormat="1" applyBorder="1"/>
    <xf numFmtId="0" fontId="0" fillId="0" borderId="26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30" xfId="3" applyNumberFormat="1" applyFont="1" applyBorder="1"/>
    <xf numFmtId="9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166" fontId="0" fillId="0" borderId="41" xfId="0" applyNumberFormat="1" applyBorder="1"/>
    <xf numFmtId="166" fontId="0" fillId="0" borderId="42" xfId="0" applyNumberFormat="1" applyBorder="1"/>
    <xf numFmtId="166" fontId="0" fillId="0" borderId="43" xfId="0" applyNumberFormat="1" applyBorder="1"/>
    <xf numFmtId="166" fontId="0" fillId="0" borderId="30" xfId="3" applyNumberFormat="1" applyFont="1" applyBorder="1"/>
    <xf numFmtId="0" fontId="2" fillId="12" borderId="0" xfId="0" applyFont="1" applyFill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8" fillId="8" borderId="18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8" fillId="16" borderId="35" xfId="0" applyFont="1" applyFill="1" applyBorder="1" applyAlignment="1">
      <alignment horizontal="center"/>
    </xf>
    <xf numFmtId="0" fontId="8" fillId="16" borderId="36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4" fillId="0" borderId="37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0" xfId="0" applyNumberFormat="1"/>
  </cellXfs>
  <cellStyles count="4">
    <cellStyle name="Hyperlink" xfId="1"/>
    <cellStyle name="Moneda" xfId="2" builtinId="4"/>
    <cellStyle name="Normal" xfId="0" builtinId="0"/>
    <cellStyle name="Porcentaje" xfId="3" builtinId="5"/>
  </cellStyles>
  <dxfs count="1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9CCC9"/>
      <color rgb="FFFF5050"/>
      <color rgb="FFFF4A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30"/>
  <sheetViews>
    <sheetView zoomScale="160" zoomScaleNormal="160" workbookViewId="0">
      <selection activeCell="F13" sqref="F13:F16"/>
    </sheetView>
  </sheetViews>
  <sheetFormatPr baseColWidth="10" defaultColWidth="8.875" defaultRowHeight="14.25"/>
  <cols>
    <col min="3" max="3" width="28" customWidth="1"/>
    <col min="4" max="4" width="13.375" customWidth="1"/>
    <col min="5" max="5" width="9.875" bestFit="1" customWidth="1"/>
    <col min="7" max="7" width="12.375" bestFit="1" customWidth="1"/>
  </cols>
  <sheetData>
    <row r="5" spans="3:7" ht="15.75">
      <c r="C5" s="53" t="s">
        <v>0</v>
      </c>
      <c r="D5" s="53" t="s">
        <v>1</v>
      </c>
      <c r="E5" s="53" t="s">
        <v>2</v>
      </c>
      <c r="F5" s="53" t="s">
        <v>3</v>
      </c>
      <c r="G5" s="53" t="s">
        <v>4</v>
      </c>
    </row>
    <row r="6" spans="3:7" ht="15">
      <c r="C6" s="54" t="s">
        <v>5</v>
      </c>
      <c r="D6" s="54"/>
      <c r="E6" s="54"/>
      <c r="F6" s="55"/>
      <c r="G6" s="54"/>
    </row>
    <row r="7" spans="3:7">
      <c r="C7" s="33" t="s">
        <v>6</v>
      </c>
      <c r="D7" s="33" t="s">
        <v>7</v>
      </c>
      <c r="E7" s="63">
        <v>228</v>
      </c>
      <c r="F7" s="45">
        <v>45</v>
      </c>
      <c r="G7" s="45">
        <f>F7*E7</f>
        <v>10260</v>
      </c>
    </row>
    <row r="8" spans="3:7">
      <c r="C8" s="33" t="s">
        <v>8</v>
      </c>
      <c r="D8" s="33" t="s">
        <v>7</v>
      </c>
      <c r="E8" s="64">
        <v>176</v>
      </c>
      <c r="F8" s="45">
        <v>35</v>
      </c>
      <c r="G8" s="45">
        <f>F8*E8</f>
        <v>6160</v>
      </c>
    </row>
    <row r="9" spans="3:7">
      <c r="C9" s="33" t="s">
        <v>9</v>
      </c>
      <c r="D9" s="33" t="s">
        <v>7</v>
      </c>
      <c r="E9" s="64">
        <v>5044</v>
      </c>
      <c r="F9" s="45">
        <v>30</v>
      </c>
      <c r="G9" s="45">
        <f>F9*E9</f>
        <v>151320</v>
      </c>
    </row>
    <row r="10" spans="3:7">
      <c r="C10" s="33" t="s">
        <v>10</v>
      </c>
      <c r="D10" s="33" t="s">
        <v>7</v>
      </c>
      <c r="E10" s="64">
        <v>320</v>
      </c>
      <c r="F10" s="45">
        <v>30</v>
      </c>
      <c r="G10" s="45">
        <f>F10*E10</f>
        <v>9600</v>
      </c>
    </row>
    <row r="11" spans="3:7">
      <c r="G11" s="1">
        <f>SUM(G7:G10)</f>
        <v>177340</v>
      </c>
    </row>
    <row r="12" spans="3:7" ht="15">
      <c r="C12" s="54" t="s">
        <v>11</v>
      </c>
      <c r="D12" s="54"/>
      <c r="E12" s="54"/>
      <c r="F12" s="55"/>
      <c r="G12" s="54"/>
    </row>
    <row r="13" spans="3:7">
      <c r="C13" s="33" t="s">
        <v>12</v>
      </c>
      <c r="D13" s="33" t="s">
        <v>7</v>
      </c>
      <c r="E13" s="33">
        <f>365*24*2</f>
        <v>17520</v>
      </c>
      <c r="F13" s="45">
        <f>'Viabilidad Economica'!L8</f>
        <v>0.125</v>
      </c>
      <c r="G13" s="45">
        <f>F13*E13</f>
        <v>2190</v>
      </c>
    </row>
    <row r="14" spans="3:7">
      <c r="C14" s="33" t="s">
        <v>13</v>
      </c>
      <c r="D14" s="33" t="s">
        <v>14</v>
      </c>
      <c r="E14" s="33">
        <v>250</v>
      </c>
      <c r="F14" s="45">
        <v>21.6</v>
      </c>
      <c r="G14" s="45">
        <f>F14*E14</f>
        <v>5400</v>
      </c>
    </row>
    <row r="15" spans="3:7">
      <c r="C15" s="33" t="s">
        <v>15</v>
      </c>
      <c r="D15" s="33" t="s">
        <v>14</v>
      </c>
      <c r="E15" s="33">
        <v>250</v>
      </c>
      <c r="F15" s="45">
        <v>23.97</v>
      </c>
      <c r="G15" s="45">
        <f t="shared" ref="G15:G16" si="0">F15*E15</f>
        <v>5992.5</v>
      </c>
    </row>
    <row r="16" spans="3:7">
      <c r="C16" s="33" t="s">
        <v>16</v>
      </c>
      <c r="D16" s="33" t="s">
        <v>14</v>
      </c>
      <c r="E16" s="33">
        <v>250</v>
      </c>
      <c r="F16" s="45">
        <v>41.4</v>
      </c>
      <c r="G16" s="45">
        <f t="shared" si="0"/>
        <v>10350</v>
      </c>
    </row>
    <row r="17" spans="3:7">
      <c r="G17" s="1">
        <f>SUM(G13:G16)</f>
        <v>23932.5</v>
      </c>
    </row>
    <row r="18" spans="3:7" ht="15">
      <c r="C18" s="54" t="s">
        <v>17</v>
      </c>
      <c r="D18" s="54"/>
      <c r="E18" s="54"/>
      <c r="F18" s="55"/>
      <c r="G18" s="54"/>
    </row>
    <row r="19" spans="3:7">
      <c r="C19" s="33" t="s">
        <v>18</v>
      </c>
      <c r="D19" s="33" t="s">
        <v>14</v>
      </c>
      <c r="E19" s="33">
        <v>10</v>
      </c>
      <c r="F19" s="45">
        <v>100</v>
      </c>
      <c r="G19" s="45">
        <f>F19*E19</f>
        <v>1000</v>
      </c>
    </row>
    <row r="20" spans="3:7">
      <c r="C20" s="33" t="s">
        <v>19</v>
      </c>
      <c r="D20" s="33" t="s">
        <v>14</v>
      </c>
      <c r="E20" s="33">
        <v>10</v>
      </c>
      <c r="F20" s="45">
        <v>50</v>
      </c>
      <c r="G20" s="45">
        <f>F20*E20</f>
        <v>500</v>
      </c>
    </row>
    <row r="21" spans="3:7">
      <c r="G21" s="1">
        <f>SUM(G19:G20)</f>
        <v>1500</v>
      </c>
    </row>
    <row r="23" spans="3:7">
      <c r="F23" t="s">
        <v>20</v>
      </c>
      <c r="G23" s="1">
        <f>SUM(G11,G17,G21)</f>
        <v>202772.5</v>
      </c>
    </row>
    <row r="25" spans="3:7">
      <c r="C25" t="s">
        <v>21</v>
      </c>
      <c r="D25" s="1">
        <f>G23*0.12</f>
        <v>24332.7</v>
      </c>
    </row>
    <row r="26" spans="3:7">
      <c r="C26" t="s">
        <v>22</v>
      </c>
      <c r="D26" s="1">
        <f>G23*0.06</f>
        <v>12166.35</v>
      </c>
    </row>
    <row r="28" spans="3:7">
      <c r="C28" t="s">
        <v>23</v>
      </c>
      <c r="D28" s="1">
        <f>SUM(D25:D26,G23)</f>
        <v>239271.55</v>
      </c>
    </row>
    <row r="29" spans="3:7">
      <c r="C29" t="s">
        <v>24</v>
      </c>
      <c r="D29" s="1">
        <f>D28*0.21</f>
        <v>50247.025499999996</v>
      </c>
    </row>
    <row r="30" spans="3:7">
      <c r="C30" t="s">
        <v>25</v>
      </c>
      <c r="D30" s="1">
        <f>D29+D28</f>
        <v>289518.57549999998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8"/>
  <sheetViews>
    <sheetView zoomScaleNormal="100" workbookViewId="0">
      <selection activeCell="E17" sqref="E17"/>
    </sheetView>
  </sheetViews>
  <sheetFormatPr baseColWidth="10" defaultColWidth="8.875" defaultRowHeight="14.25"/>
  <cols>
    <col min="2" max="2" width="50.125" bestFit="1" customWidth="1"/>
    <col min="3" max="3" width="13.875" bestFit="1" customWidth="1"/>
    <col min="5" max="5" width="66.125" bestFit="1" customWidth="1"/>
    <col min="6" max="6" width="18.875" customWidth="1"/>
    <col min="7" max="7" width="19.625" customWidth="1"/>
    <col min="8" max="8" width="18.75" customWidth="1"/>
    <col min="9" max="9" width="19.875" customWidth="1"/>
    <col min="10" max="10" width="22.75" bestFit="1" customWidth="1"/>
    <col min="11" max="11" width="34" bestFit="1" customWidth="1"/>
    <col min="12" max="12" width="17.125" bestFit="1" customWidth="1"/>
    <col min="13" max="13" width="18.125" customWidth="1"/>
    <col min="15" max="15" width="23" bestFit="1" customWidth="1"/>
    <col min="16" max="16" width="16" customWidth="1"/>
    <col min="19" max="19" width="15.75" customWidth="1"/>
  </cols>
  <sheetData>
    <row r="1" spans="2:17" ht="15.75" thickBot="1">
      <c r="B1" s="52" t="s">
        <v>26</v>
      </c>
    </row>
    <row r="2" spans="2:17" ht="15" customHeight="1" thickBot="1">
      <c r="B2" s="33" t="s">
        <v>27</v>
      </c>
      <c r="C2" s="51">
        <v>801226</v>
      </c>
      <c r="E2" s="34"/>
      <c r="F2" s="34"/>
      <c r="G2" s="34"/>
      <c r="H2" s="34"/>
      <c r="J2" s="90" t="s">
        <v>28</v>
      </c>
      <c r="K2" s="91"/>
      <c r="L2" s="23"/>
      <c r="M2" s="30"/>
      <c r="P2" s="36" t="s">
        <v>29</v>
      </c>
      <c r="Q2" s="36" t="s">
        <v>30</v>
      </c>
    </row>
    <row r="3" spans="2:17" ht="15" customHeight="1" thickBot="1">
      <c r="B3" s="33" t="s">
        <v>31</v>
      </c>
      <c r="C3" s="50">
        <v>0.8</v>
      </c>
      <c r="E3" s="34"/>
      <c r="F3" s="34"/>
      <c r="G3" s="34"/>
      <c r="H3" s="34"/>
      <c r="J3" s="92"/>
      <c r="K3" s="93"/>
      <c r="L3" s="32" t="s">
        <v>32</v>
      </c>
      <c r="M3" s="31" t="s">
        <v>33</v>
      </c>
      <c r="P3" s="35">
        <f>1/(1.03^Q3)</f>
        <v>0.970873786407767</v>
      </c>
      <c r="Q3" s="35">
        <v>1</v>
      </c>
    </row>
    <row r="4" spans="2:17" ht="15" customHeight="1" thickBot="1">
      <c r="B4" s="33" t="s">
        <v>34</v>
      </c>
      <c r="C4" s="50">
        <v>0.15</v>
      </c>
      <c r="E4" s="34"/>
      <c r="F4" s="34"/>
      <c r="G4" s="34"/>
      <c r="H4" s="34"/>
      <c r="J4" s="6" t="s">
        <v>35</v>
      </c>
      <c r="K4" s="7" t="s">
        <v>36</v>
      </c>
      <c r="L4" s="25">
        <v>69</v>
      </c>
      <c r="M4" s="28">
        <f>L4*0.6</f>
        <v>41.4</v>
      </c>
      <c r="P4" s="35">
        <f t="shared" ref="P4:P6" si="0">1/(1.03^Q4)</f>
        <v>0.94259590913375435</v>
      </c>
      <c r="Q4" s="35">
        <v>2</v>
      </c>
    </row>
    <row r="5" spans="2:17" ht="15" customHeight="1" thickBot="1">
      <c r="B5" s="33" t="s">
        <v>37</v>
      </c>
      <c r="C5" s="33">
        <f>C2*C3*C4</f>
        <v>96147.12000000001</v>
      </c>
      <c r="E5" s="34"/>
      <c r="F5" s="34"/>
      <c r="G5" s="34"/>
      <c r="H5" s="34"/>
      <c r="J5" s="100" t="s">
        <v>38</v>
      </c>
      <c r="K5" s="7" t="s">
        <v>13</v>
      </c>
      <c r="L5" s="26">
        <v>36</v>
      </c>
      <c r="M5" s="24">
        <f t="shared" ref="M5:M6" si="1">L5*0.6</f>
        <v>21.599999999999998</v>
      </c>
      <c r="P5" s="35">
        <f t="shared" si="0"/>
        <v>0.91514165935315961</v>
      </c>
      <c r="Q5" s="35">
        <v>3</v>
      </c>
    </row>
    <row r="6" spans="2:17" ht="15" customHeight="1" thickBot="1">
      <c r="B6" s="33" t="s">
        <v>39</v>
      </c>
      <c r="C6" s="50">
        <v>5.1999999999999998E-3</v>
      </c>
      <c r="E6" s="34"/>
      <c r="F6" s="34"/>
      <c r="G6" s="34"/>
      <c r="H6" s="34"/>
      <c r="J6" s="100"/>
      <c r="K6" s="7" t="s">
        <v>15</v>
      </c>
      <c r="L6" s="27">
        <v>39.950000000000003</v>
      </c>
      <c r="M6" s="29">
        <f t="shared" si="1"/>
        <v>23.970000000000002</v>
      </c>
      <c r="P6" s="35">
        <f t="shared" si="0"/>
        <v>0.888487047915689</v>
      </c>
      <c r="Q6" s="35">
        <v>4</v>
      </c>
    </row>
    <row r="7" spans="2:17" ht="15" customHeight="1" thickBot="1">
      <c r="B7" s="33" t="s">
        <v>40</v>
      </c>
      <c r="C7" s="33">
        <v>12</v>
      </c>
      <c r="E7" s="34"/>
      <c r="F7" s="34"/>
      <c r="G7" s="34"/>
      <c r="H7" s="34"/>
      <c r="J7" s="107" t="s">
        <v>41</v>
      </c>
      <c r="K7" s="108"/>
      <c r="L7" s="96"/>
    </row>
    <row r="8" spans="2:17" ht="17.45" customHeight="1">
      <c r="B8" s="33" t="s">
        <v>42</v>
      </c>
      <c r="C8" s="33">
        <f>C5/C7</f>
        <v>8012.2600000000011</v>
      </c>
      <c r="E8" s="34"/>
      <c r="F8" s="34"/>
      <c r="G8" s="34"/>
      <c r="H8" s="34"/>
      <c r="J8" s="109" t="s">
        <v>43</v>
      </c>
      <c r="K8" s="110"/>
      <c r="L8" s="2">
        <v>0.125</v>
      </c>
    </row>
    <row r="9" spans="2:17" ht="44.25">
      <c r="E9" s="34"/>
      <c r="F9" s="34"/>
      <c r="G9" s="34"/>
      <c r="H9" s="34"/>
      <c r="J9" s="105" t="s">
        <v>44</v>
      </c>
      <c r="K9" s="106"/>
      <c r="L9" s="3">
        <v>0.14099999999999999</v>
      </c>
    </row>
    <row r="10" spans="2:17" ht="17.45" customHeight="1">
      <c r="E10" s="34"/>
      <c r="F10" s="34"/>
      <c r="G10" s="34"/>
      <c r="H10" s="34"/>
      <c r="J10" s="105" t="s">
        <v>45</v>
      </c>
      <c r="K10" s="106"/>
      <c r="L10" s="3">
        <v>0.17699999999999999</v>
      </c>
    </row>
    <row r="11" spans="2:17" ht="18" customHeight="1" thickBot="1">
      <c r="E11" s="34"/>
      <c r="F11" s="34"/>
      <c r="G11" s="34"/>
      <c r="H11" s="34"/>
      <c r="J11" s="103" t="s">
        <v>46</v>
      </c>
      <c r="K11" s="104"/>
      <c r="L11" s="4">
        <v>0.88</v>
      </c>
    </row>
    <row r="12" spans="2:17" ht="15" customHeight="1" thickBot="1">
      <c r="E12" s="34"/>
      <c r="F12" s="34"/>
      <c r="G12" s="34"/>
      <c r="H12" s="34"/>
    </row>
    <row r="13" spans="2:17" ht="14.45" customHeight="1">
      <c r="E13" s="34"/>
      <c r="F13" s="34"/>
      <c r="G13" s="34"/>
      <c r="H13" s="34"/>
      <c r="J13" s="94" t="s">
        <v>47</v>
      </c>
      <c r="K13" s="95"/>
      <c r="L13" s="96"/>
    </row>
    <row r="14" spans="2:17" ht="15">
      <c r="B14" s="52" t="s">
        <v>26</v>
      </c>
      <c r="J14" s="99" t="s">
        <v>48</v>
      </c>
      <c r="K14" s="100"/>
      <c r="L14" s="8">
        <v>100</v>
      </c>
    </row>
    <row r="15" spans="2:17" ht="15" thickBot="1">
      <c r="B15" s="47" t="s">
        <v>49</v>
      </c>
      <c r="C15" s="33">
        <v>40</v>
      </c>
      <c r="J15" s="97" t="s">
        <v>50</v>
      </c>
      <c r="K15" s="98"/>
      <c r="L15" s="9">
        <v>35</v>
      </c>
    </row>
    <row r="16" spans="2:17">
      <c r="B16" s="33" t="s">
        <v>51</v>
      </c>
      <c r="C16" s="45">
        <v>1.5</v>
      </c>
      <c r="F16" s="1"/>
      <c r="H16" s="1"/>
    </row>
    <row r="17" spans="2:16" ht="15">
      <c r="B17" s="33" t="s">
        <v>52</v>
      </c>
      <c r="C17" s="45">
        <v>14</v>
      </c>
      <c r="J17" s="101" t="s">
        <v>53</v>
      </c>
      <c r="K17" s="101"/>
      <c r="L17" s="101"/>
    </row>
    <row r="18" spans="2:16">
      <c r="B18" s="33" t="s">
        <v>54</v>
      </c>
      <c r="C18" s="50">
        <v>0.01</v>
      </c>
      <c r="J18" s="102" t="s">
        <v>55</v>
      </c>
      <c r="K18" s="102"/>
      <c r="L18" s="15">
        <f>+Presupuesto!G11</f>
        <v>177340</v>
      </c>
    </row>
    <row r="19" spans="2:16">
      <c r="B19" s="33" t="s">
        <v>56</v>
      </c>
      <c r="C19" s="45">
        <f>C17*C18+C16*(1-C18)</f>
        <v>1.625</v>
      </c>
      <c r="J19" s="89"/>
      <c r="K19" s="89"/>
    </row>
    <row r="20" spans="2:16">
      <c r="B20" s="33" t="s">
        <v>57</v>
      </c>
      <c r="C20" s="50">
        <v>0.2</v>
      </c>
    </row>
    <row r="23" spans="2:16" ht="15">
      <c r="B23" s="46" t="s">
        <v>58</v>
      </c>
      <c r="E23" s="37" t="s">
        <v>59</v>
      </c>
      <c r="F23" s="37" t="s">
        <v>60</v>
      </c>
      <c r="G23" s="37" t="s">
        <v>61</v>
      </c>
      <c r="H23" s="38" t="s">
        <v>62</v>
      </c>
      <c r="I23" s="39" t="s">
        <v>63</v>
      </c>
      <c r="J23" s="40" t="s">
        <v>64</v>
      </c>
      <c r="K23" s="41" t="s">
        <v>65</v>
      </c>
      <c r="L23" t="s">
        <v>66</v>
      </c>
    </row>
    <row r="24" spans="2:16">
      <c r="B24" s="47" t="s">
        <v>67</v>
      </c>
      <c r="C24" s="45">
        <f>C19*C15*C20</f>
        <v>13</v>
      </c>
      <c r="E24" s="12">
        <v>1</v>
      </c>
      <c r="F24" s="11">
        <f>C5*C6</f>
        <v>499.96502400000003</v>
      </c>
      <c r="G24" s="11">
        <f>(F24/2)</f>
        <v>249.98251200000001</v>
      </c>
      <c r="H24" s="16">
        <f>F24*$C$26*12+B38</f>
        <v>300000</v>
      </c>
      <c r="I24" s="19">
        <f>SUM(F35:K35)+C39</f>
        <v>204928.61818864002</v>
      </c>
      <c r="J24" s="15">
        <f>H24-I24</f>
        <v>95071.381811359985</v>
      </c>
      <c r="K24" s="17">
        <f>H24-I24</f>
        <v>95071.381811359985</v>
      </c>
      <c r="L24">
        <f>H24/I24</f>
        <v>1.4639243784089018</v>
      </c>
    </row>
    <row r="25" spans="2:16">
      <c r="E25" s="12">
        <v>2</v>
      </c>
      <c r="F25" s="11">
        <f>F24*1.2</f>
        <v>599.95802879999997</v>
      </c>
      <c r="G25" s="11">
        <f>(F25/2.5)</f>
        <v>239.98321152</v>
      </c>
      <c r="H25" s="16">
        <f>F25*$C$24*12</f>
        <v>93593.452492799988</v>
      </c>
      <c r="I25" s="19">
        <f>SUM(F36:K36)+C39</f>
        <v>155969.8431924544</v>
      </c>
      <c r="J25" s="15">
        <f t="shared" ref="J25:J30" si="2">H25-I25</f>
        <v>-62376.39069965441</v>
      </c>
      <c r="K25" s="18">
        <f t="shared" ref="K25:K30" si="3">K24+(H25-I25)</f>
        <v>32694.991111705574</v>
      </c>
      <c r="L25">
        <f t="shared" ref="L25:L30" si="4">H25/I25</f>
        <v>0.60007403083244182</v>
      </c>
    </row>
    <row r="26" spans="2:16">
      <c r="D26" s="65"/>
      <c r="E26" s="12">
        <v>3</v>
      </c>
      <c r="F26" s="11">
        <f>F25*1.1</f>
        <v>659.95383168000001</v>
      </c>
      <c r="G26" s="11">
        <f t="shared" ref="G26:G30" si="5">(F26/3)</f>
        <v>219.98461055999999</v>
      </c>
      <c r="H26" s="16">
        <f>F26*$C$24*12</f>
        <v>102952.79774208</v>
      </c>
      <c r="I26" s="19">
        <f>SUM(F37:K37)+C39</f>
        <v>153400.32294810881</v>
      </c>
      <c r="J26" s="15">
        <f t="shared" si="2"/>
        <v>-50447.525206028804</v>
      </c>
      <c r="K26" s="18">
        <f t="shared" si="3"/>
        <v>-17752.53409432323</v>
      </c>
      <c r="L26">
        <f t="shared" si="4"/>
        <v>0.67113807691856131</v>
      </c>
    </row>
    <row r="27" spans="2:16">
      <c r="E27" s="12">
        <v>4</v>
      </c>
      <c r="F27" s="11">
        <f>F26*1.05</f>
        <v>692.951523264</v>
      </c>
      <c r="G27" s="11">
        <f t="shared" si="5"/>
        <v>230.98384108799999</v>
      </c>
      <c r="H27" s="16">
        <f t="shared" ref="H27:H30" si="6">H26*1.03</f>
        <v>106041.38167434241</v>
      </c>
      <c r="I27" s="19">
        <f>SUM(F38:K38)+C39</f>
        <v>159580.96056990017</v>
      </c>
      <c r="J27" s="15">
        <f t="shared" si="2"/>
        <v>-53539.578895557759</v>
      </c>
      <c r="K27" s="18">
        <f t="shared" si="3"/>
        <v>-71292.112989880989</v>
      </c>
      <c r="L27">
        <f t="shared" si="4"/>
        <v>0.66449895586318286</v>
      </c>
    </row>
    <row r="28" spans="2:16" ht="15">
      <c r="B28" s="49" t="s">
        <v>68</v>
      </c>
      <c r="E28" s="12">
        <v>5</v>
      </c>
      <c r="F28" s="11">
        <f>F27*1.04</f>
        <v>720.66958419456</v>
      </c>
      <c r="G28" s="11">
        <f t="shared" si="5"/>
        <v>240.22319473152001</v>
      </c>
      <c r="H28" s="16">
        <f t="shared" si="6"/>
        <v>109222.62312457268</v>
      </c>
      <c r="I28" s="19">
        <f>SUM(F39:K39)</f>
        <v>82325.293766332135</v>
      </c>
      <c r="J28" s="15">
        <f t="shared" si="2"/>
        <v>26897.329358240546</v>
      </c>
      <c r="K28" s="18">
        <f t="shared" si="3"/>
        <v>-44394.783631640443</v>
      </c>
      <c r="L28">
        <f t="shared" si="4"/>
        <v>1.3267201139249443</v>
      </c>
      <c r="N28" s="13"/>
      <c r="O28" s="13"/>
      <c r="P28" s="13"/>
    </row>
    <row r="29" spans="2:16" ht="15">
      <c r="B29" s="33" t="s">
        <v>69</v>
      </c>
      <c r="C29" s="48">
        <f>SUM(M4:M6)</f>
        <v>86.97</v>
      </c>
      <c r="E29" s="12">
        <v>6</v>
      </c>
      <c r="F29" s="11">
        <f t="shared" ref="F29:F30" si="7">F28*1.03</f>
        <v>742.28967172039677</v>
      </c>
      <c r="G29" s="11">
        <f t="shared" si="5"/>
        <v>247.4298905734656</v>
      </c>
      <c r="H29" s="16">
        <f t="shared" si="6"/>
        <v>112499.30181830986</v>
      </c>
      <c r="I29" s="19">
        <f>SUM(F40:K40)</f>
        <v>82197.48209163986</v>
      </c>
      <c r="J29" s="15">
        <f t="shared" si="2"/>
        <v>30301.819726670001</v>
      </c>
      <c r="K29" s="18">
        <f t="shared" si="3"/>
        <v>-14092.963904970442</v>
      </c>
      <c r="L29">
        <f t="shared" si="4"/>
        <v>1.3686465686733236</v>
      </c>
      <c r="M29" s="13"/>
      <c r="N29" s="13"/>
      <c r="O29" s="14"/>
      <c r="P29" s="13"/>
    </row>
    <row r="30" spans="2:16" ht="15">
      <c r="E30" s="12">
        <v>7</v>
      </c>
      <c r="F30" s="11">
        <f t="shared" si="7"/>
        <v>764.55836187200873</v>
      </c>
      <c r="G30" s="11">
        <f t="shared" si="5"/>
        <v>254.85278729066957</v>
      </c>
      <c r="H30" s="16">
        <f t="shared" si="6"/>
        <v>115874.28087285916</v>
      </c>
      <c r="I30" s="19">
        <f>SUM(F41:K41)</f>
        <v>82497.706554389064</v>
      </c>
      <c r="J30" s="15">
        <f t="shared" si="2"/>
        <v>33376.574318470099</v>
      </c>
      <c r="K30" s="18">
        <f t="shared" si="3"/>
        <v>19283.610413499657</v>
      </c>
      <c r="L30">
        <f t="shared" si="4"/>
        <v>1.4045757841336546</v>
      </c>
      <c r="M30" s="13"/>
      <c r="N30" s="13"/>
      <c r="O30" s="13"/>
      <c r="P30" s="13"/>
    </row>
    <row r="31" spans="2:16" ht="15">
      <c r="L31" s="13"/>
      <c r="M31" s="13"/>
      <c r="N31" s="13"/>
      <c r="O31" s="14"/>
      <c r="P31" s="13"/>
    </row>
    <row r="32" spans="2:16" ht="15">
      <c r="L32" s="13"/>
      <c r="M32" s="13"/>
      <c r="N32" s="13"/>
      <c r="O32" s="14"/>
      <c r="P32" s="13"/>
    </row>
    <row r="33" spans="2:16" ht="15">
      <c r="B33" s="44" t="s">
        <v>70</v>
      </c>
      <c r="C33" s="56"/>
      <c r="L33" s="13"/>
      <c r="M33" s="13"/>
      <c r="N33" s="13"/>
      <c r="O33" s="14"/>
      <c r="P33" s="13"/>
    </row>
    <row r="34" spans="2:16" ht="15">
      <c r="B34" s="15" t="s">
        <v>71</v>
      </c>
      <c r="C34" s="20">
        <f>G24*C29</f>
        <v>21740.979068640001</v>
      </c>
      <c r="E34" s="42" t="s">
        <v>72</v>
      </c>
      <c r="F34" s="43" t="s">
        <v>11</v>
      </c>
      <c r="G34" s="43" t="s">
        <v>48</v>
      </c>
      <c r="H34" s="43" t="s">
        <v>19</v>
      </c>
      <c r="I34" s="43" t="s">
        <v>73</v>
      </c>
      <c r="J34" s="43" t="s">
        <v>74</v>
      </c>
      <c r="K34" s="43" t="s">
        <v>75</v>
      </c>
      <c r="L34" s="13"/>
      <c r="M34" s="13"/>
      <c r="N34" s="13"/>
      <c r="O34" s="13"/>
      <c r="P34" s="13"/>
    </row>
    <row r="35" spans="2:16" ht="15">
      <c r="B35" s="15" t="s">
        <v>76</v>
      </c>
      <c r="C35" s="15">
        <f>L18</f>
        <v>177340</v>
      </c>
      <c r="E35" s="59">
        <v>1</v>
      </c>
      <c r="F35" s="21">
        <f>G24*$C$29</f>
        <v>21740.979068640001</v>
      </c>
      <c r="G35" s="22">
        <f>G24*($L$14)</f>
        <v>24998.251200000002</v>
      </c>
      <c r="H35" s="22">
        <f t="shared" ref="H35:H41" si="8">G24*$L$15</f>
        <v>8749.387920000001</v>
      </c>
      <c r="I35" s="22">
        <f t="shared" ref="I35:I41" si="9">(SUM($L$8)*365*24*2)</f>
        <v>2190</v>
      </c>
      <c r="J35" s="15">
        <v>50000</v>
      </c>
      <c r="K35" s="15">
        <v>20000</v>
      </c>
      <c r="L35" s="13"/>
      <c r="M35" s="13"/>
      <c r="N35" s="13"/>
      <c r="O35" s="14"/>
      <c r="P35" s="13"/>
    </row>
    <row r="36" spans="2:16" ht="15">
      <c r="E36" s="59">
        <v>2</v>
      </c>
      <c r="F36" s="21">
        <f t="shared" ref="F36:F41" si="10">(G25-G24)*$C$29</f>
        <v>-869.63916274560142</v>
      </c>
      <c r="G36" s="22">
        <f t="shared" ref="G36:G41" si="11">(G25-G24)*$L$14</f>
        <v>-999.93004800000165</v>
      </c>
      <c r="H36" s="22">
        <f t="shared" si="8"/>
        <v>8399.4124032</v>
      </c>
      <c r="I36" s="22">
        <f t="shared" si="9"/>
        <v>2190</v>
      </c>
      <c r="J36" s="15">
        <v>50000</v>
      </c>
      <c r="K36" s="15">
        <v>20000</v>
      </c>
      <c r="L36" s="13"/>
      <c r="M36" s="13"/>
      <c r="N36" s="13"/>
      <c r="O36" s="14"/>
      <c r="P36" s="13"/>
    </row>
    <row r="37" spans="2:16" ht="15">
      <c r="B37" s="60" t="s">
        <v>77</v>
      </c>
      <c r="C37" s="33" t="s">
        <v>78</v>
      </c>
      <c r="E37" s="59">
        <v>3</v>
      </c>
      <c r="F37" s="21">
        <f t="shared" si="10"/>
        <v>-1739.2783254912003</v>
      </c>
      <c r="G37" s="22">
        <f t="shared" si="11"/>
        <v>-1999.8600960000003</v>
      </c>
      <c r="H37" s="22">
        <f t="shared" si="8"/>
        <v>7699.4613695999997</v>
      </c>
      <c r="I37" s="22">
        <f t="shared" si="9"/>
        <v>2190</v>
      </c>
      <c r="J37" s="15">
        <v>50000</v>
      </c>
      <c r="K37" s="15">
        <v>20000</v>
      </c>
      <c r="L37" s="13"/>
      <c r="M37" s="13"/>
      <c r="N37" s="13"/>
      <c r="O37" s="13"/>
      <c r="P37" s="13"/>
    </row>
    <row r="38" spans="2:16" ht="15">
      <c r="B38" s="45">
        <v>300000</v>
      </c>
      <c r="C38" s="50">
        <v>0.03</v>
      </c>
      <c r="E38" s="59">
        <v>4</v>
      </c>
      <c r="F38" s="21">
        <f t="shared" si="10"/>
        <v>956.60307902015984</v>
      </c>
      <c r="G38" s="22">
        <f t="shared" si="11"/>
        <v>1099.9230527999998</v>
      </c>
      <c r="H38" s="22">
        <f t="shared" si="8"/>
        <v>8084.4344380799994</v>
      </c>
      <c r="I38" s="22">
        <f t="shared" si="9"/>
        <v>2190</v>
      </c>
      <c r="J38" s="15">
        <v>50000</v>
      </c>
      <c r="K38" s="15">
        <v>20000</v>
      </c>
      <c r="L38" s="13"/>
      <c r="M38" s="13"/>
      <c r="N38" s="13"/>
      <c r="O38" s="14"/>
      <c r="P38" s="13"/>
    </row>
    <row r="39" spans="2:16" ht="15">
      <c r="B39" s="1" t="s">
        <v>79</v>
      </c>
      <c r="C39" s="61">
        <f>((B38/B43)*(1+C38))</f>
        <v>77250</v>
      </c>
      <c r="E39" s="59">
        <v>5</v>
      </c>
      <c r="F39" s="21">
        <f t="shared" si="10"/>
        <v>803.54658637693603</v>
      </c>
      <c r="G39" s="22">
        <f t="shared" si="11"/>
        <v>923.9353643520019</v>
      </c>
      <c r="H39" s="22">
        <f t="shared" si="8"/>
        <v>8407.8118156031996</v>
      </c>
      <c r="I39" s="22">
        <f t="shared" si="9"/>
        <v>2190</v>
      </c>
      <c r="J39" s="15">
        <v>50000</v>
      </c>
      <c r="K39" s="15">
        <v>20000</v>
      </c>
      <c r="L39" s="13"/>
      <c r="M39" s="13"/>
      <c r="N39" s="13"/>
      <c r="O39" s="14"/>
      <c r="P39" s="13"/>
    </row>
    <row r="40" spans="2:16" ht="15">
      <c r="E40" s="59">
        <v>6</v>
      </c>
      <c r="F40" s="21">
        <f t="shared" si="10"/>
        <v>626.76633737400789</v>
      </c>
      <c r="G40" s="22">
        <f t="shared" si="11"/>
        <v>720.66958419455887</v>
      </c>
      <c r="H40" s="22">
        <f t="shared" si="8"/>
        <v>8660.0461700712967</v>
      </c>
      <c r="I40" s="22">
        <f t="shared" si="9"/>
        <v>2190</v>
      </c>
      <c r="J40" s="15">
        <v>50000</v>
      </c>
      <c r="K40" s="15">
        <v>20000</v>
      </c>
      <c r="L40" s="13"/>
      <c r="M40" s="13"/>
      <c r="N40" s="13"/>
      <c r="O40" s="14"/>
      <c r="P40" s="13"/>
    </row>
    <row r="41" spans="2:16" ht="15">
      <c r="E41" s="59">
        <v>7</v>
      </c>
      <c r="F41" s="21">
        <f t="shared" si="10"/>
        <v>645.56932749522912</v>
      </c>
      <c r="G41" s="22">
        <f t="shared" si="11"/>
        <v>742.28967172039688</v>
      </c>
      <c r="H41" s="22">
        <f t="shared" si="8"/>
        <v>8919.8475551734355</v>
      </c>
      <c r="I41" s="22">
        <f t="shared" si="9"/>
        <v>2190</v>
      </c>
      <c r="J41" s="15">
        <v>50000</v>
      </c>
      <c r="K41" s="15">
        <v>20000</v>
      </c>
      <c r="L41" s="13"/>
      <c r="M41" s="13"/>
      <c r="N41" s="13"/>
      <c r="O41" s="13"/>
      <c r="P41" s="13"/>
    </row>
    <row r="42" spans="2:16" ht="15">
      <c r="B42" s="60" t="s">
        <v>80</v>
      </c>
      <c r="L42" s="13"/>
      <c r="M42" s="13"/>
      <c r="N42" s="13"/>
      <c r="O42" s="14"/>
      <c r="P42" s="13"/>
    </row>
    <row r="43" spans="2:16">
      <c r="B43" s="47">
        <v>4</v>
      </c>
      <c r="C43" s="33" t="s">
        <v>81</v>
      </c>
      <c r="J43" s="10"/>
    </row>
    <row r="44" spans="2:16">
      <c r="E44" t="s">
        <v>82</v>
      </c>
      <c r="J44" s="10"/>
    </row>
    <row r="45" spans="2:16">
      <c r="E45" t="s">
        <v>83</v>
      </c>
      <c r="J45" s="10"/>
    </row>
    <row r="46" spans="2:16">
      <c r="J46" s="10"/>
    </row>
    <row r="47" spans="2:16">
      <c r="E47" s="57" t="s">
        <v>84</v>
      </c>
      <c r="F47" s="58">
        <f>SUMPRODUCT(J24:J27,P3:P6)</f>
        <v>-60229.272588678214</v>
      </c>
      <c r="J47" s="10"/>
    </row>
    <row r="48" spans="2:16">
      <c r="E48" t="s">
        <v>85</v>
      </c>
      <c r="F48" s="62">
        <f>(F47)/B38*100</f>
        <v>-20.076424196226071</v>
      </c>
    </row>
    <row r="49" spans="2:6">
      <c r="F49" s="10"/>
    </row>
    <row r="50" spans="2:6">
      <c r="F50" s="10"/>
    </row>
    <row r="51" spans="2:6">
      <c r="F51" s="10"/>
    </row>
    <row r="52" spans="2:6" ht="14.45" customHeight="1">
      <c r="F52" s="10"/>
    </row>
    <row r="53" spans="2:6">
      <c r="F53" s="10"/>
    </row>
    <row r="57" spans="2:6">
      <c r="B57" s="5"/>
    </row>
    <row r="58" spans="2:6">
      <c r="B58" s="5"/>
    </row>
  </sheetData>
  <mergeCells count="13">
    <mergeCell ref="J19:K19"/>
    <mergeCell ref="J2:K3"/>
    <mergeCell ref="J13:L13"/>
    <mergeCell ref="J15:K15"/>
    <mergeCell ref="J14:K14"/>
    <mergeCell ref="J17:L17"/>
    <mergeCell ref="J18:K18"/>
    <mergeCell ref="J11:K11"/>
    <mergeCell ref="J10:K10"/>
    <mergeCell ref="J5:J6"/>
    <mergeCell ref="J7:L7"/>
    <mergeCell ref="J8:K8"/>
    <mergeCell ref="J9:K9"/>
  </mergeCells>
  <conditionalFormatting sqref="H24:H30">
    <cfRule type="cellIs" dxfId="9" priority="5" operator="greaterThan">
      <formula>0</formula>
    </cfRule>
  </conditionalFormatting>
  <conditionalFormatting sqref="I24:I30 F35:K41">
    <cfRule type="cellIs" dxfId="8" priority="3" operator="greaterThan">
      <formula>0</formula>
    </cfRule>
  </conditionalFormatting>
  <conditionalFormatting sqref="J24:K30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K24:K30">
    <cfRule type="cellIs" dxfId="5" priority="9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8"/>
  <sheetViews>
    <sheetView workbookViewId="0">
      <selection activeCell="H26" sqref="H26"/>
    </sheetView>
  </sheetViews>
  <sheetFormatPr baseColWidth="10" defaultColWidth="8.875" defaultRowHeight="14.25"/>
  <cols>
    <col min="2" max="2" width="50.125" bestFit="1" customWidth="1"/>
    <col min="3" max="3" width="15.875" bestFit="1" customWidth="1"/>
    <col min="5" max="5" width="66.125" bestFit="1" customWidth="1"/>
    <col min="6" max="6" width="18.875" customWidth="1"/>
    <col min="7" max="7" width="19.625" customWidth="1"/>
    <col min="8" max="8" width="18.75" customWidth="1"/>
    <col min="9" max="9" width="19.875" customWidth="1"/>
    <col min="10" max="10" width="22.75" bestFit="1" customWidth="1"/>
    <col min="11" max="11" width="34" bestFit="1" customWidth="1"/>
    <col min="12" max="12" width="17.125" bestFit="1" customWidth="1"/>
    <col min="13" max="13" width="18.125" customWidth="1"/>
    <col min="15" max="15" width="23" bestFit="1" customWidth="1"/>
    <col min="16" max="16" width="16" customWidth="1"/>
    <col min="19" max="19" width="15.75" customWidth="1"/>
  </cols>
  <sheetData>
    <row r="1" spans="2:17" ht="15.75" thickBot="1">
      <c r="B1" s="52" t="s">
        <v>26</v>
      </c>
    </row>
    <row r="2" spans="2:17" ht="15" customHeight="1" thickBot="1">
      <c r="B2" s="33" t="s">
        <v>27</v>
      </c>
      <c r="C2" s="51">
        <v>801226</v>
      </c>
      <c r="E2" s="34"/>
      <c r="F2" s="34"/>
      <c r="G2" s="34"/>
      <c r="H2" s="34"/>
      <c r="J2" s="90" t="s">
        <v>28</v>
      </c>
      <c r="K2" s="91"/>
      <c r="L2" s="23"/>
      <c r="M2" s="30"/>
      <c r="P2" s="36" t="s">
        <v>29</v>
      </c>
      <c r="Q2" s="36" t="s">
        <v>30</v>
      </c>
    </row>
    <row r="3" spans="2:17" ht="15" customHeight="1" thickBot="1">
      <c r="B3" s="33" t="s">
        <v>31</v>
      </c>
      <c r="C3" s="50">
        <v>0.8</v>
      </c>
      <c r="E3" s="34"/>
      <c r="F3" s="34"/>
      <c r="G3" s="34"/>
      <c r="H3" s="34"/>
      <c r="J3" s="92"/>
      <c r="K3" s="93"/>
      <c r="L3" s="32" t="s">
        <v>32</v>
      </c>
      <c r="M3" s="31" t="s">
        <v>33</v>
      </c>
      <c r="P3" s="35">
        <f>1/(1.03^Q3)</f>
        <v>0.970873786407767</v>
      </c>
      <c r="Q3" s="35">
        <v>1</v>
      </c>
    </row>
    <row r="4" spans="2:17" ht="15" customHeight="1" thickBot="1">
      <c r="B4" s="33" t="s">
        <v>34</v>
      </c>
      <c r="C4" s="50">
        <v>0.15</v>
      </c>
      <c r="E4" s="34"/>
      <c r="F4" s="34"/>
      <c r="G4" s="34"/>
      <c r="H4" s="34"/>
      <c r="J4" s="6" t="s">
        <v>35</v>
      </c>
      <c r="K4" s="7" t="s">
        <v>36</v>
      </c>
      <c r="L4" s="25">
        <v>69</v>
      </c>
      <c r="M4" s="28">
        <f>L4*0.6</f>
        <v>41.4</v>
      </c>
      <c r="P4" s="35">
        <f t="shared" ref="P4:P6" si="0">1/(1.03^Q4)</f>
        <v>0.94259590913375435</v>
      </c>
      <c r="Q4" s="35">
        <v>2</v>
      </c>
    </row>
    <row r="5" spans="2:17" ht="15" customHeight="1" thickBot="1">
      <c r="B5" s="33" t="s">
        <v>37</v>
      </c>
      <c r="C5" s="33">
        <f>C2*C3*C4</f>
        <v>96147.12000000001</v>
      </c>
      <c r="E5" s="34"/>
      <c r="F5" s="34"/>
      <c r="G5" s="34"/>
      <c r="H5" s="34"/>
      <c r="J5" s="100" t="s">
        <v>38</v>
      </c>
      <c r="K5" s="7" t="s">
        <v>13</v>
      </c>
      <c r="L5" s="26">
        <v>36</v>
      </c>
      <c r="M5" s="24">
        <f t="shared" ref="M5:M6" si="1">L5*0.6</f>
        <v>21.599999999999998</v>
      </c>
      <c r="P5" s="35">
        <f t="shared" si="0"/>
        <v>0.91514165935315961</v>
      </c>
      <c r="Q5" s="35">
        <v>3</v>
      </c>
    </row>
    <row r="6" spans="2:17" ht="15" customHeight="1" thickBot="1">
      <c r="B6" s="33" t="s">
        <v>39</v>
      </c>
      <c r="C6" s="50">
        <v>5.1999999999999998E-3</v>
      </c>
      <c r="E6" s="34"/>
      <c r="F6" s="34"/>
      <c r="G6" s="34"/>
      <c r="H6" s="34"/>
      <c r="J6" s="100"/>
      <c r="K6" s="7" t="s">
        <v>15</v>
      </c>
      <c r="L6" s="27">
        <v>39.950000000000003</v>
      </c>
      <c r="M6" s="29">
        <f t="shared" si="1"/>
        <v>23.970000000000002</v>
      </c>
      <c r="P6" s="35">
        <f t="shared" si="0"/>
        <v>0.888487047915689</v>
      </c>
      <c r="Q6" s="35">
        <v>4</v>
      </c>
    </row>
    <row r="7" spans="2:17" ht="15" customHeight="1" thickBot="1">
      <c r="B7" s="33" t="s">
        <v>40</v>
      </c>
      <c r="C7" s="33">
        <v>12</v>
      </c>
      <c r="E7" s="34"/>
      <c r="F7" s="34"/>
      <c r="G7" s="34"/>
      <c r="H7" s="34"/>
      <c r="J7" s="107" t="s">
        <v>41</v>
      </c>
      <c r="K7" s="108"/>
      <c r="L7" s="96"/>
    </row>
    <row r="8" spans="2:17" ht="17.45" customHeight="1">
      <c r="B8" s="33" t="s">
        <v>42</v>
      </c>
      <c r="C8" s="33">
        <f>C5/C7</f>
        <v>8012.2600000000011</v>
      </c>
      <c r="E8" s="34"/>
      <c r="F8" s="34"/>
      <c r="G8" s="34"/>
      <c r="H8" s="34"/>
      <c r="J8" s="109" t="s">
        <v>43</v>
      </c>
      <c r="K8" s="110"/>
      <c r="L8" s="2">
        <v>0.125</v>
      </c>
    </row>
    <row r="9" spans="2:17" ht="34.9" customHeight="1">
      <c r="B9" s="66" t="s">
        <v>86</v>
      </c>
      <c r="C9" s="67">
        <v>0.2</v>
      </c>
      <c r="E9" s="34"/>
      <c r="F9" s="34"/>
      <c r="G9" s="34"/>
      <c r="H9" s="34"/>
      <c r="J9" s="105" t="s">
        <v>44</v>
      </c>
      <c r="K9" s="106"/>
      <c r="L9" s="3">
        <v>0.14099999999999999</v>
      </c>
    </row>
    <row r="10" spans="2:17" ht="17.45" customHeight="1">
      <c r="E10" s="34"/>
      <c r="F10" s="34"/>
      <c r="G10" s="34"/>
      <c r="H10" s="34"/>
      <c r="J10" s="105" t="s">
        <v>45</v>
      </c>
      <c r="K10" s="106"/>
      <c r="L10" s="3">
        <v>0.17699999999999999</v>
      </c>
    </row>
    <row r="11" spans="2:17" ht="18" customHeight="1" thickBot="1">
      <c r="E11" s="34"/>
      <c r="F11" s="34"/>
      <c r="G11" s="34"/>
      <c r="H11" s="34"/>
      <c r="J11" s="103" t="s">
        <v>46</v>
      </c>
      <c r="K11" s="104"/>
      <c r="L11" s="4">
        <v>0.88</v>
      </c>
    </row>
    <row r="12" spans="2:17" ht="15" customHeight="1" thickBot="1">
      <c r="E12" s="34"/>
      <c r="F12" s="34"/>
      <c r="G12" s="34"/>
      <c r="H12" s="34"/>
    </row>
    <row r="13" spans="2:17" ht="14.45" customHeight="1">
      <c r="E13" s="34"/>
      <c r="F13" s="34"/>
      <c r="G13" s="34"/>
      <c r="H13" s="34"/>
      <c r="J13" s="94" t="s">
        <v>47</v>
      </c>
      <c r="K13" s="95"/>
      <c r="L13" s="96"/>
    </row>
    <row r="14" spans="2:17" ht="15">
      <c r="B14" s="52" t="s">
        <v>26</v>
      </c>
      <c r="J14" s="99" t="s">
        <v>48</v>
      </c>
      <c r="K14" s="100"/>
      <c r="L14" s="8">
        <v>100</v>
      </c>
    </row>
    <row r="15" spans="2:17" ht="15" thickBot="1">
      <c r="B15" s="47" t="s">
        <v>49</v>
      </c>
      <c r="C15" s="33">
        <v>40</v>
      </c>
      <c r="J15" s="97" t="s">
        <v>50</v>
      </c>
      <c r="K15" s="98"/>
      <c r="L15" s="9">
        <v>35</v>
      </c>
    </row>
    <row r="16" spans="2:17">
      <c r="B16" s="33" t="s">
        <v>51</v>
      </c>
      <c r="C16" s="45">
        <v>1.5</v>
      </c>
      <c r="F16" s="1"/>
      <c r="H16" s="1"/>
    </row>
    <row r="17" spans="2:16" ht="15">
      <c r="B17" s="33" t="s">
        <v>52</v>
      </c>
      <c r="C17" s="45">
        <v>14</v>
      </c>
      <c r="J17" s="101" t="s">
        <v>53</v>
      </c>
      <c r="K17" s="101"/>
      <c r="L17" s="101"/>
    </row>
    <row r="18" spans="2:16">
      <c r="B18" s="33" t="s">
        <v>54</v>
      </c>
      <c r="C18" s="50">
        <v>0.01</v>
      </c>
      <c r="J18" s="102" t="s">
        <v>55</v>
      </c>
      <c r="K18" s="102"/>
      <c r="L18" s="15">
        <f>+Presupuesto!G11</f>
        <v>177340</v>
      </c>
    </row>
    <row r="19" spans="2:16">
      <c r="B19" s="33" t="s">
        <v>56</v>
      </c>
      <c r="C19" s="45">
        <f>C17*C18+C16*(1-C18)</f>
        <v>1.625</v>
      </c>
      <c r="J19" s="69"/>
      <c r="K19" s="69"/>
    </row>
    <row r="20" spans="2:16">
      <c r="B20" s="33" t="s">
        <v>57</v>
      </c>
      <c r="C20" s="50">
        <v>0.2</v>
      </c>
    </row>
    <row r="23" spans="2:16" ht="15">
      <c r="B23" s="46" t="s">
        <v>58</v>
      </c>
      <c r="E23" s="37" t="s">
        <v>59</v>
      </c>
      <c r="F23" s="37" t="s">
        <v>60</v>
      </c>
      <c r="G23" s="37" t="s">
        <v>61</v>
      </c>
      <c r="H23" s="38" t="s">
        <v>62</v>
      </c>
      <c r="I23" s="39" t="s">
        <v>63</v>
      </c>
      <c r="J23" s="40" t="s">
        <v>64</v>
      </c>
      <c r="K23" s="41" t="s">
        <v>65</v>
      </c>
    </row>
    <row r="24" spans="2:16">
      <c r="B24" s="47" t="s">
        <v>67</v>
      </c>
      <c r="C24" s="45">
        <f>C19*C15*C20</f>
        <v>13</v>
      </c>
      <c r="E24" s="12">
        <v>1</v>
      </c>
      <c r="F24" s="11">
        <f t="shared" ref="F24:F30" si="2">G24*$C$9*$C$7</f>
        <v>420</v>
      </c>
      <c r="G24" s="11">
        <v>175</v>
      </c>
      <c r="H24" s="16">
        <f>F24*$C$26*12+B38</f>
        <v>300000</v>
      </c>
      <c r="I24" s="19">
        <f>SUM(F35:K35)+C40</f>
        <v>188284.75</v>
      </c>
      <c r="J24" s="15">
        <f>H24-I24</f>
        <v>111715.25</v>
      </c>
      <c r="K24" s="17">
        <f>H24-I24</f>
        <v>111715.25</v>
      </c>
    </row>
    <row r="25" spans="2:16">
      <c r="E25" s="12">
        <v>2</v>
      </c>
      <c r="F25" s="11">
        <f t="shared" si="2"/>
        <v>630</v>
      </c>
      <c r="G25" s="11">
        <f>G24*1.5</f>
        <v>262.5</v>
      </c>
      <c r="H25" s="16">
        <f>F25*$C$24*12</f>
        <v>98280</v>
      </c>
      <c r="I25" s="19">
        <f>SUM(F36:K36)+C40</f>
        <v>174987.375</v>
      </c>
      <c r="J25" s="15">
        <f t="shared" ref="J25:J30" si="3">H25-I25</f>
        <v>-76707.375</v>
      </c>
      <c r="K25" s="18">
        <f t="shared" ref="K25:K30" si="4">K24+(H25-I25)</f>
        <v>35007.875</v>
      </c>
    </row>
    <row r="26" spans="2:16">
      <c r="D26" s="65"/>
      <c r="E26" s="12">
        <v>3</v>
      </c>
      <c r="F26" s="11">
        <f t="shared" si="2"/>
        <v>787.5</v>
      </c>
      <c r="G26" s="11">
        <f>G25*1.25</f>
        <v>328.125</v>
      </c>
      <c r="H26" s="16">
        <f>F26*$C$24*12</f>
        <v>122850</v>
      </c>
      <c r="I26" s="19">
        <f>SUM(F37:K37)+C40</f>
        <v>173194.28125</v>
      </c>
      <c r="J26" s="15">
        <f t="shared" si="3"/>
        <v>-50344.28125</v>
      </c>
      <c r="K26" s="18">
        <f t="shared" si="4"/>
        <v>-15336.40625</v>
      </c>
    </row>
    <row r="27" spans="2:16">
      <c r="E27" s="12">
        <v>4</v>
      </c>
      <c r="F27" s="11">
        <f t="shared" si="2"/>
        <v>866.25000000000023</v>
      </c>
      <c r="G27" s="11">
        <f>G26*1.1</f>
        <v>360.93750000000006</v>
      </c>
      <c r="H27" s="16">
        <f t="shared" ref="H27:H30" si="5">H26*1.03</f>
        <v>126535.5</v>
      </c>
      <c r="I27" s="19">
        <f>SUM(F38:K38)+C40</f>
        <v>168207.765625</v>
      </c>
      <c r="J27" s="15">
        <f t="shared" si="3"/>
        <v>-41672.265625</v>
      </c>
      <c r="K27" s="18">
        <f t="shared" si="4"/>
        <v>-57008.671875</v>
      </c>
    </row>
    <row r="28" spans="2:16" ht="15">
      <c r="B28" s="49" t="s">
        <v>68</v>
      </c>
      <c r="E28" s="12">
        <v>5</v>
      </c>
      <c r="F28" s="11">
        <f t="shared" si="2"/>
        <v>909.56250000000023</v>
      </c>
      <c r="G28" s="11">
        <f>+G27*1.05</f>
        <v>378.98437500000006</v>
      </c>
      <c r="H28" s="16">
        <f t="shared" si="5"/>
        <v>130331.565</v>
      </c>
      <c r="I28" s="19">
        <f>SUM(F39:K39)</f>
        <v>88828.677343749994</v>
      </c>
      <c r="J28" s="15">
        <f t="shared" si="3"/>
        <v>41502.887656250008</v>
      </c>
      <c r="K28" s="18">
        <f t="shared" si="4"/>
        <v>-15505.784218749992</v>
      </c>
      <c r="L28" s="13"/>
      <c r="N28" s="13"/>
      <c r="O28" s="13"/>
      <c r="P28" s="13"/>
    </row>
    <row r="29" spans="2:16" ht="15">
      <c r="B29" s="33" t="s">
        <v>69</v>
      </c>
      <c r="C29" s="48">
        <f>SUM(M4:M6)</f>
        <v>86.97</v>
      </c>
      <c r="E29" s="12">
        <v>6</v>
      </c>
      <c r="F29" s="11">
        <f t="shared" si="2"/>
        <v>945.94500000000016</v>
      </c>
      <c r="G29" s="11">
        <f>+G28*1.04</f>
        <v>394.14375000000007</v>
      </c>
      <c r="H29" s="16">
        <f t="shared" si="5"/>
        <v>134241.51195000001</v>
      </c>
      <c r="I29" s="19">
        <f>SUM(F40:K40)</f>
        <v>88819.379593749996</v>
      </c>
      <c r="J29" s="15">
        <f t="shared" si="3"/>
        <v>45422.132356250018</v>
      </c>
      <c r="K29" s="18">
        <f t="shared" si="4"/>
        <v>29916.348137500026</v>
      </c>
      <c r="L29" s="13"/>
      <c r="M29" s="13"/>
      <c r="N29" s="13"/>
      <c r="O29" s="14"/>
      <c r="P29" s="13"/>
    </row>
    <row r="30" spans="2:16" ht="15">
      <c r="E30" s="12">
        <v>7</v>
      </c>
      <c r="F30" s="11">
        <f t="shared" si="2"/>
        <v>974.32335000000035</v>
      </c>
      <c r="G30" s="11">
        <f>+G29*1.03</f>
        <v>405.96806250000009</v>
      </c>
      <c r="H30" s="16">
        <f t="shared" si="5"/>
        <v>138268.75730850003</v>
      </c>
      <c r="I30" s="19">
        <f>SUM(F41:K41)</f>
        <v>88609.673895625005</v>
      </c>
      <c r="J30" s="15">
        <f t="shared" si="3"/>
        <v>49659.083412875028</v>
      </c>
      <c r="K30" s="18">
        <f t="shared" si="4"/>
        <v>79575.431550375055</v>
      </c>
      <c r="L30" s="13"/>
      <c r="M30" s="13"/>
      <c r="N30" s="13"/>
      <c r="O30" s="13"/>
      <c r="P30" s="13"/>
    </row>
    <row r="31" spans="2:16" ht="15">
      <c r="L31" s="13"/>
      <c r="M31" s="13"/>
      <c r="N31" s="13"/>
      <c r="O31" s="14"/>
      <c r="P31" s="13"/>
    </row>
    <row r="32" spans="2:16" ht="15">
      <c r="L32" s="13"/>
      <c r="M32" s="13"/>
      <c r="N32" s="13"/>
      <c r="O32" s="14"/>
      <c r="P32" s="13"/>
    </row>
    <row r="33" spans="2:16" ht="15">
      <c r="B33" s="44" t="s">
        <v>70</v>
      </c>
      <c r="C33" s="56"/>
      <c r="L33" s="13"/>
      <c r="M33" s="13"/>
      <c r="N33" s="13"/>
      <c r="O33" s="14"/>
      <c r="P33" s="13"/>
    </row>
    <row r="34" spans="2:16" ht="15">
      <c r="B34" s="15" t="s">
        <v>71</v>
      </c>
      <c r="C34" s="20">
        <f>G24*C29</f>
        <v>15219.75</v>
      </c>
      <c r="E34" s="42" t="s">
        <v>72</v>
      </c>
      <c r="F34" s="43" t="s">
        <v>11</v>
      </c>
      <c r="G34" s="43" t="s">
        <v>48</v>
      </c>
      <c r="H34" s="43" t="s">
        <v>19</v>
      </c>
      <c r="I34" s="43" t="s">
        <v>73</v>
      </c>
      <c r="J34" s="43" t="s">
        <v>74</v>
      </c>
      <c r="K34" s="43" t="s">
        <v>75</v>
      </c>
      <c r="L34" s="13"/>
      <c r="M34" s="13"/>
      <c r="N34" s="13"/>
      <c r="O34" s="13"/>
      <c r="P34" s="13"/>
    </row>
    <row r="35" spans="2:16" ht="15">
      <c r="B35" s="15" t="s">
        <v>76</v>
      </c>
      <c r="C35" s="15">
        <f>L18</f>
        <v>177340</v>
      </c>
      <c r="E35" s="59">
        <v>1</v>
      </c>
      <c r="F35" s="21">
        <f>G24*$C$29</f>
        <v>15219.75</v>
      </c>
      <c r="G35" s="22">
        <f>G24*($L$14)</f>
        <v>17500</v>
      </c>
      <c r="H35" s="22">
        <f t="shared" ref="H35:H41" si="6">G24*$L$15</f>
        <v>6125</v>
      </c>
      <c r="I35" s="22">
        <f t="shared" ref="I35:I41" si="7">(SUM($L$8)*365*24*2)</f>
        <v>2190</v>
      </c>
      <c r="J35" s="15">
        <v>50000</v>
      </c>
      <c r="K35" s="15">
        <v>20000</v>
      </c>
      <c r="L35" s="13"/>
      <c r="M35" s="13"/>
      <c r="N35" s="13"/>
      <c r="O35" s="14"/>
      <c r="P35" s="13"/>
    </row>
    <row r="36" spans="2:16" ht="15">
      <c r="E36" s="59">
        <v>2</v>
      </c>
      <c r="F36" s="21">
        <f t="shared" ref="F36:F41" si="8">(G25-G24)*$C$29</f>
        <v>7609.875</v>
      </c>
      <c r="G36" s="22">
        <f t="shared" ref="G36:G41" si="9">(G25-G24)*$L$14</f>
        <v>8750</v>
      </c>
      <c r="H36" s="22">
        <f t="shared" si="6"/>
        <v>9187.5</v>
      </c>
      <c r="I36" s="22">
        <f t="shared" si="7"/>
        <v>2190</v>
      </c>
      <c r="J36" s="15">
        <v>50000</v>
      </c>
      <c r="K36" s="15">
        <v>20000</v>
      </c>
      <c r="L36" s="13"/>
      <c r="M36" s="13"/>
      <c r="N36" s="13"/>
      <c r="O36" s="14"/>
      <c r="P36" s="13"/>
    </row>
    <row r="37" spans="2:16" ht="15">
      <c r="B37" s="60" t="s">
        <v>77</v>
      </c>
      <c r="C37" s="33" t="s">
        <v>78</v>
      </c>
      <c r="E37" s="59">
        <v>3</v>
      </c>
      <c r="F37" s="21">
        <f t="shared" si="8"/>
        <v>5707.40625</v>
      </c>
      <c r="G37" s="22">
        <f t="shared" si="9"/>
        <v>6562.5</v>
      </c>
      <c r="H37" s="22">
        <f t="shared" si="6"/>
        <v>11484.375</v>
      </c>
      <c r="I37" s="22">
        <f t="shared" si="7"/>
        <v>2190</v>
      </c>
      <c r="J37" s="15">
        <v>50000</v>
      </c>
      <c r="K37" s="15">
        <v>20000</v>
      </c>
      <c r="L37" s="13"/>
      <c r="M37" s="13"/>
      <c r="N37" s="13"/>
      <c r="O37" s="13"/>
      <c r="P37" s="13"/>
    </row>
    <row r="38" spans="2:16" ht="15">
      <c r="B38" s="45">
        <v>300000</v>
      </c>
      <c r="C38" s="50">
        <v>0.03</v>
      </c>
      <c r="E38" s="59">
        <v>4</v>
      </c>
      <c r="F38" s="21">
        <f t="shared" si="8"/>
        <v>2853.703125000005</v>
      </c>
      <c r="G38" s="22">
        <f t="shared" si="9"/>
        <v>3281.2500000000055</v>
      </c>
      <c r="H38" s="22">
        <f t="shared" si="6"/>
        <v>12632.812500000002</v>
      </c>
      <c r="I38" s="22">
        <f t="shared" si="7"/>
        <v>2190</v>
      </c>
      <c r="J38" s="15">
        <v>50000</v>
      </c>
      <c r="K38" s="15">
        <v>20000</v>
      </c>
      <c r="L38" s="13"/>
      <c r="M38" s="13"/>
      <c r="N38" s="13"/>
      <c r="O38" s="14"/>
      <c r="P38" s="13"/>
    </row>
    <row r="39" spans="2:16" ht="15">
      <c r="B39" s="1" t="s">
        <v>87</v>
      </c>
      <c r="C39">
        <v>4</v>
      </c>
      <c r="E39" s="59">
        <v>5</v>
      </c>
      <c r="F39" s="21">
        <f t="shared" si="8"/>
        <v>1569.5367187500001</v>
      </c>
      <c r="G39" s="22">
        <f t="shared" si="9"/>
        <v>1804.6875</v>
      </c>
      <c r="H39" s="22">
        <f t="shared" si="6"/>
        <v>13264.453125000002</v>
      </c>
      <c r="I39" s="22">
        <f t="shared" si="7"/>
        <v>2190</v>
      </c>
      <c r="J39" s="15">
        <v>50000</v>
      </c>
      <c r="K39" s="15">
        <v>20000</v>
      </c>
      <c r="L39" s="13"/>
      <c r="M39" s="13"/>
      <c r="N39" s="13"/>
      <c r="O39" s="14"/>
      <c r="P39" s="13"/>
    </row>
    <row r="40" spans="2:16" ht="15">
      <c r="B40" s="1" t="s">
        <v>79</v>
      </c>
      <c r="C40" s="68">
        <f>((B38/C39)*(1+C38))</f>
        <v>77250</v>
      </c>
      <c r="E40" s="59">
        <v>6</v>
      </c>
      <c r="F40" s="21">
        <f t="shared" si="8"/>
        <v>1318.410843750001</v>
      </c>
      <c r="G40" s="22">
        <f t="shared" si="9"/>
        <v>1515.9375000000011</v>
      </c>
      <c r="H40" s="22">
        <f t="shared" si="6"/>
        <v>13795.031250000002</v>
      </c>
      <c r="I40" s="22">
        <f t="shared" si="7"/>
        <v>2190</v>
      </c>
      <c r="J40" s="15">
        <v>50000</v>
      </c>
      <c r="K40" s="15">
        <v>20000</v>
      </c>
      <c r="L40" s="13"/>
      <c r="M40" s="13"/>
      <c r="N40" s="13"/>
      <c r="O40" s="14"/>
      <c r="P40" s="13"/>
    </row>
    <row r="41" spans="2:16" ht="15">
      <c r="E41" s="59">
        <v>7</v>
      </c>
      <c r="F41" s="21">
        <f t="shared" si="8"/>
        <v>1028.3604581250017</v>
      </c>
      <c r="G41" s="22">
        <f t="shared" si="9"/>
        <v>1182.4312500000019</v>
      </c>
      <c r="H41" s="22">
        <f t="shared" si="6"/>
        <v>14208.882187500003</v>
      </c>
      <c r="I41" s="22">
        <f t="shared" si="7"/>
        <v>2190</v>
      </c>
      <c r="J41" s="15">
        <v>50000</v>
      </c>
      <c r="K41" s="15">
        <v>20000</v>
      </c>
      <c r="L41" s="13"/>
      <c r="M41" s="13"/>
      <c r="N41" s="13"/>
      <c r="O41" s="13"/>
      <c r="P41" s="13"/>
    </row>
    <row r="42" spans="2:16" ht="15">
      <c r="B42" s="60" t="s">
        <v>80</v>
      </c>
      <c r="L42" s="13"/>
      <c r="M42" s="13"/>
      <c r="N42" s="13"/>
      <c r="O42" s="14"/>
      <c r="P42" s="13"/>
    </row>
    <row r="43" spans="2:16">
      <c r="B43" s="47">
        <v>7</v>
      </c>
      <c r="C43" s="33" t="s">
        <v>81</v>
      </c>
      <c r="J43" s="10"/>
    </row>
    <row r="44" spans="2:16">
      <c r="E44" t="s">
        <v>82</v>
      </c>
      <c r="J44" s="10"/>
    </row>
    <row r="45" spans="2:16">
      <c r="E45" t="s">
        <v>83</v>
      </c>
      <c r="J45" s="10"/>
    </row>
    <row r="46" spans="2:16">
      <c r="J46" s="10"/>
    </row>
    <row r="47" spans="2:16">
      <c r="E47" s="57" t="s">
        <v>84</v>
      </c>
      <c r="F47" s="58">
        <f>SUMPRODUCT(J24:J27,P3:P6)</f>
        <v>-46940.067455580393</v>
      </c>
      <c r="J47" s="10"/>
    </row>
    <row r="48" spans="2:16">
      <c r="E48" t="s">
        <v>85</v>
      </c>
      <c r="F48" s="62">
        <f>(F47)/B38*100</f>
        <v>-15.64668915186013</v>
      </c>
    </row>
    <row r="49" spans="2:6">
      <c r="F49" s="10"/>
    </row>
    <row r="50" spans="2:6">
      <c r="F50" s="10"/>
    </row>
    <row r="51" spans="2:6">
      <c r="F51" s="10"/>
    </row>
    <row r="52" spans="2:6" ht="14.45" customHeight="1">
      <c r="F52" s="10"/>
    </row>
    <row r="53" spans="2:6">
      <c r="F53" s="10"/>
    </row>
    <row r="57" spans="2:6">
      <c r="B57" s="5"/>
    </row>
    <row r="58" spans="2:6">
      <c r="B58" s="5"/>
    </row>
  </sheetData>
  <mergeCells count="12">
    <mergeCell ref="J18:K18"/>
    <mergeCell ref="J2:K3"/>
    <mergeCell ref="J5:J6"/>
    <mergeCell ref="J7:L7"/>
    <mergeCell ref="J8:K8"/>
    <mergeCell ref="J9:K9"/>
    <mergeCell ref="J10:K10"/>
    <mergeCell ref="J11:K11"/>
    <mergeCell ref="J13:L13"/>
    <mergeCell ref="J14:K14"/>
    <mergeCell ref="J15:K15"/>
    <mergeCell ref="J17:L17"/>
  </mergeCells>
  <conditionalFormatting sqref="H24:H30">
    <cfRule type="cellIs" dxfId="4" priority="2" operator="greaterThan">
      <formula>0</formula>
    </cfRule>
  </conditionalFormatting>
  <conditionalFormatting sqref="I24:I30 F35:K41">
    <cfRule type="cellIs" dxfId="3" priority="1" operator="greaterThan">
      <formula>0</formula>
    </cfRule>
  </conditionalFormatting>
  <conditionalFormatting sqref="J24:K30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K24:K30">
    <cfRule type="cellIs" dxfId="0" priority="5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O1" zoomScale="160" zoomScaleNormal="160" workbookViewId="0">
      <selection activeCell="X19" sqref="X19"/>
    </sheetView>
  </sheetViews>
  <sheetFormatPr baseColWidth="10" defaultColWidth="11.375" defaultRowHeight="14.25"/>
  <cols>
    <col min="1" max="1" width="47.625" bestFit="1" customWidth="1"/>
    <col min="2" max="2" width="12.75" bestFit="1" customWidth="1"/>
    <col min="4" max="4" width="6" bestFit="1" customWidth="1"/>
    <col min="5" max="5" width="7" bestFit="1" customWidth="1"/>
    <col min="6" max="6" width="6.875" bestFit="1" customWidth="1"/>
    <col min="7" max="7" width="7" bestFit="1" customWidth="1"/>
    <col min="8" max="8" width="11.25" bestFit="1" customWidth="1"/>
    <col min="9" max="9" width="12" bestFit="1" customWidth="1"/>
    <col min="10" max="10" width="5" bestFit="1" customWidth="1"/>
    <col min="11" max="11" width="11.25" bestFit="1" customWidth="1"/>
    <col min="12" max="12" width="12" bestFit="1" customWidth="1"/>
    <col min="13" max="15" width="11.75" bestFit="1" customWidth="1"/>
    <col min="16" max="16" width="12.625" bestFit="1" customWidth="1"/>
    <col min="17" max="17" width="11.75" bestFit="1" customWidth="1"/>
    <col min="18" max="24" width="12.75" bestFit="1" customWidth="1"/>
    <col min="25" max="25" width="14.25" bestFit="1" customWidth="1"/>
  </cols>
  <sheetData>
    <row r="1" spans="1:25" ht="15">
      <c r="A1" s="111" t="s">
        <v>88</v>
      </c>
      <c r="B1" s="112"/>
      <c r="D1" s="113" t="s">
        <v>30</v>
      </c>
      <c r="E1" s="115" t="s">
        <v>89</v>
      </c>
      <c r="F1" s="113"/>
      <c r="G1" s="113"/>
      <c r="H1" s="113"/>
      <c r="I1" s="113"/>
      <c r="J1" s="113"/>
      <c r="K1" s="113"/>
      <c r="L1" s="116"/>
      <c r="M1" s="113" t="s">
        <v>90</v>
      </c>
      <c r="N1" s="113"/>
      <c r="O1" s="113"/>
      <c r="P1" s="113"/>
      <c r="Q1" s="113"/>
      <c r="R1" s="113"/>
      <c r="S1" s="113"/>
      <c r="T1" s="115" t="s">
        <v>62</v>
      </c>
      <c r="U1" s="113"/>
      <c r="V1" s="116"/>
      <c r="W1" s="113" t="s">
        <v>91</v>
      </c>
      <c r="X1" s="113"/>
      <c r="Y1" s="120" t="s">
        <v>66</v>
      </c>
    </row>
    <row r="2" spans="1:25">
      <c r="A2" s="33" t="s">
        <v>92</v>
      </c>
      <c r="B2" s="51">
        <v>801226</v>
      </c>
      <c r="D2" s="113"/>
      <c r="E2" s="115" t="s">
        <v>93</v>
      </c>
      <c r="F2" s="113"/>
      <c r="G2" s="113" t="s">
        <v>94</v>
      </c>
      <c r="H2" s="113"/>
      <c r="I2" s="113"/>
      <c r="J2" s="113"/>
      <c r="K2" s="113"/>
      <c r="L2" s="116"/>
      <c r="M2" s="113" t="s">
        <v>95</v>
      </c>
      <c r="N2" s="113" t="s">
        <v>96</v>
      </c>
      <c r="O2" s="113"/>
      <c r="P2" s="113"/>
      <c r="Q2" s="113"/>
      <c r="R2" s="113" t="s">
        <v>97</v>
      </c>
      <c r="S2" s="113" t="s">
        <v>4</v>
      </c>
      <c r="T2" s="115" t="s">
        <v>98</v>
      </c>
      <c r="U2" s="113" t="s">
        <v>99</v>
      </c>
      <c r="V2" s="116" t="s">
        <v>4</v>
      </c>
      <c r="W2" s="113" t="s">
        <v>100</v>
      </c>
      <c r="X2" s="113" t="s">
        <v>101</v>
      </c>
      <c r="Y2" s="120"/>
    </row>
    <row r="3" spans="1:25">
      <c r="A3" s="33" t="s">
        <v>102</v>
      </c>
      <c r="B3" s="50">
        <v>0.8</v>
      </c>
      <c r="D3" s="113"/>
      <c r="E3" s="115" t="s">
        <v>103</v>
      </c>
      <c r="F3" s="113" t="s">
        <v>104</v>
      </c>
      <c r="G3" s="113" t="s">
        <v>105</v>
      </c>
      <c r="H3" s="113"/>
      <c r="I3" s="113"/>
      <c r="J3" s="113" t="s">
        <v>104</v>
      </c>
      <c r="K3" s="113"/>
      <c r="L3" s="116"/>
      <c r="M3" s="113"/>
      <c r="N3" s="113" t="s">
        <v>11</v>
      </c>
      <c r="O3" s="113" t="s">
        <v>18</v>
      </c>
      <c r="P3" s="113" t="s">
        <v>19</v>
      </c>
      <c r="Q3" s="113" t="s">
        <v>98</v>
      </c>
      <c r="R3" s="113"/>
      <c r="S3" s="113"/>
      <c r="T3" s="115"/>
      <c r="U3" s="113"/>
      <c r="V3" s="116"/>
      <c r="W3" s="113"/>
      <c r="X3" s="113"/>
      <c r="Y3" s="120"/>
    </row>
    <row r="4" spans="1:25">
      <c r="A4" s="33" t="s">
        <v>106</v>
      </c>
      <c r="B4" s="50">
        <v>0.15</v>
      </c>
      <c r="D4" s="114"/>
      <c r="E4" s="117"/>
      <c r="F4" s="114"/>
      <c r="G4" s="78" t="s">
        <v>4</v>
      </c>
      <c r="H4" s="78" t="s">
        <v>107</v>
      </c>
      <c r="I4" s="78" t="s">
        <v>108</v>
      </c>
      <c r="J4" s="78" t="s">
        <v>4</v>
      </c>
      <c r="K4" s="78" t="s">
        <v>107</v>
      </c>
      <c r="L4" s="79" t="s">
        <v>108</v>
      </c>
      <c r="M4" s="114"/>
      <c r="N4" s="114"/>
      <c r="O4" s="114"/>
      <c r="P4" s="114"/>
      <c r="Q4" s="114"/>
      <c r="R4" s="114"/>
      <c r="S4" s="114"/>
      <c r="T4" s="117"/>
      <c r="U4" s="114"/>
      <c r="V4" s="121"/>
      <c r="W4" s="114"/>
      <c r="X4" s="114"/>
      <c r="Y4" s="120"/>
    </row>
    <row r="5" spans="1:25">
      <c r="A5" s="33" t="s">
        <v>37</v>
      </c>
      <c r="B5" s="33">
        <f>B2*B3*B4</f>
        <v>96147.12000000001</v>
      </c>
      <c r="D5">
        <v>0</v>
      </c>
      <c r="E5" s="75">
        <f>+F5-F4</f>
        <v>0</v>
      </c>
      <c r="F5">
        <f>+ROUNDDOWN(F4*1.5, 0)</f>
        <v>0</v>
      </c>
      <c r="G5">
        <f t="shared" ref="G5" si="0">+ROUNDDOWN(E5*$B$8, 0)</f>
        <v>0</v>
      </c>
      <c r="H5">
        <f>+ROUNDUP(G5*(1-$B$14), 0)</f>
        <v>0</v>
      </c>
      <c r="I5">
        <f>G5-H5</f>
        <v>0</v>
      </c>
      <c r="J5">
        <f>+ROUNDDOWN(F5*$B$8, 0)</f>
        <v>0</v>
      </c>
      <c r="K5">
        <f t="shared" ref="K5:K15" si="1">+ROUNDUP(J5*(1-$B$14), 0)</f>
        <v>0</v>
      </c>
      <c r="L5" s="74">
        <f>J5-K5</f>
        <v>0</v>
      </c>
      <c r="M5" s="72">
        <f>+B50</f>
        <v>0</v>
      </c>
      <c r="N5" s="72">
        <f>+H5*$B$21+I5*$B$23</f>
        <v>0</v>
      </c>
      <c r="O5" s="72">
        <f>+E5*$B$22</f>
        <v>0</v>
      </c>
      <c r="P5" s="72">
        <f>+F5*$B$24</f>
        <v>0</v>
      </c>
      <c r="Q5" s="72">
        <f>+B50</f>
        <v>0</v>
      </c>
      <c r="R5" s="72">
        <f>SUM(B45:B47)</f>
        <v>199487.5</v>
      </c>
      <c r="S5" s="72">
        <f>SUM(M5:R5)</f>
        <v>199487.5</v>
      </c>
      <c r="T5" s="76">
        <f>+B39</f>
        <v>300000</v>
      </c>
      <c r="U5" s="72">
        <f t="shared" ref="U5" si="2">+J5*$B$17*12</f>
        <v>0</v>
      </c>
      <c r="V5" s="77">
        <f>SUM(T5:U5)</f>
        <v>300000</v>
      </c>
      <c r="W5" s="72">
        <f>+V5-S5</f>
        <v>100512.5</v>
      </c>
      <c r="X5" s="72">
        <f>+W5</f>
        <v>100512.5</v>
      </c>
      <c r="Y5">
        <f t="shared" ref="Y5:Y15" si="3">+V5/S5</f>
        <v>1.5038536249138417</v>
      </c>
    </row>
    <row r="6" spans="1:25">
      <c r="A6" s="33" t="s">
        <v>40</v>
      </c>
      <c r="B6" s="33">
        <v>12</v>
      </c>
      <c r="D6">
        <v>1</v>
      </c>
      <c r="E6" s="75">
        <f>+F6</f>
        <v>200</v>
      </c>
      <c r="F6">
        <v>200</v>
      </c>
      <c r="G6">
        <f>+ROUNDDOWN(E6*$B$8, 0)</f>
        <v>480</v>
      </c>
      <c r="H6">
        <f>+ROUNDUP(G6*(1-$B$14), 0)</f>
        <v>456</v>
      </c>
      <c r="I6">
        <f>G6-H6</f>
        <v>24</v>
      </c>
      <c r="J6">
        <f>+ROUNDDOWN(F6*$B$6*$B$7, 0)</f>
        <v>480</v>
      </c>
      <c r="K6">
        <f t="shared" si="1"/>
        <v>456</v>
      </c>
      <c r="L6" s="74">
        <f>J6-K6</f>
        <v>24</v>
      </c>
      <c r="M6" s="72">
        <f>+$B$36</f>
        <v>72190</v>
      </c>
      <c r="N6" s="72">
        <f>+H6*$B$21+I6*$B$23</f>
        <v>12000</v>
      </c>
      <c r="O6" s="72">
        <f>+E6*$B$22</f>
        <v>37394</v>
      </c>
      <c r="P6" s="72">
        <f>+F6*$B$24</f>
        <v>7000</v>
      </c>
      <c r="Q6" s="72">
        <f>+$B$42</f>
        <v>77250</v>
      </c>
      <c r="R6" s="72">
        <f>+B50</f>
        <v>0</v>
      </c>
      <c r="S6" s="72">
        <f>SUM(M6:R6)</f>
        <v>205834</v>
      </c>
      <c r="T6" s="76">
        <f>+B50</f>
        <v>0</v>
      </c>
      <c r="U6" s="72">
        <f>+J6*$B$17*12</f>
        <v>100224</v>
      </c>
      <c r="V6" s="77">
        <f>SUM(T6:U6)</f>
        <v>100224</v>
      </c>
      <c r="W6" s="72">
        <f>+V6-S6</f>
        <v>-105610</v>
      </c>
      <c r="X6" s="72">
        <f>+W6+X5</f>
        <v>-5097.5</v>
      </c>
      <c r="Y6">
        <f t="shared" si="3"/>
        <v>0.48691664156553338</v>
      </c>
    </row>
    <row r="7" spans="1:25">
      <c r="A7" s="33" t="s">
        <v>109</v>
      </c>
      <c r="B7" s="73">
        <v>0.2</v>
      </c>
      <c r="D7">
        <v>2</v>
      </c>
      <c r="E7" s="75">
        <f>+F7-F6</f>
        <v>100</v>
      </c>
      <c r="F7">
        <f>+ROUNDDOWN(F6*1.5, 0)</f>
        <v>300</v>
      </c>
      <c r="G7">
        <f t="shared" ref="G7" si="4">+ROUNDDOWN(E7*$B$8, 0)</f>
        <v>240</v>
      </c>
      <c r="H7">
        <f>+ROUNDUP(G7*(1-$B$14), 0)</f>
        <v>228</v>
      </c>
      <c r="I7">
        <f>G7-H7</f>
        <v>12</v>
      </c>
      <c r="J7">
        <f>+ROUNDDOWN(F7*$B$8, 0)</f>
        <v>720</v>
      </c>
      <c r="K7">
        <f t="shared" si="1"/>
        <v>684</v>
      </c>
      <c r="L7" s="74">
        <f>J7-K7</f>
        <v>36</v>
      </c>
      <c r="M7" s="72">
        <f>+$B$36</f>
        <v>72190</v>
      </c>
      <c r="N7" s="72">
        <f>+H7*$B$21+I7*$B$23</f>
        <v>6000</v>
      </c>
      <c r="O7" s="72">
        <f>+E7*$B$22</f>
        <v>18697</v>
      </c>
      <c r="P7" s="72">
        <f>+F7*$B$24</f>
        <v>10500</v>
      </c>
      <c r="Q7" s="72">
        <f>+$B$42</f>
        <v>77250</v>
      </c>
      <c r="R7" s="72">
        <f t="shared" ref="R7:R15" si="5">+$B$50</f>
        <v>0</v>
      </c>
      <c r="S7" s="72">
        <f>SUM(M7:R7)</f>
        <v>184637</v>
      </c>
      <c r="T7" s="76">
        <f t="shared" ref="T7:T15" si="6">+$B$50</f>
        <v>0</v>
      </c>
      <c r="U7" s="72">
        <f t="shared" ref="U7:U15" si="7">+J7*$B$17*12</f>
        <v>150335.99999999997</v>
      </c>
      <c r="V7" s="77">
        <f>SUM(T7:U7)</f>
        <v>150335.99999999997</v>
      </c>
      <c r="W7" s="72">
        <f>+V7-S7</f>
        <v>-34301.000000000029</v>
      </c>
      <c r="X7" s="72">
        <f>+W7+X6</f>
        <v>-39398.500000000029</v>
      </c>
      <c r="Y7">
        <f t="shared" si="3"/>
        <v>0.81422466786180436</v>
      </c>
    </row>
    <row r="8" spans="1:25">
      <c r="A8" s="33" t="s">
        <v>110</v>
      </c>
      <c r="B8" s="80">
        <f>+B7*B6</f>
        <v>2.4000000000000004</v>
      </c>
      <c r="D8">
        <v>3</v>
      </c>
      <c r="E8" s="75">
        <f t="shared" ref="E8" si="8">+F8-F7</f>
        <v>75</v>
      </c>
      <c r="F8">
        <f>+ROUNDDOWN(F7*1.25, 0)</f>
        <v>375</v>
      </c>
      <c r="G8">
        <f t="shared" ref="G8:G12" si="9">+ROUNDDOWN(E8*$B$8, 0)</f>
        <v>180</v>
      </c>
      <c r="H8">
        <f t="shared" ref="H8:H15" si="10">+ROUNDUP(G8*(1-$B$14), 0)</f>
        <v>171</v>
      </c>
      <c r="I8">
        <f t="shared" ref="I8:I15" si="11">G8-H8</f>
        <v>9</v>
      </c>
      <c r="J8">
        <f t="shared" ref="J8:J12" si="12">+ROUNDDOWN(F8*$B$8, 0)</f>
        <v>900</v>
      </c>
      <c r="K8">
        <f t="shared" si="1"/>
        <v>855</v>
      </c>
      <c r="L8" s="74">
        <f t="shared" ref="L8:L12" si="13">J8-K8</f>
        <v>45</v>
      </c>
      <c r="M8" s="72">
        <f t="shared" ref="M8:M15" si="14">+$B$36</f>
        <v>72190</v>
      </c>
      <c r="N8" s="72">
        <f t="shared" ref="N8:N12" si="15">+H8*$B$21+I8*$B$23</f>
        <v>4500</v>
      </c>
      <c r="O8" s="72">
        <f t="shared" ref="O8:O12" si="16">+E8*$B$22</f>
        <v>14022.75</v>
      </c>
      <c r="P8" s="72">
        <f t="shared" ref="P8:P12" si="17">+F8*$B$24</f>
        <v>13125</v>
      </c>
      <c r="Q8" s="72">
        <f t="shared" ref="Q8:Q9" si="18">+$B$42</f>
        <v>77250</v>
      </c>
      <c r="R8" s="72">
        <f t="shared" si="5"/>
        <v>0</v>
      </c>
      <c r="S8" s="72">
        <f t="shared" ref="S8:S12" si="19">SUM(M8:R8)</f>
        <v>181087.75</v>
      </c>
      <c r="T8" s="76">
        <f t="shared" si="6"/>
        <v>0</v>
      </c>
      <c r="U8" s="72">
        <f t="shared" si="7"/>
        <v>187919.99999999997</v>
      </c>
      <c r="V8" s="77">
        <f t="shared" ref="V8:V12" si="20">SUM(T8:U8)</f>
        <v>187919.99999999997</v>
      </c>
      <c r="W8" s="72">
        <f t="shared" ref="W8" si="21">+V8-S8</f>
        <v>6832.2499999999709</v>
      </c>
      <c r="X8" s="72">
        <f t="shared" ref="X8" si="22">+W8+X7</f>
        <v>-32566.250000000058</v>
      </c>
      <c r="Y8">
        <f t="shared" si="3"/>
        <v>1.0377289463257453</v>
      </c>
    </row>
    <row r="9" spans="1:25">
      <c r="D9">
        <v>33</v>
      </c>
      <c r="E9" s="75">
        <f>+F9-F8</f>
        <v>37</v>
      </c>
      <c r="F9">
        <f>+ROUNDDOWN(F8*1.1, 0)</f>
        <v>412</v>
      </c>
      <c r="G9">
        <f t="shared" si="9"/>
        <v>88</v>
      </c>
      <c r="H9">
        <f t="shared" si="10"/>
        <v>84</v>
      </c>
      <c r="I9">
        <f t="shared" si="11"/>
        <v>4</v>
      </c>
      <c r="J9">
        <f t="shared" si="12"/>
        <v>988</v>
      </c>
      <c r="K9">
        <f t="shared" si="1"/>
        <v>939</v>
      </c>
      <c r="L9" s="74">
        <f t="shared" si="13"/>
        <v>49</v>
      </c>
      <c r="M9" s="72">
        <f t="shared" si="14"/>
        <v>72190</v>
      </c>
      <c r="N9" s="72">
        <f t="shared" si="15"/>
        <v>2000</v>
      </c>
      <c r="O9" s="72">
        <f t="shared" si="16"/>
        <v>6917.89</v>
      </c>
      <c r="P9" s="72">
        <f t="shared" si="17"/>
        <v>14420</v>
      </c>
      <c r="Q9" s="72">
        <f t="shared" si="18"/>
        <v>77250</v>
      </c>
      <c r="R9" s="72">
        <f t="shared" si="5"/>
        <v>0</v>
      </c>
      <c r="S9" s="72">
        <f t="shared" si="19"/>
        <v>172777.89</v>
      </c>
      <c r="T9" s="76">
        <f t="shared" si="6"/>
        <v>0</v>
      </c>
      <c r="U9" s="72">
        <f t="shared" si="7"/>
        <v>206294.39999999997</v>
      </c>
      <c r="V9" s="77">
        <f t="shared" si="20"/>
        <v>206294.39999999997</v>
      </c>
      <c r="W9" s="72">
        <f>+V9-S9</f>
        <v>33516.509999999951</v>
      </c>
      <c r="X9" s="72">
        <f>+W9+X8</f>
        <v>950.2599999998929</v>
      </c>
      <c r="Y9">
        <f t="shared" si="3"/>
        <v>1.1939861055138477</v>
      </c>
    </row>
    <row r="10" spans="1:25" ht="15.75" thickBot="1">
      <c r="A10" s="111" t="s">
        <v>111</v>
      </c>
      <c r="B10" s="112"/>
      <c r="D10" s="82">
        <v>5</v>
      </c>
      <c r="E10" s="83">
        <f>+F10-F9</f>
        <v>20</v>
      </c>
      <c r="F10" s="82">
        <f>+ROUNDDOWN(F9*1.05, 0)</f>
        <v>432</v>
      </c>
      <c r="G10" s="82">
        <f t="shared" si="9"/>
        <v>48</v>
      </c>
      <c r="H10" s="82">
        <f t="shared" si="10"/>
        <v>46</v>
      </c>
      <c r="I10" s="82">
        <f t="shared" si="11"/>
        <v>2</v>
      </c>
      <c r="J10" s="82">
        <f t="shared" si="12"/>
        <v>1036</v>
      </c>
      <c r="K10" s="82">
        <f t="shared" si="1"/>
        <v>985</v>
      </c>
      <c r="L10" s="84">
        <f t="shared" si="13"/>
        <v>51</v>
      </c>
      <c r="M10" s="85">
        <f t="shared" si="14"/>
        <v>72190</v>
      </c>
      <c r="N10" s="85">
        <f t="shared" si="15"/>
        <v>1000</v>
      </c>
      <c r="O10" s="85">
        <f t="shared" si="16"/>
        <v>3739.4</v>
      </c>
      <c r="P10" s="85">
        <f t="shared" si="17"/>
        <v>15120</v>
      </c>
      <c r="Q10" s="85">
        <f t="shared" ref="Q10:Q15" si="23">+$B$50</f>
        <v>0</v>
      </c>
      <c r="R10" s="85">
        <f t="shared" si="5"/>
        <v>0</v>
      </c>
      <c r="S10" s="85">
        <f t="shared" si="19"/>
        <v>92049.4</v>
      </c>
      <c r="T10" s="86">
        <f t="shared" si="6"/>
        <v>0</v>
      </c>
      <c r="U10" s="85">
        <f t="shared" si="7"/>
        <v>216316.79999999999</v>
      </c>
      <c r="V10" s="87">
        <f t="shared" si="20"/>
        <v>216316.79999999999</v>
      </c>
      <c r="W10" s="85">
        <f>+V10-S10</f>
        <v>124267.4</v>
      </c>
      <c r="X10" s="85">
        <f>+W10+X9</f>
        <v>125217.65999999989</v>
      </c>
      <c r="Y10">
        <f t="shared" si="3"/>
        <v>2.3500077132496249</v>
      </c>
    </row>
    <row r="11" spans="1:25" ht="15" thickTop="1">
      <c r="A11" s="47" t="s">
        <v>112</v>
      </c>
      <c r="B11" s="33">
        <v>40</v>
      </c>
      <c r="D11">
        <v>6</v>
      </c>
      <c r="E11" s="75">
        <f>+F11-F10</f>
        <v>10</v>
      </c>
      <c r="F11">
        <f>+ROUNDDOWN(F10*1.025, 0)</f>
        <v>442</v>
      </c>
      <c r="G11">
        <f t="shared" si="9"/>
        <v>24</v>
      </c>
      <c r="H11">
        <f t="shared" si="10"/>
        <v>23</v>
      </c>
      <c r="I11">
        <f t="shared" si="11"/>
        <v>1</v>
      </c>
      <c r="J11">
        <f t="shared" si="12"/>
        <v>1060</v>
      </c>
      <c r="K11">
        <f t="shared" si="1"/>
        <v>1007</v>
      </c>
      <c r="L11" s="74">
        <f t="shared" si="13"/>
        <v>53</v>
      </c>
      <c r="M11" s="72">
        <f t="shared" si="14"/>
        <v>72190</v>
      </c>
      <c r="N11" s="72">
        <f t="shared" si="15"/>
        <v>500</v>
      </c>
      <c r="O11" s="72">
        <f t="shared" si="16"/>
        <v>1869.7</v>
      </c>
      <c r="P11" s="72">
        <f t="shared" si="17"/>
        <v>15470</v>
      </c>
      <c r="Q11" s="72">
        <f t="shared" si="23"/>
        <v>0</v>
      </c>
      <c r="R11" s="72">
        <f t="shared" si="5"/>
        <v>0</v>
      </c>
      <c r="S11" s="72">
        <f t="shared" si="19"/>
        <v>90029.7</v>
      </c>
      <c r="T11" s="76">
        <f t="shared" si="6"/>
        <v>0</v>
      </c>
      <c r="U11" s="72">
        <f t="shared" si="7"/>
        <v>221328</v>
      </c>
      <c r="V11" s="77">
        <f t="shared" si="20"/>
        <v>221328</v>
      </c>
      <c r="W11" s="72">
        <f>+V11-S11</f>
        <v>131298.29999999999</v>
      </c>
      <c r="X11" s="72">
        <f>+W11+X10</f>
        <v>256515.95999999988</v>
      </c>
      <c r="Y11">
        <f t="shared" si="3"/>
        <v>2.4583887317185331</v>
      </c>
    </row>
    <row r="12" spans="1:25">
      <c r="A12" s="33" t="s">
        <v>113</v>
      </c>
      <c r="B12" s="45">
        <v>1.5</v>
      </c>
      <c r="D12">
        <v>7</v>
      </c>
      <c r="E12" s="75">
        <f>+F12-F11</f>
        <v>4</v>
      </c>
      <c r="F12">
        <f>+ROUNDDOWN(F11*1.01, 0)</f>
        <v>446</v>
      </c>
      <c r="G12">
        <f t="shared" si="9"/>
        <v>9</v>
      </c>
      <c r="H12">
        <f t="shared" si="10"/>
        <v>9</v>
      </c>
      <c r="I12">
        <f t="shared" si="11"/>
        <v>0</v>
      </c>
      <c r="J12">
        <f t="shared" si="12"/>
        <v>1070</v>
      </c>
      <c r="K12">
        <f t="shared" si="1"/>
        <v>1017</v>
      </c>
      <c r="L12" s="74">
        <f t="shared" si="13"/>
        <v>53</v>
      </c>
      <c r="M12" s="72">
        <f t="shared" si="14"/>
        <v>72190</v>
      </c>
      <c r="N12" s="72">
        <f t="shared" si="15"/>
        <v>0</v>
      </c>
      <c r="O12" s="72">
        <f t="shared" si="16"/>
        <v>747.88</v>
      </c>
      <c r="P12" s="72">
        <f t="shared" si="17"/>
        <v>15610</v>
      </c>
      <c r="Q12" s="72">
        <f t="shared" si="23"/>
        <v>0</v>
      </c>
      <c r="R12" s="72">
        <f t="shared" si="5"/>
        <v>0</v>
      </c>
      <c r="S12" s="72">
        <f t="shared" si="19"/>
        <v>88547.88</v>
      </c>
      <c r="T12" s="76">
        <f t="shared" si="6"/>
        <v>0</v>
      </c>
      <c r="U12" s="72">
        <f t="shared" si="7"/>
        <v>223416</v>
      </c>
      <c r="V12" s="77">
        <f t="shared" si="20"/>
        <v>223416</v>
      </c>
      <c r="W12" s="72">
        <f>+V12-S12</f>
        <v>134868.12</v>
      </c>
      <c r="X12" s="72">
        <f>+W12+X11</f>
        <v>391384.07999999984</v>
      </c>
      <c r="Y12">
        <f t="shared" si="3"/>
        <v>2.5231095312502116</v>
      </c>
    </row>
    <row r="13" spans="1:25">
      <c r="A13" s="33" t="s">
        <v>114</v>
      </c>
      <c r="B13" s="45">
        <v>15</v>
      </c>
      <c r="D13">
        <v>8</v>
      </c>
      <c r="E13" s="75">
        <f t="shared" ref="E13:E15" si="24">+F13-F12</f>
        <v>4</v>
      </c>
      <c r="F13">
        <f t="shared" ref="F13:F15" si="25">+ROUNDDOWN(F12*1.01, 0)</f>
        <v>450</v>
      </c>
      <c r="G13">
        <f t="shared" ref="G13:G15" si="26">+ROUNDDOWN(E13*$B$8, 0)</f>
        <v>9</v>
      </c>
      <c r="H13">
        <f t="shared" si="10"/>
        <v>9</v>
      </c>
      <c r="I13">
        <f t="shared" si="11"/>
        <v>0</v>
      </c>
      <c r="J13">
        <f t="shared" ref="J13:J15" si="27">+ROUNDDOWN(F13*$B$8, 0)</f>
        <v>1080</v>
      </c>
      <c r="K13">
        <f t="shared" si="1"/>
        <v>1026</v>
      </c>
      <c r="L13" s="74">
        <f t="shared" ref="L13:L15" si="28">J13-K13</f>
        <v>54</v>
      </c>
      <c r="M13" s="72">
        <f t="shared" si="14"/>
        <v>72190</v>
      </c>
      <c r="N13" s="72">
        <f t="shared" ref="N13:N15" si="29">+H13*$B$21+I13*$B$23</f>
        <v>0</v>
      </c>
      <c r="O13" s="72">
        <f t="shared" ref="O13:O15" si="30">+E13*$B$22</f>
        <v>747.88</v>
      </c>
      <c r="P13" s="72">
        <f t="shared" ref="P13:P15" si="31">+F13*$B$24</f>
        <v>15750</v>
      </c>
      <c r="Q13" s="72">
        <f t="shared" si="23"/>
        <v>0</v>
      </c>
      <c r="R13" s="72">
        <f t="shared" si="5"/>
        <v>0</v>
      </c>
      <c r="S13" s="72">
        <f t="shared" ref="S13:S15" si="32">SUM(M13:R13)</f>
        <v>88687.88</v>
      </c>
      <c r="T13" s="76">
        <f t="shared" si="6"/>
        <v>0</v>
      </c>
      <c r="U13" s="72">
        <f t="shared" si="7"/>
        <v>225504</v>
      </c>
      <c r="V13" s="77">
        <f t="shared" ref="V13:V15" si="33">SUM(T13:U13)</f>
        <v>225504</v>
      </c>
      <c r="W13" s="72">
        <f t="shared" ref="W13:W15" si="34">+V13-S13</f>
        <v>136816.12</v>
      </c>
      <c r="X13" s="72">
        <f t="shared" ref="X13:X15" si="35">+W13+X12</f>
        <v>528200.19999999984</v>
      </c>
      <c r="Y13">
        <f t="shared" si="3"/>
        <v>2.5426698665026155</v>
      </c>
    </row>
    <row r="14" spans="1:25">
      <c r="A14" s="33" t="s">
        <v>115</v>
      </c>
      <c r="B14" s="50">
        <v>0.05</v>
      </c>
      <c r="D14">
        <v>9</v>
      </c>
      <c r="E14" s="75">
        <f t="shared" si="24"/>
        <v>4</v>
      </c>
      <c r="F14">
        <f t="shared" si="25"/>
        <v>454</v>
      </c>
      <c r="G14">
        <f t="shared" si="26"/>
        <v>9</v>
      </c>
      <c r="H14">
        <f t="shared" si="10"/>
        <v>9</v>
      </c>
      <c r="I14">
        <f t="shared" si="11"/>
        <v>0</v>
      </c>
      <c r="J14">
        <f t="shared" si="27"/>
        <v>1089</v>
      </c>
      <c r="K14">
        <f t="shared" si="1"/>
        <v>1035</v>
      </c>
      <c r="L14" s="74">
        <f t="shared" si="28"/>
        <v>54</v>
      </c>
      <c r="M14" s="72">
        <f t="shared" si="14"/>
        <v>72190</v>
      </c>
      <c r="N14" s="72">
        <f t="shared" si="29"/>
        <v>0</v>
      </c>
      <c r="O14" s="72">
        <f t="shared" si="30"/>
        <v>747.88</v>
      </c>
      <c r="P14" s="72">
        <f t="shared" si="31"/>
        <v>15890</v>
      </c>
      <c r="Q14" s="72">
        <f t="shared" si="23"/>
        <v>0</v>
      </c>
      <c r="R14" s="72">
        <f t="shared" si="5"/>
        <v>0</v>
      </c>
      <c r="S14" s="72">
        <f t="shared" si="32"/>
        <v>88827.88</v>
      </c>
      <c r="T14" s="76">
        <f t="shared" si="6"/>
        <v>0</v>
      </c>
      <c r="U14" s="72">
        <f t="shared" si="7"/>
        <v>227383.19999999998</v>
      </c>
      <c r="V14" s="77">
        <f t="shared" si="33"/>
        <v>227383.19999999998</v>
      </c>
      <c r="W14" s="72">
        <f t="shared" si="34"/>
        <v>138555.31999999998</v>
      </c>
      <c r="X14" s="72">
        <f t="shared" si="35"/>
        <v>666755.51999999979</v>
      </c>
      <c r="Y14">
        <f t="shared" si="3"/>
        <v>2.5598179310369669</v>
      </c>
    </row>
    <row r="15" spans="1:25">
      <c r="A15" s="33" t="s">
        <v>116</v>
      </c>
      <c r="B15" s="45">
        <f>B13*B14+B12*(1-B14)</f>
        <v>2.1749999999999998</v>
      </c>
      <c r="D15">
        <v>10</v>
      </c>
      <c r="E15" s="75">
        <f t="shared" si="24"/>
        <v>4</v>
      </c>
      <c r="F15">
        <f t="shared" si="25"/>
        <v>458</v>
      </c>
      <c r="G15">
        <f t="shared" si="26"/>
        <v>9</v>
      </c>
      <c r="H15">
        <f t="shared" si="10"/>
        <v>9</v>
      </c>
      <c r="I15">
        <f t="shared" si="11"/>
        <v>0</v>
      </c>
      <c r="J15">
        <f t="shared" si="27"/>
        <v>1099</v>
      </c>
      <c r="K15">
        <f t="shared" si="1"/>
        <v>1045</v>
      </c>
      <c r="L15" s="74">
        <f t="shared" si="28"/>
        <v>54</v>
      </c>
      <c r="M15" s="72">
        <f t="shared" si="14"/>
        <v>72190</v>
      </c>
      <c r="N15" s="72">
        <f t="shared" si="29"/>
        <v>0</v>
      </c>
      <c r="O15" s="72">
        <f t="shared" si="30"/>
        <v>747.88</v>
      </c>
      <c r="P15" s="72">
        <f t="shared" si="31"/>
        <v>16030</v>
      </c>
      <c r="Q15" s="72">
        <f t="shared" si="23"/>
        <v>0</v>
      </c>
      <c r="R15" s="72">
        <f t="shared" si="5"/>
        <v>0</v>
      </c>
      <c r="S15" s="72">
        <f t="shared" si="32"/>
        <v>88967.88</v>
      </c>
      <c r="T15" s="76">
        <f t="shared" si="6"/>
        <v>0</v>
      </c>
      <c r="U15" s="72">
        <f t="shared" si="7"/>
        <v>229471.19999999998</v>
      </c>
      <c r="V15" s="77">
        <f t="shared" si="33"/>
        <v>229471.19999999998</v>
      </c>
      <c r="W15" s="72">
        <f t="shared" si="34"/>
        <v>140503.31999999998</v>
      </c>
      <c r="X15" s="72">
        <f t="shared" si="35"/>
        <v>807258.83999999973</v>
      </c>
      <c r="Y15">
        <f t="shared" si="3"/>
        <v>2.5792589415415987</v>
      </c>
    </row>
    <row r="16" spans="1:25">
      <c r="A16" s="33" t="s">
        <v>117</v>
      </c>
      <c r="B16" s="50">
        <v>0.2</v>
      </c>
    </row>
    <row r="17" spans="1:24">
      <c r="A17" s="33" t="s">
        <v>118</v>
      </c>
      <c r="B17" s="70">
        <f>B15*B16*B11</f>
        <v>17.399999999999999</v>
      </c>
      <c r="W17" s="81" t="e">
        <f>IRR(W5:W10)</f>
        <v>#NUM!</v>
      </c>
    </row>
    <row r="18" spans="1:24">
      <c r="W18" s="81">
        <f>IRR(W6:W10)</f>
        <v>4.8038103728442083E-2</v>
      </c>
    </row>
    <row r="19" spans="1:24" ht="15">
      <c r="A19" s="111" t="s">
        <v>119</v>
      </c>
      <c r="B19" s="112"/>
      <c r="U19">
        <v>0.75</v>
      </c>
      <c r="V19" s="122">
        <v>0.6</v>
      </c>
      <c r="W19" s="72">
        <f>NPV(V19,W6:W10)+W5</f>
        <v>39740.727996826135</v>
      </c>
      <c r="X19">
        <f>4+(X9/ABS(X8))</f>
        <v>4.0291792883736965</v>
      </c>
    </row>
    <row r="20" spans="1:24">
      <c r="A20" s="47" t="s">
        <v>18</v>
      </c>
      <c r="B20" s="71">
        <v>100</v>
      </c>
    </row>
    <row r="21" spans="1:24">
      <c r="A21" s="47" t="s">
        <v>120</v>
      </c>
      <c r="B21" s="71">
        <v>0</v>
      </c>
    </row>
    <row r="22" spans="1:24">
      <c r="A22" s="33" t="s">
        <v>121</v>
      </c>
      <c r="B22" s="45">
        <f>+SUM(Presupuesto!F14:F16)+B20</f>
        <v>186.97</v>
      </c>
      <c r="T22" s="122">
        <v>100512.5</v>
      </c>
      <c r="U22" s="122">
        <v>100512.5</v>
      </c>
      <c r="V22" s="122">
        <v>100512.5</v>
      </c>
    </row>
    <row r="23" spans="1:24">
      <c r="A23" s="33" t="s">
        <v>122</v>
      </c>
      <c r="B23" s="45">
        <f>400+B20</f>
        <v>500</v>
      </c>
      <c r="T23">
        <v>-105610</v>
      </c>
      <c r="U23">
        <f>+T23/(1+$V$19)</f>
        <v>-66006.25</v>
      </c>
      <c r="V23">
        <f>+T23/(1+$U$19)</f>
        <v>-60348.571428571428</v>
      </c>
    </row>
    <row r="24" spans="1:24">
      <c r="A24" s="33" t="s">
        <v>123</v>
      </c>
      <c r="B24" s="45">
        <v>35</v>
      </c>
      <c r="T24">
        <v>-34301.000000000029</v>
      </c>
      <c r="U24">
        <f>+T24/((1+$V$19)^2)</f>
        <v>-13398.828125000009</v>
      </c>
      <c r="V24">
        <f>+T24/((1+$U$19)^2)</f>
        <v>-11200.326530612254</v>
      </c>
    </row>
    <row r="25" spans="1:24">
      <c r="T25">
        <v>6832.2499999999709</v>
      </c>
      <c r="U25">
        <f>+T25/((1+$V$19)^3)</f>
        <v>1668.0297851562425</v>
      </c>
      <c r="V25">
        <f>+T25/((1+$U$19)^3)</f>
        <v>1274.822157434397</v>
      </c>
    </row>
    <row r="26" spans="1:24" ht="15">
      <c r="A26" s="111" t="s">
        <v>124</v>
      </c>
      <c r="B26" s="112"/>
      <c r="T26">
        <v>33516.509999999951</v>
      </c>
      <c r="U26">
        <f>+T26/((1+$V$19)^4)</f>
        <v>5114.2135620117087</v>
      </c>
      <c r="V26">
        <f>+T26/((1+$U$19)^4)</f>
        <v>3573.6053977509318</v>
      </c>
    </row>
    <row r="27" spans="1:24">
      <c r="A27" s="118" t="s">
        <v>73</v>
      </c>
      <c r="B27" s="119"/>
      <c r="T27">
        <v>124267.4</v>
      </c>
      <c r="U27">
        <f>+T27/((1+$V$19)^5)</f>
        <v>11851.062774658196</v>
      </c>
      <c r="V27">
        <f>+T27/((1+$U$19)^5)</f>
        <v>7571.2392217528404</v>
      </c>
    </row>
    <row r="28" spans="1:24">
      <c r="A28" s="47" t="s">
        <v>125</v>
      </c>
      <c r="B28" s="71">
        <f>+'Viabilidad Economica'!L8</f>
        <v>0.125</v>
      </c>
      <c r="U28">
        <f>SUM(U22:U27)</f>
        <v>39740.727996826143</v>
      </c>
      <c r="V28">
        <f>SUM(V22:V27)</f>
        <v>41383.268817754484</v>
      </c>
    </row>
    <row r="29" spans="1:24">
      <c r="A29" s="33" t="s">
        <v>126</v>
      </c>
      <c r="B29" s="45">
        <v>2</v>
      </c>
    </row>
    <row r="30" spans="1:24">
      <c r="A30" s="33" t="s">
        <v>127</v>
      </c>
      <c r="B30" s="45">
        <f>365*24</f>
        <v>8760</v>
      </c>
    </row>
    <row r="31" spans="1:24">
      <c r="A31" s="33" t="s">
        <v>4</v>
      </c>
      <c r="B31" s="45">
        <f>+B30*B29*B28</f>
        <v>2190</v>
      </c>
    </row>
    <row r="32" spans="1:24">
      <c r="A32" s="118" t="s">
        <v>128</v>
      </c>
      <c r="B32" s="119"/>
    </row>
    <row r="33" spans="1:18">
      <c r="A33" s="47" t="s">
        <v>4</v>
      </c>
      <c r="B33" s="71">
        <v>50000</v>
      </c>
      <c r="R33" s="81"/>
    </row>
    <row r="34" spans="1:18">
      <c r="A34" s="118" t="s">
        <v>129</v>
      </c>
      <c r="B34" s="119"/>
    </row>
    <row r="35" spans="1:18">
      <c r="A35" s="47" t="s">
        <v>4</v>
      </c>
      <c r="B35" s="71">
        <v>20000</v>
      </c>
    </row>
    <row r="36" spans="1:18">
      <c r="A36" s="47" t="s">
        <v>4</v>
      </c>
      <c r="B36" s="71">
        <f>B35+B33+B31</f>
        <v>72190</v>
      </c>
    </row>
    <row r="38" spans="1:18" ht="15">
      <c r="A38" s="111" t="s">
        <v>130</v>
      </c>
      <c r="B38" s="112"/>
      <c r="C38">
        <f>+$B$39/4</f>
        <v>75000</v>
      </c>
      <c r="D38">
        <f>+$B$39/4</f>
        <v>75000</v>
      </c>
      <c r="E38">
        <f>+$B$39/4</f>
        <v>75000</v>
      </c>
      <c r="F38">
        <f>+$B$39/4</f>
        <v>75000</v>
      </c>
    </row>
    <row r="39" spans="1:18">
      <c r="A39" s="47" t="s">
        <v>2</v>
      </c>
      <c r="B39" s="71">
        <v>300000</v>
      </c>
      <c r="C39">
        <f>+B39*B40</f>
        <v>9000</v>
      </c>
      <c r="D39">
        <f>+($B$39-$C$38)*$B$40</f>
        <v>6750</v>
      </c>
      <c r="E39">
        <f>+($B$39-$C$38*2)*$B$40</f>
        <v>4500</v>
      </c>
      <c r="F39">
        <f>+($B$39-$C$38*3)*$B$40</f>
        <v>2250</v>
      </c>
    </row>
    <row r="40" spans="1:18">
      <c r="A40" s="47" t="s">
        <v>131</v>
      </c>
      <c r="B40" s="73">
        <v>0.03</v>
      </c>
      <c r="C40">
        <f>+SUM(C38:C39)</f>
        <v>84000</v>
      </c>
      <c r="D40">
        <f>+SUM(D38:D39)</f>
        <v>81750</v>
      </c>
      <c r="E40">
        <f>+SUM(E38:E39)</f>
        <v>79500</v>
      </c>
      <c r="F40">
        <f>+SUM(F38:F39)</f>
        <v>77250</v>
      </c>
      <c r="G40">
        <f>SUM(C40:F40)</f>
        <v>322500</v>
      </c>
    </row>
    <row r="41" spans="1:18">
      <c r="A41" s="33" t="s">
        <v>132</v>
      </c>
      <c r="B41" s="33">
        <v>4</v>
      </c>
    </row>
    <row r="42" spans="1:18">
      <c r="A42" s="33" t="s">
        <v>133</v>
      </c>
      <c r="B42" s="45">
        <f>+B39*(1+B40)/B41</f>
        <v>77250</v>
      </c>
    </row>
    <row r="44" spans="1:18" ht="15">
      <c r="A44" s="111" t="s">
        <v>134</v>
      </c>
      <c r="B44" s="112"/>
    </row>
    <row r="45" spans="1:18">
      <c r="A45" s="47" t="s">
        <v>76</v>
      </c>
      <c r="B45" s="71">
        <f>+Presupuesto!G11</f>
        <v>177340</v>
      </c>
    </row>
    <row r="46" spans="1:18">
      <c r="A46" s="47" t="s">
        <v>135</v>
      </c>
      <c r="B46" s="88">
        <f>23932.5-$B$31</f>
        <v>21742.5</v>
      </c>
    </row>
    <row r="47" spans="1:18">
      <c r="A47" s="33" t="s">
        <v>136</v>
      </c>
      <c r="B47" s="71">
        <v>405</v>
      </c>
    </row>
    <row r="49" spans="1:2" ht="15">
      <c r="A49" s="111" t="s">
        <v>137</v>
      </c>
      <c r="B49" s="112"/>
    </row>
    <row r="50" spans="1:2">
      <c r="A50" s="47" t="s">
        <v>138</v>
      </c>
      <c r="B50" s="71">
        <v>0</v>
      </c>
    </row>
    <row r="52" spans="1:2" ht="15">
      <c r="A52" s="111" t="s">
        <v>139</v>
      </c>
      <c r="B52" s="112"/>
    </row>
    <row r="53" spans="1:2">
      <c r="A53" s="47" t="s">
        <v>140</v>
      </c>
      <c r="B53" s="73">
        <v>0.12</v>
      </c>
    </row>
    <row r="54" spans="1:2">
      <c r="A54" s="33" t="s">
        <v>141</v>
      </c>
      <c r="B54" s="45">
        <f>+NPV(B53,W6:W10)+W5</f>
        <v>75549.378627464452</v>
      </c>
    </row>
    <row r="55" spans="1:2">
      <c r="A55" s="33" t="s">
        <v>142</v>
      </c>
      <c r="B55" s="33">
        <f>4+ABS(X10)/ABS(X9)</f>
        <v>135.77199924232735</v>
      </c>
    </row>
  </sheetData>
  <mergeCells count="36">
    <mergeCell ref="Y1:Y4"/>
    <mergeCell ref="A52:B52"/>
    <mergeCell ref="U2:U4"/>
    <mergeCell ref="V2:V4"/>
    <mergeCell ref="W2:W4"/>
    <mergeCell ref="X2:X4"/>
    <mergeCell ref="W1:X1"/>
    <mergeCell ref="T1:V1"/>
    <mergeCell ref="Q3:Q4"/>
    <mergeCell ref="N2:Q2"/>
    <mergeCell ref="R2:R4"/>
    <mergeCell ref="S2:S4"/>
    <mergeCell ref="M1:S1"/>
    <mergeCell ref="T2:T4"/>
    <mergeCell ref="J3:L3"/>
    <mergeCell ref="G2:L2"/>
    <mergeCell ref="M2:M4"/>
    <mergeCell ref="N3:N4"/>
    <mergeCell ref="O3:O4"/>
    <mergeCell ref="P3:P4"/>
    <mergeCell ref="A44:B44"/>
    <mergeCell ref="A49:B49"/>
    <mergeCell ref="D1:D4"/>
    <mergeCell ref="E1:L1"/>
    <mergeCell ref="E2:F2"/>
    <mergeCell ref="E3:E4"/>
    <mergeCell ref="F3:F4"/>
    <mergeCell ref="G3:I3"/>
    <mergeCell ref="A34:B34"/>
    <mergeCell ref="A38:B38"/>
    <mergeCell ref="A1:B1"/>
    <mergeCell ref="A10:B10"/>
    <mergeCell ref="A19:B19"/>
    <mergeCell ref="A26:B26"/>
    <mergeCell ref="A27:B27"/>
    <mergeCell ref="A32:B32"/>
  </mergeCells>
  <conditionalFormatting sqref="W2:X2 W1 W5:X1048576">
    <cfRule type="colorScale" priority="1">
      <colorScale>
        <cfvo type="num" val="0"/>
        <cfvo type="num" val="0"/>
        <color rgb="FFFF0000"/>
        <color theme="9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opLeftCell="P1" zoomScale="160" zoomScaleNormal="160" workbookViewId="0">
      <selection activeCell="V19" sqref="V19"/>
    </sheetView>
  </sheetViews>
  <sheetFormatPr baseColWidth="10" defaultColWidth="11.375" defaultRowHeight="14.25"/>
  <cols>
    <col min="1" max="1" width="47.625" bestFit="1" customWidth="1"/>
    <col min="2" max="2" width="12.75" bestFit="1" customWidth="1"/>
    <col min="4" max="4" width="4.125" bestFit="1" customWidth="1"/>
    <col min="5" max="5" width="7" bestFit="1" customWidth="1"/>
    <col min="6" max="6" width="6.875" bestFit="1" customWidth="1"/>
    <col min="7" max="7" width="4.875" bestFit="1" customWidth="1"/>
    <col min="8" max="8" width="11.25" bestFit="1" customWidth="1"/>
    <col min="9" max="9" width="12" bestFit="1" customWidth="1"/>
    <col min="10" max="10" width="5" bestFit="1" customWidth="1"/>
    <col min="11" max="11" width="11.25" bestFit="1" customWidth="1"/>
    <col min="12" max="12" width="12" bestFit="1" customWidth="1"/>
    <col min="13" max="15" width="11.75" bestFit="1" customWidth="1"/>
    <col min="16" max="16" width="12.625" bestFit="1" customWidth="1"/>
    <col min="17" max="17" width="11.75" bestFit="1" customWidth="1"/>
    <col min="18" max="24" width="12.75" bestFit="1" customWidth="1"/>
    <col min="25" max="25" width="14.25" bestFit="1" customWidth="1"/>
  </cols>
  <sheetData>
    <row r="1" spans="1:25" ht="15">
      <c r="A1" s="111" t="s">
        <v>88</v>
      </c>
      <c r="B1" s="112"/>
      <c r="D1" s="113" t="s">
        <v>30</v>
      </c>
      <c r="E1" s="115" t="s">
        <v>89</v>
      </c>
      <c r="F1" s="113"/>
      <c r="G1" s="113"/>
      <c r="H1" s="113"/>
      <c r="I1" s="113"/>
      <c r="J1" s="113"/>
      <c r="K1" s="113"/>
      <c r="L1" s="116"/>
      <c r="M1" s="113" t="s">
        <v>90</v>
      </c>
      <c r="N1" s="113"/>
      <c r="O1" s="113"/>
      <c r="P1" s="113"/>
      <c r="Q1" s="113"/>
      <c r="R1" s="113"/>
      <c r="S1" s="113"/>
      <c r="T1" s="115" t="s">
        <v>62</v>
      </c>
      <c r="U1" s="113"/>
      <c r="V1" s="116"/>
      <c r="W1" s="113" t="s">
        <v>91</v>
      </c>
      <c r="X1" s="113"/>
      <c r="Y1" s="120" t="s">
        <v>66</v>
      </c>
    </row>
    <row r="2" spans="1:25">
      <c r="A2" s="33" t="s">
        <v>92</v>
      </c>
      <c r="B2" s="51">
        <v>801226</v>
      </c>
      <c r="D2" s="113"/>
      <c r="E2" s="115" t="s">
        <v>93</v>
      </c>
      <c r="F2" s="113"/>
      <c r="G2" s="113" t="s">
        <v>94</v>
      </c>
      <c r="H2" s="113"/>
      <c r="I2" s="113"/>
      <c r="J2" s="113"/>
      <c r="K2" s="113"/>
      <c r="L2" s="116"/>
      <c r="M2" s="113" t="s">
        <v>95</v>
      </c>
      <c r="N2" s="113" t="s">
        <v>96</v>
      </c>
      <c r="O2" s="113"/>
      <c r="P2" s="113"/>
      <c r="Q2" s="113"/>
      <c r="R2" s="113" t="s">
        <v>97</v>
      </c>
      <c r="S2" s="113" t="s">
        <v>4</v>
      </c>
      <c r="T2" s="115" t="s">
        <v>98</v>
      </c>
      <c r="U2" s="113" t="s">
        <v>99</v>
      </c>
      <c r="V2" s="116" t="s">
        <v>4</v>
      </c>
      <c r="W2" s="113" t="s">
        <v>100</v>
      </c>
      <c r="X2" s="113" t="s">
        <v>101</v>
      </c>
      <c r="Y2" s="120"/>
    </row>
    <row r="3" spans="1:25">
      <c r="A3" s="33" t="s">
        <v>102</v>
      </c>
      <c r="B3" s="50">
        <v>0.8</v>
      </c>
      <c r="D3" s="113"/>
      <c r="E3" s="115" t="s">
        <v>103</v>
      </c>
      <c r="F3" s="113" t="s">
        <v>104</v>
      </c>
      <c r="G3" s="113" t="s">
        <v>105</v>
      </c>
      <c r="H3" s="113"/>
      <c r="I3" s="113"/>
      <c r="J3" s="113" t="s">
        <v>104</v>
      </c>
      <c r="K3" s="113"/>
      <c r="L3" s="116"/>
      <c r="M3" s="113"/>
      <c r="N3" s="113" t="s">
        <v>11</v>
      </c>
      <c r="O3" s="113" t="s">
        <v>18</v>
      </c>
      <c r="P3" s="113" t="s">
        <v>19</v>
      </c>
      <c r="Q3" s="113" t="s">
        <v>98</v>
      </c>
      <c r="R3" s="113"/>
      <c r="S3" s="113"/>
      <c r="T3" s="115"/>
      <c r="U3" s="113"/>
      <c r="V3" s="116"/>
      <c r="W3" s="113"/>
      <c r="X3" s="113"/>
      <c r="Y3" s="120"/>
    </row>
    <row r="4" spans="1:25">
      <c r="A4" s="33" t="s">
        <v>106</v>
      </c>
      <c r="B4" s="50">
        <v>0.15</v>
      </c>
      <c r="D4" s="114"/>
      <c r="E4" s="117"/>
      <c r="F4" s="114"/>
      <c r="G4" s="78" t="s">
        <v>4</v>
      </c>
      <c r="H4" s="78" t="s">
        <v>107</v>
      </c>
      <c r="I4" s="78" t="s">
        <v>108</v>
      </c>
      <c r="J4" s="78" t="s">
        <v>4</v>
      </c>
      <c r="K4" s="78" t="s">
        <v>107</v>
      </c>
      <c r="L4" s="79" t="s">
        <v>108</v>
      </c>
      <c r="M4" s="114"/>
      <c r="N4" s="114"/>
      <c r="O4" s="114"/>
      <c r="P4" s="114"/>
      <c r="Q4" s="114"/>
      <c r="R4" s="114"/>
      <c r="S4" s="114"/>
      <c r="T4" s="117"/>
      <c r="U4" s="114"/>
      <c r="V4" s="121"/>
      <c r="W4" s="114"/>
      <c r="X4" s="114"/>
      <c r="Y4" s="120"/>
    </row>
    <row r="5" spans="1:25">
      <c r="A5" s="33" t="s">
        <v>37</v>
      </c>
      <c r="B5" s="33">
        <f>B2*B3*B4</f>
        <v>96147.12000000001</v>
      </c>
      <c r="D5">
        <v>0</v>
      </c>
      <c r="E5" s="75">
        <f>+F5-F4</f>
        <v>0</v>
      </c>
      <c r="F5">
        <f>+ROUNDDOWN(F4*1.5, 0)</f>
        <v>0</v>
      </c>
      <c r="G5">
        <f t="shared" ref="G5" si="0">+ROUNDDOWN(E5*$B$8, 0)</f>
        <v>0</v>
      </c>
      <c r="H5">
        <f>+ROUNDUP(G5*(1-$B$14), 0)</f>
        <v>0</v>
      </c>
      <c r="I5">
        <f>G5-H5</f>
        <v>0</v>
      </c>
      <c r="J5">
        <f>+ROUNDDOWN(F5*$B$8, 0)</f>
        <v>0</v>
      </c>
      <c r="K5">
        <f t="shared" ref="K5:K15" si="1">+ROUNDUP(J5*(1-$B$14), 0)</f>
        <v>0</v>
      </c>
      <c r="L5" s="74">
        <f>J5-K5</f>
        <v>0</v>
      </c>
      <c r="M5" s="72">
        <f>+B50</f>
        <v>0</v>
      </c>
      <c r="N5" s="72">
        <f>+H5*$B$21+I5*$B$23</f>
        <v>0</v>
      </c>
      <c r="O5" s="72">
        <f>+E5*$B$22</f>
        <v>0</v>
      </c>
      <c r="P5" s="72">
        <f>+F5*$B$24</f>
        <v>0</v>
      </c>
      <c r="Q5" s="72">
        <f>+B50</f>
        <v>0</v>
      </c>
      <c r="R5" s="72">
        <f>SUM(B45:B47)</f>
        <v>199487.5</v>
      </c>
      <c r="S5" s="72">
        <f>SUM(M5:R5)</f>
        <v>199487.5</v>
      </c>
      <c r="T5" s="76">
        <v>0</v>
      </c>
      <c r="U5" s="72">
        <f t="shared" ref="U5" si="2">+J5*$B$17*12</f>
        <v>0</v>
      </c>
      <c r="V5" s="77">
        <f>SUM(T5:U5)</f>
        <v>0</v>
      </c>
      <c r="W5" s="72">
        <f>+V5-S5</f>
        <v>-199487.5</v>
      </c>
      <c r="X5" s="72">
        <f>+W5</f>
        <v>-199487.5</v>
      </c>
      <c r="Y5">
        <f t="shared" ref="Y5:Y15" si="3">+V5/S5</f>
        <v>0</v>
      </c>
    </row>
    <row r="6" spans="1:25">
      <c r="A6" s="33" t="s">
        <v>40</v>
      </c>
      <c r="B6" s="33">
        <v>12</v>
      </c>
      <c r="D6">
        <v>1</v>
      </c>
      <c r="E6" s="75">
        <f>+F6</f>
        <v>200</v>
      </c>
      <c r="F6">
        <v>200</v>
      </c>
      <c r="G6">
        <f>+ROUNDDOWN(E6*$B$8, 0)</f>
        <v>480</v>
      </c>
      <c r="H6">
        <f>+ROUNDUP(G6*(1-$B$14), 0)</f>
        <v>456</v>
      </c>
      <c r="I6">
        <f>G6-H6</f>
        <v>24</v>
      </c>
      <c r="J6">
        <f>+ROUNDDOWN(F6*$B$6*$B$7, 0)</f>
        <v>480</v>
      </c>
      <c r="K6">
        <f t="shared" si="1"/>
        <v>456</v>
      </c>
      <c r="L6" s="74">
        <f>J6-K6</f>
        <v>24</v>
      </c>
      <c r="M6" s="72">
        <f>+$B$36</f>
        <v>72190</v>
      </c>
      <c r="N6" s="72">
        <f>+H6*$B$21+I6*$B$23</f>
        <v>12000</v>
      </c>
      <c r="O6" s="72">
        <f>+E6*$B$22</f>
        <v>37394</v>
      </c>
      <c r="P6" s="72">
        <f>+F6*$B$24</f>
        <v>7000</v>
      </c>
      <c r="Q6" s="72">
        <v>0</v>
      </c>
      <c r="R6" s="72">
        <f>+B50</f>
        <v>0</v>
      </c>
      <c r="S6" s="72">
        <f>SUM(M6:R6)</f>
        <v>128584</v>
      </c>
      <c r="T6" s="76">
        <f>+B50</f>
        <v>0</v>
      </c>
      <c r="U6" s="72">
        <f>+J6*$B$17*12</f>
        <v>100224</v>
      </c>
      <c r="V6" s="77">
        <f>SUM(T6:U6)</f>
        <v>100224</v>
      </c>
      <c r="W6" s="72">
        <f>+V6-S6</f>
        <v>-28360</v>
      </c>
      <c r="X6" s="72">
        <f>+W6+X5</f>
        <v>-227847.5</v>
      </c>
      <c r="Y6">
        <f t="shared" si="3"/>
        <v>0.77944378771853418</v>
      </c>
    </row>
    <row r="7" spans="1:25">
      <c r="A7" s="33" t="s">
        <v>109</v>
      </c>
      <c r="B7" s="73">
        <v>0.2</v>
      </c>
      <c r="D7">
        <v>2</v>
      </c>
      <c r="E7" s="75">
        <f>+F7-F6</f>
        <v>100</v>
      </c>
      <c r="F7">
        <f>+ROUNDDOWN(F6*1.5, 0)</f>
        <v>300</v>
      </c>
      <c r="G7">
        <f t="shared" ref="G7:G15" si="4">+ROUNDDOWN(E7*$B$8, 0)</f>
        <v>240</v>
      </c>
      <c r="H7">
        <f>+ROUNDUP(G7*(1-$B$14), 0)</f>
        <v>228</v>
      </c>
      <c r="I7">
        <f>G7-H7</f>
        <v>12</v>
      </c>
      <c r="J7">
        <f>+ROUNDDOWN(F7*$B$8, 0)</f>
        <v>720</v>
      </c>
      <c r="K7">
        <f t="shared" si="1"/>
        <v>684</v>
      </c>
      <c r="L7" s="74">
        <f>J7-K7</f>
        <v>36</v>
      </c>
      <c r="M7" s="72">
        <f>+$B$36</f>
        <v>72190</v>
      </c>
      <c r="N7" s="72">
        <f>+H7*$B$21+I7*$B$23</f>
        <v>6000</v>
      </c>
      <c r="O7" s="72">
        <f>+E7*$B$22</f>
        <v>18697</v>
      </c>
      <c r="P7" s="72">
        <f>+F7*$B$24</f>
        <v>10500</v>
      </c>
      <c r="Q7" s="72">
        <v>0</v>
      </c>
      <c r="R7" s="72">
        <f t="shared" ref="R7:R15" si="5">+$B$50</f>
        <v>0</v>
      </c>
      <c r="S7" s="72">
        <f>SUM(M7:R7)</f>
        <v>107387</v>
      </c>
      <c r="T7" s="76">
        <f t="shared" ref="T7:T15" si="6">+$B$50</f>
        <v>0</v>
      </c>
      <c r="U7" s="72">
        <f t="shared" ref="U7:U15" si="7">+J7*$B$17*12</f>
        <v>150335.99999999997</v>
      </c>
      <c r="V7" s="77">
        <f>SUM(T7:U7)</f>
        <v>150335.99999999997</v>
      </c>
      <c r="W7" s="72">
        <f>+V7-S7</f>
        <v>42948.999999999971</v>
      </c>
      <c r="X7" s="72">
        <f>+W7+X6</f>
        <v>-184898.50000000003</v>
      </c>
      <c r="Y7">
        <f t="shared" si="3"/>
        <v>1.39994598973805</v>
      </c>
    </row>
    <row r="8" spans="1:25">
      <c r="A8" s="33" t="s">
        <v>110</v>
      </c>
      <c r="B8" s="80">
        <f>+B7*B6</f>
        <v>2.4000000000000004</v>
      </c>
      <c r="D8">
        <v>3</v>
      </c>
      <c r="E8" s="75">
        <f t="shared" ref="E8" si="8">+F8-F7</f>
        <v>75</v>
      </c>
      <c r="F8">
        <f>+ROUNDDOWN(F7*1.25, 0)</f>
        <v>375</v>
      </c>
      <c r="G8">
        <f t="shared" si="4"/>
        <v>180</v>
      </c>
      <c r="H8">
        <f t="shared" ref="H8:H15" si="9">+ROUNDUP(G8*(1-$B$14), 0)</f>
        <v>171</v>
      </c>
      <c r="I8">
        <f t="shared" ref="I8:I15" si="10">G8-H8</f>
        <v>9</v>
      </c>
      <c r="J8">
        <f t="shared" ref="J8:J15" si="11">+ROUNDDOWN(F8*$B$8, 0)</f>
        <v>900</v>
      </c>
      <c r="K8">
        <f t="shared" si="1"/>
        <v>855</v>
      </c>
      <c r="L8" s="74">
        <f t="shared" ref="L8:L15" si="12">J8-K8</f>
        <v>45</v>
      </c>
      <c r="M8" s="72">
        <f t="shared" ref="M8:M15" si="13">+$B$36</f>
        <v>72190</v>
      </c>
      <c r="N8" s="72">
        <f t="shared" ref="N8:N15" si="14">+H8*$B$21+I8*$B$23</f>
        <v>4500</v>
      </c>
      <c r="O8" s="72">
        <f t="shared" ref="O8:O15" si="15">+E8*$B$22</f>
        <v>14022.75</v>
      </c>
      <c r="P8" s="72">
        <f t="shared" ref="P8:P15" si="16">+F8*$B$24</f>
        <v>13125</v>
      </c>
      <c r="Q8" s="72">
        <v>0</v>
      </c>
      <c r="R8" s="72">
        <f t="shared" si="5"/>
        <v>0</v>
      </c>
      <c r="S8" s="72">
        <f t="shared" ref="S8:S15" si="17">SUM(M8:R8)</f>
        <v>103837.75</v>
      </c>
      <c r="T8" s="76">
        <f t="shared" si="6"/>
        <v>0</v>
      </c>
      <c r="U8" s="72">
        <f t="shared" si="7"/>
        <v>187919.99999999997</v>
      </c>
      <c r="V8" s="77">
        <f t="shared" ref="V8:V15" si="18">SUM(T8:U8)</f>
        <v>187919.99999999997</v>
      </c>
      <c r="W8" s="72">
        <f t="shared" ref="W8" si="19">+V8-S8</f>
        <v>84082.249999999971</v>
      </c>
      <c r="X8" s="72">
        <f t="shared" ref="X8" si="20">+W8+X7</f>
        <v>-100816.25000000006</v>
      </c>
      <c r="Y8">
        <f t="shared" si="3"/>
        <v>1.8097464554075948</v>
      </c>
    </row>
    <row r="9" spans="1:25">
      <c r="D9">
        <v>33</v>
      </c>
      <c r="E9" s="75">
        <f>+F9-F8</f>
        <v>37</v>
      </c>
      <c r="F9">
        <f>+ROUNDDOWN(F8*1.1, 0)</f>
        <v>412</v>
      </c>
      <c r="G9">
        <f t="shared" si="4"/>
        <v>88</v>
      </c>
      <c r="H9">
        <f t="shared" si="9"/>
        <v>84</v>
      </c>
      <c r="I9">
        <f t="shared" si="10"/>
        <v>4</v>
      </c>
      <c r="J9">
        <f t="shared" si="11"/>
        <v>988</v>
      </c>
      <c r="K9">
        <f t="shared" si="1"/>
        <v>939</v>
      </c>
      <c r="L9" s="74">
        <f t="shared" si="12"/>
        <v>49</v>
      </c>
      <c r="M9" s="72">
        <f t="shared" si="13"/>
        <v>72190</v>
      </c>
      <c r="N9" s="72">
        <f t="shared" si="14"/>
        <v>2000</v>
      </c>
      <c r="O9" s="72">
        <f t="shared" si="15"/>
        <v>6917.89</v>
      </c>
      <c r="P9" s="72">
        <f t="shared" si="16"/>
        <v>14420</v>
      </c>
      <c r="Q9" s="72">
        <v>0</v>
      </c>
      <c r="R9" s="72">
        <f t="shared" si="5"/>
        <v>0</v>
      </c>
      <c r="S9" s="72">
        <f t="shared" si="17"/>
        <v>95527.89</v>
      </c>
      <c r="T9" s="76">
        <f t="shared" si="6"/>
        <v>0</v>
      </c>
      <c r="U9" s="72">
        <f t="shared" si="7"/>
        <v>206294.39999999997</v>
      </c>
      <c r="V9" s="77">
        <f t="shared" si="18"/>
        <v>206294.39999999997</v>
      </c>
      <c r="W9" s="72">
        <f>+V9-S9</f>
        <v>110766.50999999997</v>
      </c>
      <c r="X9" s="72">
        <f>+W9+X8</f>
        <v>9950.2599999999074</v>
      </c>
      <c r="Y9">
        <f t="shared" si="3"/>
        <v>2.1595201150156251</v>
      </c>
    </row>
    <row r="10" spans="1:25" ht="15.75" thickBot="1">
      <c r="A10" s="111" t="s">
        <v>111</v>
      </c>
      <c r="B10" s="112"/>
      <c r="D10" s="82">
        <v>5</v>
      </c>
      <c r="E10" s="83">
        <f>+F10-F9</f>
        <v>20</v>
      </c>
      <c r="F10" s="82">
        <f>+ROUNDDOWN(F9*1.05, 0)</f>
        <v>432</v>
      </c>
      <c r="G10" s="82">
        <f t="shared" si="4"/>
        <v>48</v>
      </c>
      <c r="H10" s="82">
        <f t="shared" si="9"/>
        <v>46</v>
      </c>
      <c r="I10" s="82">
        <f t="shared" si="10"/>
        <v>2</v>
      </c>
      <c r="J10" s="82">
        <f t="shared" si="11"/>
        <v>1036</v>
      </c>
      <c r="K10" s="82">
        <f t="shared" si="1"/>
        <v>985</v>
      </c>
      <c r="L10" s="84">
        <f t="shared" si="12"/>
        <v>51</v>
      </c>
      <c r="M10" s="85">
        <f t="shared" si="13"/>
        <v>72190</v>
      </c>
      <c r="N10" s="85">
        <f t="shared" si="14"/>
        <v>1000</v>
      </c>
      <c r="O10" s="85">
        <f t="shared" si="15"/>
        <v>3739.4</v>
      </c>
      <c r="P10" s="85">
        <f t="shared" si="16"/>
        <v>15120</v>
      </c>
      <c r="Q10" s="85">
        <f t="shared" ref="Q10:Q15" si="21">+$B$50</f>
        <v>0</v>
      </c>
      <c r="R10" s="85">
        <f t="shared" si="5"/>
        <v>0</v>
      </c>
      <c r="S10" s="85">
        <f t="shared" si="17"/>
        <v>92049.4</v>
      </c>
      <c r="T10" s="86">
        <f t="shared" si="6"/>
        <v>0</v>
      </c>
      <c r="U10" s="85">
        <f t="shared" si="7"/>
        <v>216316.79999999999</v>
      </c>
      <c r="V10" s="87">
        <f t="shared" si="18"/>
        <v>216316.79999999999</v>
      </c>
      <c r="W10" s="85">
        <f>+V10-S10</f>
        <v>124267.4</v>
      </c>
      <c r="X10" s="85">
        <f>+W10+X9</f>
        <v>134217.65999999992</v>
      </c>
      <c r="Y10">
        <f t="shared" si="3"/>
        <v>2.3500077132496249</v>
      </c>
    </row>
    <row r="11" spans="1:25" ht="15" thickTop="1">
      <c r="A11" s="47" t="s">
        <v>112</v>
      </c>
      <c r="B11" s="33">
        <v>40</v>
      </c>
      <c r="D11">
        <v>6</v>
      </c>
      <c r="E11" s="75">
        <f>+F11-F10</f>
        <v>10</v>
      </c>
      <c r="F11">
        <f>+ROUNDDOWN(F10*1.025, 0)</f>
        <v>442</v>
      </c>
      <c r="G11">
        <f t="shared" si="4"/>
        <v>24</v>
      </c>
      <c r="H11">
        <f t="shared" si="9"/>
        <v>23</v>
      </c>
      <c r="I11">
        <f t="shared" si="10"/>
        <v>1</v>
      </c>
      <c r="J11">
        <f t="shared" si="11"/>
        <v>1060</v>
      </c>
      <c r="K11">
        <f t="shared" si="1"/>
        <v>1007</v>
      </c>
      <c r="L11" s="74">
        <f t="shared" si="12"/>
        <v>53</v>
      </c>
      <c r="M11" s="72">
        <f t="shared" si="13"/>
        <v>72190</v>
      </c>
      <c r="N11" s="72">
        <f t="shared" si="14"/>
        <v>500</v>
      </c>
      <c r="O11" s="72">
        <f t="shared" si="15"/>
        <v>1869.7</v>
      </c>
      <c r="P11" s="72">
        <f t="shared" si="16"/>
        <v>15470</v>
      </c>
      <c r="Q11" s="72">
        <f t="shared" si="21"/>
        <v>0</v>
      </c>
      <c r="R11" s="72">
        <f t="shared" si="5"/>
        <v>0</v>
      </c>
      <c r="S11" s="72">
        <f t="shared" si="17"/>
        <v>90029.7</v>
      </c>
      <c r="T11" s="76">
        <f t="shared" si="6"/>
        <v>0</v>
      </c>
      <c r="U11" s="72">
        <f t="shared" si="7"/>
        <v>221328</v>
      </c>
      <c r="V11" s="77">
        <f t="shared" si="18"/>
        <v>221328</v>
      </c>
      <c r="W11" s="72">
        <f>+V11-S11</f>
        <v>131298.29999999999</v>
      </c>
      <c r="X11" s="72">
        <f>+W11+X10</f>
        <v>265515.9599999999</v>
      </c>
      <c r="Y11">
        <f t="shared" si="3"/>
        <v>2.4583887317185331</v>
      </c>
    </row>
    <row r="12" spans="1:25">
      <c r="A12" s="33" t="s">
        <v>113</v>
      </c>
      <c r="B12" s="45">
        <v>1.5</v>
      </c>
      <c r="D12">
        <v>7</v>
      </c>
      <c r="E12" s="75">
        <f>+F12-F11</f>
        <v>4</v>
      </c>
      <c r="F12">
        <f>+ROUNDDOWN(F11*1.01, 0)</f>
        <v>446</v>
      </c>
      <c r="G12">
        <f t="shared" si="4"/>
        <v>9</v>
      </c>
      <c r="H12">
        <f t="shared" si="9"/>
        <v>9</v>
      </c>
      <c r="I12">
        <f t="shared" si="10"/>
        <v>0</v>
      </c>
      <c r="J12">
        <f t="shared" si="11"/>
        <v>1070</v>
      </c>
      <c r="K12">
        <f t="shared" si="1"/>
        <v>1017</v>
      </c>
      <c r="L12" s="74">
        <f t="shared" si="12"/>
        <v>53</v>
      </c>
      <c r="M12" s="72">
        <f t="shared" si="13"/>
        <v>72190</v>
      </c>
      <c r="N12" s="72">
        <f t="shared" si="14"/>
        <v>0</v>
      </c>
      <c r="O12" s="72">
        <f t="shared" si="15"/>
        <v>747.88</v>
      </c>
      <c r="P12" s="72">
        <f t="shared" si="16"/>
        <v>15610</v>
      </c>
      <c r="Q12" s="72">
        <f t="shared" si="21"/>
        <v>0</v>
      </c>
      <c r="R12" s="72">
        <f t="shared" si="5"/>
        <v>0</v>
      </c>
      <c r="S12" s="72">
        <f t="shared" si="17"/>
        <v>88547.88</v>
      </c>
      <c r="T12" s="76">
        <f t="shared" si="6"/>
        <v>0</v>
      </c>
      <c r="U12" s="72">
        <f t="shared" si="7"/>
        <v>223416</v>
      </c>
      <c r="V12" s="77">
        <f t="shared" si="18"/>
        <v>223416</v>
      </c>
      <c r="W12" s="72">
        <f>+V12-S12</f>
        <v>134868.12</v>
      </c>
      <c r="X12" s="72">
        <f>+W12+X11</f>
        <v>400384.0799999999</v>
      </c>
      <c r="Y12">
        <f t="shared" si="3"/>
        <v>2.5231095312502116</v>
      </c>
    </row>
    <row r="13" spans="1:25">
      <c r="A13" s="33" t="s">
        <v>114</v>
      </c>
      <c r="B13" s="45">
        <v>15</v>
      </c>
      <c r="D13">
        <v>8</v>
      </c>
      <c r="E13" s="75">
        <f t="shared" ref="E13:E15" si="22">+F13-F12</f>
        <v>4</v>
      </c>
      <c r="F13">
        <f t="shared" ref="F13:F15" si="23">+ROUNDDOWN(F12*1.01, 0)</f>
        <v>450</v>
      </c>
      <c r="G13">
        <f t="shared" si="4"/>
        <v>9</v>
      </c>
      <c r="H13">
        <f t="shared" si="9"/>
        <v>9</v>
      </c>
      <c r="I13">
        <f t="shared" si="10"/>
        <v>0</v>
      </c>
      <c r="J13">
        <f t="shared" si="11"/>
        <v>1080</v>
      </c>
      <c r="K13">
        <f t="shared" si="1"/>
        <v>1026</v>
      </c>
      <c r="L13" s="74">
        <f t="shared" si="12"/>
        <v>54</v>
      </c>
      <c r="M13" s="72">
        <f t="shared" si="13"/>
        <v>72190</v>
      </c>
      <c r="N13" s="72">
        <f t="shared" si="14"/>
        <v>0</v>
      </c>
      <c r="O13" s="72">
        <f t="shared" si="15"/>
        <v>747.88</v>
      </c>
      <c r="P13" s="72">
        <f t="shared" si="16"/>
        <v>15750</v>
      </c>
      <c r="Q13" s="72">
        <f t="shared" si="21"/>
        <v>0</v>
      </c>
      <c r="R13" s="72">
        <f t="shared" si="5"/>
        <v>0</v>
      </c>
      <c r="S13" s="72">
        <f t="shared" si="17"/>
        <v>88687.88</v>
      </c>
      <c r="T13" s="76">
        <f t="shared" si="6"/>
        <v>0</v>
      </c>
      <c r="U13" s="72">
        <f t="shared" si="7"/>
        <v>225504</v>
      </c>
      <c r="V13" s="77">
        <f t="shared" si="18"/>
        <v>225504</v>
      </c>
      <c r="W13" s="72">
        <f t="shared" ref="W13:W15" si="24">+V13-S13</f>
        <v>136816.12</v>
      </c>
      <c r="X13" s="72">
        <f t="shared" ref="X13:X15" si="25">+W13+X12</f>
        <v>537200.19999999995</v>
      </c>
      <c r="Y13">
        <f t="shared" si="3"/>
        <v>2.5426698665026155</v>
      </c>
    </row>
    <row r="14" spans="1:25">
      <c r="A14" s="33" t="s">
        <v>115</v>
      </c>
      <c r="B14" s="50">
        <v>0.05</v>
      </c>
      <c r="D14">
        <v>9</v>
      </c>
      <c r="E14" s="75">
        <f t="shared" si="22"/>
        <v>4</v>
      </c>
      <c r="F14">
        <f t="shared" si="23"/>
        <v>454</v>
      </c>
      <c r="G14">
        <f t="shared" si="4"/>
        <v>9</v>
      </c>
      <c r="H14">
        <f t="shared" si="9"/>
        <v>9</v>
      </c>
      <c r="I14">
        <f t="shared" si="10"/>
        <v>0</v>
      </c>
      <c r="J14">
        <f t="shared" si="11"/>
        <v>1089</v>
      </c>
      <c r="K14">
        <f t="shared" si="1"/>
        <v>1035</v>
      </c>
      <c r="L14" s="74">
        <f t="shared" si="12"/>
        <v>54</v>
      </c>
      <c r="M14" s="72">
        <f t="shared" si="13"/>
        <v>72190</v>
      </c>
      <c r="N14" s="72">
        <f t="shared" si="14"/>
        <v>0</v>
      </c>
      <c r="O14" s="72">
        <f t="shared" si="15"/>
        <v>747.88</v>
      </c>
      <c r="P14" s="72">
        <f t="shared" si="16"/>
        <v>15890</v>
      </c>
      <c r="Q14" s="72">
        <f t="shared" si="21"/>
        <v>0</v>
      </c>
      <c r="R14" s="72">
        <f t="shared" si="5"/>
        <v>0</v>
      </c>
      <c r="S14" s="72">
        <f t="shared" si="17"/>
        <v>88827.88</v>
      </c>
      <c r="T14" s="76">
        <f t="shared" si="6"/>
        <v>0</v>
      </c>
      <c r="U14" s="72">
        <f t="shared" si="7"/>
        <v>227383.19999999998</v>
      </c>
      <c r="V14" s="77">
        <f t="shared" si="18"/>
        <v>227383.19999999998</v>
      </c>
      <c r="W14" s="72">
        <f t="shared" si="24"/>
        <v>138555.31999999998</v>
      </c>
      <c r="X14" s="72">
        <f t="shared" si="25"/>
        <v>675755.5199999999</v>
      </c>
      <c r="Y14">
        <f t="shared" si="3"/>
        <v>2.5598179310369669</v>
      </c>
    </row>
    <row r="15" spans="1:25">
      <c r="A15" s="33" t="s">
        <v>116</v>
      </c>
      <c r="B15" s="45">
        <f>B13*B14+B12*(1-B14)</f>
        <v>2.1749999999999998</v>
      </c>
      <c r="D15">
        <v>10</v>
      </c>
      <c r="E15" s="75">
        <f t="shared" si="22"/>
        <v>4</v>
      </c>
      <c r="F15">
        <f t="shared" si="23"/>
        <v>458</v>
      </c>
      <c r="G15">
        <f t="shared" si="4"/>
        <v>9</v>
      </c>
      <c r="H15">
        <f t="shared" si="9"/>
        <v>9</v>
      </c>
      <c r="I15">
        <f t="shared" si="10"/>
        <v>0</v>
      </c>
      <c r="J15">
        <f t="shared" si="11"/>
        <v>1099</v>
      </c>
      <c r="K15">
        <f t="shared" si="1"/>
        <v>1045</v>
      </c>
      <c r="L15" s="74">
        <f t="shared" si="12"/>
        <v>54</v>
      </c>
      <c r="M15" s="72">
        <f t="shared" si="13"/>
        <v>72190</v>
      </c>
      <c r="N15" s="72">
        <f t="shared" si="14"/>
        <v>0</v>
      </c>
      <c r="O15" s="72">
        <f t="shared" si="15"/>
        <v>747.88</v>
      </c>
      <c r="P15" s="72">
        <f t="shared" si="16"/>
        <v>16030</v>
      </c>
      <c r="Q15" s="72">
        <f t="shared" si="21"/>
        <v>0</v>
      </c>
      <c r="R15" s="72">
        <f t="shared" si="5"/>
        <v>0</v>
      </c>
      <c r="S15" s="72">
        <f t="shared" si="17"/>
        <v>88967.88</v>
      </c>
      <c r="T15" s="76">
        <f t="shared" si="6"/>
        <v>0</v>
      </c>
      <c r="U15" s="72">
        <f t="shared" si="7"/>
        <v>229471.19999999998</v>
      </c>
      <c r="V15" s="77">
        <f t="shared" si="18"/>
        <v>229471.19999999998</v>
      </c>
      <c r="W15" s="72">
        <f t="shared" si="24"/>
        <v>140503.31999999998</v>
      </c>
      <c r="X15" s="72">
        <f t="shared" si="25"/>
        <v>816258.83999999985</v>
      </c>
      <c r="Y15">
        <f t="shared" si="3"/>
        <v>2.5792589415415987</v>
      </c>
    </row>
    <row r="16" spans="1:25">
      <c r="A16" s="33" t="s">
        <v>117</v>
      </c>
      <c r="B16" s="50">
        <v>0.2</v>
      </c>
    </row>
    <row r="17" spans="1:23">
      <c r="A17" s="33" t="s">
        <v>118</v>
      </c>
      <c r="B17" s="70">
        <f>B15*B16*B11</f>
        <v>17.399999999999999</v>
      </c>
      <c r="W17" s="81">
        <f>IRR(W5:W10)</f>
        <v>0.1337338255850713</v>
      </c>
    </row>
    <row r="18" spans="1:23">
      <c r="W18" s="81"/>
    </row>
    <row r="19" spans="1:23" ht="15">
      <c r="A19" s="111" t="s">
        <v>119</v>
      </c>
      <c r="B19" s="112"/>
      <c r="U19">
        <v>0.75</v>
      </c>
      <c r="V19" s="122">
        <v>0.14000000000000001</v>
      </c>
      <c r="W19" s="72">
        <f>NPV(V19,W6:W10)+W5</f>
        <v>-4440.4488084136392</v>
      </c>
    </row>
    <row r="20" spans="1:23">
      <c r="A20" s="47" t="s">
        <v>18</v>
      </c>
      <c r="B20" s="71">
        <v>100</v>
      </c>
    </row>
    <row r="21" spans="1:23">
      <c r="A21" s="47" t="s">
        <v>120</v>
      </c>
      <c r="B21" s="71">
        <v>0</v>
      </c>
    </row>
    <row r="22" spans="1:23">
      <c r="A22" s="33" t="s">
        <v>121</v>
      </c>
      <c r="B22" s="45">
        <f>+SUM(Presupuesto!F14:F16)+B20</f>
        <v>186.97</v>
      </c>
      <c r="T22" s="122">
        <v>100512.5</v>
      </c>
      <c r="U22" s="122">
        <v>100512.5</v>
      </c>
      <c r="V22" s="122">
        <v>100512.5</v>
      </c>
    </row>
    <row r="23" spans="1:23">
      <c r="A23" s="33" t="s">
        <v>122</v>
      </c>
      <c r="B23" s="45">
        <f>400+B20</f>
        <v>500</v>
      </c>
      <c r="T23">
        <v>-105610</v>
      </c>
      <c r="U23">
        <f>+T23/(1+$V$19)</f>
        <v>-92640.350877192977</v>
      </c>
      <c r="V23">
        <f>+T23/(1+$U$19)</f>
        <v>-60348.571428571428</v>
      </c>
    </row>
    <row r="24" spans="1:23">
      <c r="A24" s="33" t="s">
        <v>123</v>
      </c>
      <c r="B24" s="45">
        <v>35</v>
      </c>
      <c r="T24">
        <v>-34301.000000000029</v>
      </c>
      <c r="U24">
        <f>+T24/((1+$V$19)^2)</f>
        <v>-26393.505694059728</v>
      </c>
      <c r="V24">
        <f>+T24/((1+$U$19)^2)</f>
        <v>-11200.326530612254</v>
      </c>
    </row>
    <row r="25" spans="1:23">
      <c r="T25">
        <v>6832.2499999999709</v>
      </c>
      <c r="U25">
        <f>+T25/((1+$V$19)^3)</f>
        <v>4611.5741415712046</v>
      </c>
      <c r="V25">
        <f>+T25/((1+$U$19)^3)</f>
        <v>1274.822157434397</v>
      </c>
    </row>
    <row r="26" spans="1:23" ht="15">
      <c r="A26" s="111" t="s">
        <v>124</v>
      </c>
      <c r="B26" s="112"/>
      <c r="T26">
        <v>33516.509999999951</v>
      </c>
      <c r="U26">
        <f>+T26/((1+$V$19)^4)</f>
        <v>19844.464537280699</v>
      </c>
      <c r="V26">
        <f>+T26/((1+$U$19)^4)</f>
        <v>3573.6053977509318</v>
      </c>
    </row>
    <row r="27" spans="1:23">
      <c r="A27" s="118" t="s">
        <v>73</v>
      </c>
      <c r="B27" s="119"/>
      <c r="T27">
        <v>124267.4</v>
      </c>
      <c r="U27">
        <f>+T27/((1+$V$19)^5)</f>
        <v>64540.5935614669</v>
      </c>
      <c r="V27">
        <f>+T27/((1+$U$19)^5)</f>
        <v>7571.2392217528404</v>
      </c>
    </row>
    <row r="28" spans="1:23">
      <c r="A28" s="47" t="s">
        <v>125</v>
      </c>
      <c r="B28" s="71">
        <f>+'Viabilidad Economica'!L8</f>
        <v>0.125</v>
      </c>
      <c r="U28">
        <f>SUM(U22:U27)</f>
        <v>70475.27566906609</v>
      </c>
      <c r="V28">
        <f>SUM(V22:V27)</f>
        <v>41383.268817754484</v>
      </c>
    </row>
    <row r="29" spans="1:23">
      <c r="A29" s="33" t="s">
        <v>126</v>
      </c>
      <c r="B29" s="45">
        <v>2</v>
      </c>
    </row>
    <row r="30" spans="1:23">
      <c r="A30" s="33" t="s">
        <v>127</v>
      </c>
      <c r="B30" s="45">
        <f>365*24</f>
        <v>8760</v>
      </c>
    </row>
    <row r="31" spans="1:23">
      <c r="A31" s="33" t="s">
        <v>4</v>
      </c>
      <c r="B31" s="45">
        <f>+B30*B29*B28</f>
        <v>2190</v>
      </c>
    </row>
    <row r="32" spans="1:23">
      <c r="A32" s="118" t="s">
        <v>128</v>
      </c>
      <c r="B32" s="119"/>
    </row>
    <row r="33" spans="1:18">
      <c r="A33" s="47" t="s">
        <v>4</v>
      </c>
      <c r="B33" s="71">
        <v>50000</v>
      </c>
      <c r="R33" s="81"/>
    </row>
    <row r="34" spans="1:18">
      <c r="A34" s="118" t="s">
        <v>129</v>
      </c>
      <c r="B34" s="119"/>
    </row>
    <row r="35" spans="1:18">
      <c r="A35" s="47" t="s">
        <v>4</v>
      </c>
      <c r="B35" s="71">
        <v>20000</v>
      </c>
    </row>
    <row r="36" spans="1:18">
      <c r="A36" s="47" t="s">
        <v>4</v>
      </c>
      <c r="B36" s="71">
        <f>B35+B33+B31</f>
        <v>72190</v>
      </c>
    </row>
    <row r="38" spans="1:18" ht="15">
      <c r="A38" s="111" t="s">
        <v>130</v>
      </c>
      <c r="B38" s="112"/>
    </row>
    <row r="39" spans="1:18">
      <c r="A39" s="47" t="s">
        <v>2</v>
      </c>
      <c r="B39" s="71">
        <v>300000</v>
      </c>
    </row>
    <row r="40" spans="1:18">
      <c r="A40" s="47" t="s">
        <v>131</v>
      </c>
      <c r="B40" s="73">
        <v>0.03</v>
      </c>
    </row>
    <row r="41" spans="1:18">
      <c r="A41" s="33" t="s">
        <v>132</v>
      </c>
      <c r="B41" s="33">
        <v>4</v>
      </c>
    </row>
    <row r="42" spans="1:18">
      <c r="A42" s="33" t="s">
        <v>133</v>
      </c>
      <c r="B42" s="45">
        <f>+B39*(1+B40)/B41</f>
        <v>77250</v>
      </c>
    </row>
    <row r="44" spans="1:18" ht="15">
      <c r="A44" s="111" t="s">
        <v>134</v>
      </c>
      <c r="B44" s="112"/>
    </row>
    <row r="45" spans="1:18">
      <c r="A45" s="47" t="s">
        <v>76</v>
      </c>
      <c r="B45" s="71">
        <f>+Presupuesto!G11</f>
        <v>177340</v>
      </c>
    </row>
    <row r="46" spans="1:18">
      <c r="A46" s="47" t="s">
        <v>135</v>
      </c>
      <c r="B46" s="88">
        <f>23932.5-$B$31</f>
        <v>21742.5</v>
      </c>
    </row>
    <row r="47" spans="1:18">
      <c r="A47" s="33" t="s">
        <v>136</v>
      </c>
      <c r="B47" s="71">
        <v>405</v>
      </c>
    </row>
    <row r="49" spans="1:2" ht="15">
      <c r="A49" s="111" t="s">
        <v>137</v>
      </c>
      <c r="B49" s="112"/>
    </row>
    <row r="50" spans="1:2">
      <c r="A50" s="47" t="s">
        <v>138</v>
      </c>
      <c r="B50" s="71">
        <v>0</v>
      </c>
    </row>
    <row r="52" spans="1:2" ht="15">
      <c r="A52" s="111" t="s">
        <v>139</v>
      </c>
      <c r="B52" s="112"/>
    </row>
    <row r="53" spans="1:2">
      <c r="A53" s="47" t="s">
        <v>140</v>
      </c>
      <c r="B53" s="73">
        <v>0.12</v>
      </c>
    </row>
    <row r="54" spans="1:2">
      <c r="A54" s="33" t="s">
        <v>141</v>
      </c>
      <c r="B54" s="45">
        <f>+NPV(B53,W6:W10)+W5</f>
        <v>10184.615654354246</v>
      </c>
    </row>
    <row r="55" spans="1:2">
      <c r="A55" s="33" t="s">
        <v>142</v>
      </c>
      <c r="B55" s="33">
        <f>4+ABS(X10)/ABS(X9)</f>
        <v>17.488859587588784</v>
      </c>
    </row>
  </sheetData>
  <mergeCells count="36">
    <mergeCell ref="A38:B38"/>
    <mergeCell ref="A44:B44"/>
    <mergeCell ref="A49:B49"/>
    <mergeCell ref="A52:B52"/>
    <mergeCell ref="A10:B10"/>
    <mergeCell ref="A19:B19"/>
    <mergeCell ref="A26:B26"/>
    <mergeCell ref="A27:B27"/>
    <mergeCell ref="A32:B32"/>
    <mergeCell ref="A34:B34"/>
    <mergeCell ref="G3:I3"/>
    <mergeCell ref="J3:L3"/>
    <mergeCell ref="N3:N4"/>
    <mergeCell ref="O3:O4"/>
    <mergeCell ref="P3:P4"/>
    <mergeCell ref="Q3:Q4"/>
    <mergeCell ref="Y1:Y4"/>
    <mergeCell ref="E2:F2"/>
    <mergeCell ref="G2:L2"/>
    <mergeCell ref="M2:M4"/>
    <mergeCell ref="N2:Q2"/>
    <mergeCell ref="R2:R4"/>
    <mergeCell ref="S2:S4"/>
    <mergeCell ref="T2:T4"/>
    <mergeCell ref="U2:U4"/>
    <mergeCell ref="V2:V4"/>
    <mergeCell ref="A1:B1"/>
    <mergeCell ref="D1:D4"/>
    <mergeCell ref="E1:L1"/>
    <mergeCell ref="M1:S1"/>
    <mergeCell ref="T1:V1"/>
    <mergeCell ref="W1:X1"/>
    <mergeCell ref="W2:W4"/>
    <mergeCell ref="X2:X4"/>
    <mergeCell ref="E3:E4"/>
    <mergeCell ref="F3:F4"/>
  </mergeCells>
  <conditionalFormatting sqref="W2:X2 W1 W5:X1048576">
    <cfRule type="colorScale" priority="1">
      <colorScale>
        <cfvo type="num" val="0"/>
        <cfvo type="num" val="0"/>
        <color rgb="FFFF0000"/>
        <color theme="9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zoomScale="160" zoomScaleNormal="160" workbookViewId="0">
      <selection activeCell="V20" sqref="V20"/>
    </sheetView>
  </sheetViews>
  <sheetFormatPr baseColWidth="10" defaultColWidth="11.375" defaultRowHeight="14.25"/>
  <cols>
    <col min="1" max="1" width="47.625" bestFit="1" customWidth="1"/>
    <col min="2" max="2" width="12.75" bestFit="1" customWidth="1"/>
    <col min="4" max="4" width="6" bestFit="1" customWidth="1"/>
    <col min="5" max="5" width="7" bestFit="1" customWidth="1"/>
    <col min="6" max="6" width="6.875" bestFit="1" customWidth="1"/>
    <col min="7" max="7" width="7" bestFit="1" customWidth="1"/>
    <col min="8" max="8" width="11.25" bestFit="1" customWidth="1"/>
    <col min="9" max="9" width="12" bestFit="1" customWidth="1"/>
    <col min="10" max="10" width="5" bestFit="1" customWidth="1"/>
    <col min="11" max="11" width="11.25" bestFit="1" customWidth="1"/>
    <col min="12" max="12" width="12" bestFit="1" customWidth="1"/>
    <col min="13" max="15" width="11.75" bestFit="1" customWidth="1"/>
    <col min="16" max="16" width="12.625" bestFit="1" customWidth="1"/>
    <col min="17" max="17" width="11.75" bestFit="1" customWidth="1"/>
    <col min="18" max="24" width="12.75" bestFit="1" customWidth="1"/>
    <col min="25" max="25" width="14.25" bestFit="1" customWidth="1"/>
  </cols>
  <sheetData>
    <row r="1" spans="1:25" ht="15">
      <c r="A1" s="111" t="s">
        <v>88</v>
      </c>
      <c r="B1" s="112"/>
      <c r="D1" s="113" t="s">
        <v>30</v>
      </c>
      <c r="E1" s="115" t="s">
        <v>89</v>
      </c>
      <c r="F1" s="113"/>
      <c r="G1" s="113"/>
      <c r="H1" s="113"/>
      <c r="I1" s="113"/>
      <c r="J1" s="113"/>
      <c r="K1" s="113"/>
      <c r="L1" s="116"/>
      <c r="M1" s="113" t="s">
        <v>90</v>
      </c>
      <c r="N1" s="113"/>
      <c r="O1" s="113"/>
      <c r="P1" s="113"/>
      <c r="Q1" s="113"/>
      <c r="R1" s="113"/>
      <c r="S1" s="113"/>
      <c r="T1" s="115" t="s">
        <v>62</v>
      </c>
      <c r="U1" s="113"/>
      <c r="V1" s="116"/>
      <c r="W1" s="113" t="s">
        <v>91</v>
      </c>
      <c r="X1" s="113"/>
      <c r="Y1" s="120" t="s">
        <v>66</v>
      </c>
    </row>
    <row r="2" spans="1:25">
      <c r="A2" s="33" t="s">
        <v>92</v>
      </c>
      <c r="B2" s="51">
        <v>801226</v>
      </c>
      <c r="D2" s="113"/>
      <c r="E2" s="115" t="s">
        <v>93</v>
      </c>
      <c r="F2" s="113"/>
      <c r="G2" s="113" t="s">
        <v>94</v>
      </c>
      <c r="H2" s="113"/>
      <c r="I2" s="113"/>
      <c r="J2" s="113"/>
      <c r="K2" s="113"/>
      <c r="L2" s="116"/>
      <c r="M2" s="113" t="s">
        <v>95</v>
      </c>
      <c r="N2" s="113" t="s">
        <v>96</v>
      </c>
      <c r="O2" s="113"/>
      <c r="P2" s="113"/>
      <c r="Q2" s="113"/>
      <c r="R2" s="113" t="s">
        <v>97</v>
      </c>
      <c r="S2" s="113" t="s">
        <v>4</v>
      </c>
      <c r="T2" s="115" t="s">
        <v>98</v>
      </c>
      <c r="U2" s="113" t="s">
        <v>99</v>
      </c>
      <c r="V2" s="116" t="s">
        <v>4</v>
      </c>
      <c r="W2" s="113" t="s">
        <v>100</v>
      </c>
      <c r="X2" s="113" t="s">
        <v>101</v>
      </c>
      <c r="Y2" s="120"/>
    </row>
    <row r="3" spans="1:25">
      <c r="A3" s="33" t="s">
        <v>102</v>
      </c>
      <c r="B3" s="50">
        <v>0.8</v>
      </c>
      <c r="D3" s="113"/>
      <c r="E3" s="115" t="s">
        <v>103</v>
      </c>
      <c r="F3" s="113" t="s">
        <v>104</v>
      </c>
      <c r="G3" s="113" t="s">
        <v>105</v>
      </c>
      <c r="H3" s="113"/>
      <c r="I3" s="113"/>
      <c r="J3" s="113" t="s">
        <v>104</v>
      </c>
      <c r="K3" s="113"/>
      <c r="L3" s="116"/>
      <c r="M3" s="113"/>
      <c r="N3" s="113" t="s">
        <v>11</v>
      </c>
      <c r="O3" s="113" t="s">
        <v>18</v>
      </c>
      <c r="P3" s="113" t="s">
        <v>19</v>
      </c>
      <c r="Q3" s="113" t="s">
        <v>98</v>
      </c>
      <c r="R3" s="113"/>
      <c r="S3" s="113"/>
      <c r="T3" s="115"/>
      <c r="U3" s="113"/>
      <c r="V3" s="116"/>
      <c r="W3" s="113"/>
      <c r="X3" s="113"/>
      <c r="Y3" s="120"/>
    </row>
    <row r="4" spans="1:25">
      <c r="A4" s="33" t="s">
        <v>106</v>
      </c>
      <c r="B4" s="50">
        <v>0.15</v>
      </c>
      <c r="D4" s="114"/>
      <c r="E4" s="117"/>
      <c r="F4" s="114"/>
      <c r="G4" s="78" t="s">
        <v>4</v>
      </c>
      <c r="H4" s="78" t="s">
        <v>107</v>
      </c>
      <c r="I4" s="78" t="s">
        <v>108</v>
      </c>
      <c r="J4" s="78" t="s">
        <v>4</v>
      </c>
      <c r="K4" s="78" t="s">
        <v>107</v>
      </c>
      <c r="L4" s="79" t="s">
        <v>108</v>
      </c>
      <c r="M4" s="114"/>
      <c r="N4" s="114"/>
      <c r="O4" s="114"/>
      <c r="P4" s="114"/>
      <c r="Q4" s="114"/>
      <c r="R4" s="114"/>
      <c r="S4" s="114"/>
      <c r="T4" s="117"/>
      <c r="U4" s="114"/>
      <c r="V4" s="121"/>
      <c r="W4" s="114"/>
      <c r="X4" s="114"/>
      <c r="Y4" s="120"/>
    </row>
    <row r="5" spans="1:25">
      <c r="A5" s="33" t="s">
        <v>37</v>
      </c>
      <c r="B5" s="33">
        <f>B2*B3*B4</f>
        <v>96147.12000000001</v>
      </c>
      <c r="D5">
        <v>0</v>
      </c>
      <c r="E5" s="75">
        <f>+F5-F4</f>
        <v>0</v>
      </c>
      <c r="F5">
        <f>+ROUNDDOWN(F4*1.5, 0)</f>
        <v>0</v>
      </c>
      <c r="G5">
        <f t="shared" ref="G5" si="0">+ROUNDDOWN(E5*$B$8, 0)</f>
        <v>0</v>
      </c>
      <c r="H5">
        <f>+ROUNDUP(G5*(1-$B$14), 0)</f>
        <v>0</v>
      </c>
      <c r="I5">
        <f>G5-H5</f>
        <v>0</v>
      </c>
      <c r="J5">
        <f>+ROUNDDOWN(F5*$B$8, 0)</f>
        <v>0</v>
      </c>
      <c r="K5">
        <f t="shared" ref="K5:K15" si="1">+ROUNDUP(J5*(1-$B$14), 0)</f>
        <v>0</v>
      </c>
      <c r="L5" s="74">
        <f>J5-K5</f>
        <v>0</v>
      </c>
      <c r="M5" s="72">
        <f>+B50</f>
        <v>0</v>
      </c>
      <c r="N5" s="72">
        <f>+H5*$B$21+I5*$B$23</f>
        <v>0</v>
      </c>
      <c r="O5" s="72">
        <f>+E5*$B$22</f>
        <v>0</v>
      </c>
      <c r="P5" s="72">
        <f>+F5*$B$24</f>
        <v>0</v>
      </c>
      <c r="Q5" s="72">
        <f>+B50</f>
        <v>0</v>
      </c>
      <c r="R5" s="72">
        <f>SUM(B45:B47)</f>
        <v>199487.5</v>
      </c>
      <c r="S5" s="72">
        <f>SUM(M5:R5)</f>
        <v>199487.5</v>
      </c>
      <c r="T5" s="76">
        <v>0</v>
      </c>
      <c r="U5" s="72">
        <f t="shared" ref="U5" si="2">+J5*$B$17*12</f>
        <v>0</v>
      </c>
      <c r="V5" s="77">
        <f>SUM(T5:U5)</f>
        <v>0</v>
      </c>
      <c r="W5" s="72">
        <f>+V5-S5</f>
        <v>-199487.5</v>
      </c>
      <c r="X5" s="72">
        <f>+W5</f>
        <v>-199487.5</v>
      </c>
      <c r="Y5">
        <f t="shared" ref="Y5:Y15" si="3">+V5/S5</f>
        <v>0</v>
      </c>
    </row>
    <row r="6" spans="1:25">
      <c r="A6" s="33" t="s">
        <v>40</v>
      </c>
      <c r="B6" s="33">
        <v>12</v>
      </c>
      <c r="D6">
        <v>1</v>
      </c>
      <c r="E6" s="75">
        <f>+F6</f>
        <v>200</v>
      </c>
      <c r="F6">
        <v>200</v>
      </c>
      <c r="G6">
        <f>+ROUNDDOWN(E6*$B$8, 0)</f>
        <v>480</v>
      </c>
      <c r="H6">
        <f>+ROUNDUP(G6*(1-$B$14), 0)</f>
        <v>456</v>
      </c>
      <c r="I6">
        <f>G6-H6</f>
        <v>24</v>
      </c>
      <c r="J6">
        <f>+ROUNDDOWN(F6*$B$6*$B$7, 0)</f>
        <v>480</v>
      </c>
      <c r="K6">
        <f t="shared" si="1"/>
        <v>456</v>
      </c>
      <c r="L6" s="74">
        <f>J6-K6</f>
        <v>24</v>
      </c>
      <c r="M6" s="72">
        <f>+$B$36</f>
        <v>72190</v>
      </c>
      <c r="N6" s="72">
        <f>+H6*$B$21+I6*$B$23</f>
        <v>12000</v>
      </c>
      <c r="O6" s="72">
        <f>+E6*$B$22</f>
        <v>37394</v>
      </c>
      <c r="P6" s="72">
        <f>+F6*$B$24</f>
        <v>7000</v>
      </c>
      <c r="Q6">
        <v>9000</v>
      </c>
      <c r="R6" s="72">
        <f>+B50</f>
        <v>0</v>
      </c>
      <c r="S6" s="72">
        <f>SUM(M6:R6)</f>
        <v>137584</v>
      </c>
      <c r="T6" s="76">
        <v>0</v>
      </c>
      <c r="U6" s="72">
        <f>+J6*$B$17*12</f>
        <v>100224</v>
      </c>
      <c r="V6" s="77">
        <f>SUM(T6:U6)</f>
        <v>100224</v>
      </c>
      <c r="W6" s="72">
        <f>+V6-S6</f>
        <v>-37360</v>
      </c>
      <c r="X6" s="72">
        <f>+W6+X5</f>
        <v>-236847.5</v>
      </c>
      <c r="Y6">
        <f t="shared" si="3"/>
        <v>0.72845679730201185</v>
      </c>
    </row>
    <row r="7" spans="1:25">
      <c r="A7" s="33" t="s">
        <v>109</v>
      </c>
      <c r="B7" s="73">
        <v>0.2</v>
      </c>
      <c r="D7">
        <v>2</v>
      </c>
      <c r="E7" s="75">
        <f>+F7-F6</f>
        <v>100</v>
      </c>
      <c r="F7">
        <f>+ROUNDDOWN(F6*1.5, 0)</f>
        <v>300</v>
      </c>
      <c r="G7">
        <f t="shared" ref="G7:G15" si="4">+ROUNDDOWN(E7*$B$8, 0)</f>
        <v>240</v>
      </c>
      <c r="H7">
        <f>+ROUNDUP(G7*(1-$B$14), 0)</f>
        <v>228</v>
      </c>
      <c r="I7">
        <f>G7-H7</f>
        <v>12</v>
      </c>
      <c r="J7">
        <f>+ROUNDDOWN(F7*$B$8, 0)</f>
        <v>720</v>
      </c>
      <c r="K7">
        <f t="shared" si="1"/>
        <v>684</v>
      </c>
      <c r="L7" s="74">
        <f>J7-K7</f>
        <v>36</v>
      </c>
      <c r="M7" s="72">
        <f>+$B$36</f>
        <v>72190</v>
      </c>
      <c r="N7" s="72">
        <f>+H7*$B$21+I7*$B$23</f>
        <v>6000</v>
      </c>
      <c r="O7" s="72">
        <f>+E7*$B$22</f>
        <v>18697</v>
      </c>
      <c r="P7" s="72">
        <f>+F7*$B$24</f>
        <v>10500</v>
      </c>
      <c r="Q7">
        <f>+($B$39-$C$38)*$B$40</f>
        <v>6750</v>
      </c>
      <c r="R7" s="72">
        <f t="shared" ref="R7:R15" si="5">+$B$50</f>
        <v>0</v>
      </c>
      <c r="S7" s="72">
        <f>SUM(M7:R7)</f>
        <v>114137</v>
      </c>
      <c r="T7" s="76">
        <f t="shared" ref="T7:T15" si="6">+$B$50</f>
        <v>0</v>
      </c>
      <c r="U7" s="72">
        <f t="shared" ref="U7:U15" si="7">+J7*$B$17*12</f>
        <v>150335.99999999997</v>
      </c>
      <c r="V7" s="77">
        <f>SUM(T7:U7)</f>
        <v>150335.99999999997</v>
      </c>
      <c r="W7" s="72">
        <f>+V7-S7</f>
        <v>36198.999999999971</v>
      </c>
      <c r="X7" s="72">
        <f>+W7+X6</f>
        <v>-200648.50000000003</v>
      </c>
      <c r="Y7">
        <f t="shared" si="3"/>
        <v>1.3171539465729778</v>
      </c>
    </row>
    <row r="8" spans="1:25">
      <c r="A8" s="33" t="s">
        <v>110</v>
      </c>
      <c r="B8" s="80">
        <f>+B7*B6</f>
        <v>2.4000000000000004</v>
      </c>
      <c r="D8">
        <v>3</v>
      </c>
      <c r="E8" s="75">
        <f t="shared" ref="E8" si="8">+F8-F7</f>
        <v>75</v>
      </c>
      <c r="F8">
        <f>+ROUNDDOWN(F7*1.25, 0)</f>
        <v>375</v>
      </c>
      <c r="G8">
        <f t="shared" si="4"/>
        <v>180</v>
      </c>
      <c r="H8">
        <f t="shared" ref="H8:H15" si="9">+ROUNDUP(G8*(1-$B$14), 0)</f>
        <v>171</v>
      </c>
      <c r="I8">
        <f t="shared" ref="I8:I15" si="10">G8-H8</f>
        <v>9</v>
      </c>
      <c r="J8">
        <f t="shared" ref="J8:J15" si="11">+ROUNDDOWN(F8*$B$8, 0)</f>
        <v>900</v>
      </c>
      <c r="K8">
        <f t="shared" si="1"/>
        <v>855</v>
      </c>
      <c r="L8" s="74">
        <f t="shared" ref="L8:L15" si="12">J8-K8</f>
        <v>45</v>
      </c>
      <c r="M8" s="72">
        <f t="shared" ref="M8:M15" si="13">+$B$36</f>
        <v>72190</v>
      </c>
      <c r="N8" s="72">
        <f t="shared" ref="N8:N15" si="14">+H8*$B$21+I8*$B$23</f>
        <v>4500</v>
      </c>
      <c r="O8" s="72">
        <f t="shared" ref="O8:O15" si="15">+E8*$B$22</f>
        <v>14022.75</v>
      </c>
      <c r="P8" s="72">
        <f t="shared" ref="P8:P15" si="16">+F8*$B$24</f>
        <v>13125</v>
      </c>
      <c r="Q8">
        <f>+($B$39-$C$38*2)*$B$40</f>
        <v>4500</v>
      </c>
      <c r="R8" s="72">
        <f t="shared" si="5"/>
        <v>0</v>
      </c>
      <c r="S8" s="72">
        <f t="shared" ref="S8:S15" si="17">SUM(M8:R8)</f>
        <v>108337.75</v>
      </c>
      <c r="T8" s="76">
        <f t="shared" si="6"/>
        <v>0</v>
      </c>
      <c r="U8" s="72">
        <f t="shared" si="7"/>
        <v>187919.99999999997</v>
      </c>
      <c r="V8" s="77">
        <f t="shared" ref="V8:V15" si="18">SUM(T8:U8)</f>
        <v>187919.99999999997</v>
      </c>
      <c r="W8" s="72">
        <f t="shared" ref="W8" si="19">+V8-S8</f>
        <v>79582.249999999971</v>
      </c>
      <c r="X8" s="72">
        <f t="shared" ref="X8" si="20">+W8+X7</f>
        <v>-121066.25000000006</v>
      </c>
      <c r="Y8">
        <f t="shared" si="3"/>
        <v>1.7345754365398947</v>
      </c>
    </row>
    <row r="9" spans="1:25">
      <c r="D9">
        <v>33</v>
      </c>
      <c r="E9" s="75">
        <f>+F9-F8</f>
        <v>37</v>
      </c>
      <c r="F9">
        <f>+ROUNDDOWN(F8*1.1, 0)</f>
        <v>412</v>
      </c>
      <c r="G9">
        <f t="shared" si="4"/>
        <v>88</v>
      </c>
      <c r="H9">
        <f t="shared" si="9"/>
        <v>84</v>
      </c>
      <c r="I9">
        <f t="shared" si="10"/>
        <v>4</v>
      </c>
      <c r="J9">
        <f t="shared" si="11"/>
        <v>988</v>
      </c>
      <c r="K9">
        <f t="shared" si="1"/>
        <v>939</v>
      </c>
      <c r="L9" s="74">
        <f t="shared" si="12"/>
        <v>49</v>
      </c>
      <c r="M9" s="72">
        <f t="shared" si="13"/>
        <v>72190</v>
      </c>
      <c r="N9" s="72">
        <f t="shared" si="14"/>
        <v>2000</v>
      </c>
      <c r="O9" s="72">
        <f t="shared" si="15"/>
        <v>6917.89</v>
      </c>
      <c r="P9" s="72">
        <f t="shared" si="16"/>
        <v>14420</v>
      </c>
      <c r="Q9">
        <f>+($B$39-$C$38*3)*$B$40</f>
        <v>2250</v>
      </c>
      <c r="R9" s="72">
        <f t="shared" si="5"/>
        <v>0</v>
      </c>
      <c r="S9" s="72">
        <f t="shared" si="17"/>
        <v>97777.89</v>
      </c>
      <c r="T9" s="76">
        <f t="shared" si="6"/>
        <v>0</v>
      </c>
      <c r="U9" s="72">
        <f t="shared" si="7"/>
        <v>206294.39999999997</v>
      </c>
      <c r="V9" s="77">
        <f t="shared" si="18"/>
        <v>206294.39999999997</v>
      </c>
      <c r="W9" s="72">
        <f>+V9-S9</f>
        <v>108516.50999999997</v>
      </c>
      <c r="X9" s="72">
        <f>+W9+X8</f>
        <v>-12549.740000000093</v>
      </c>
      <c r="Y9">
        <f t="shared" si="3"/>
        <v>2.1098266694034815</v>
      </c>
    </row>
    <row r="10" spans="1:25" ht="15.75" thickBot="1">
      <c r="A10" s="111" t="s">
        <v>111</v>
      </c>
      <c r="B10" s="112"/>
      <c r="D10" s="82">
        <v>5</v>
      </c>
      <c r="E10" s="83">
        <f>+F10-F9</f>
        <v>20</v>
      </c>
      <c r="F10" s="82">
        <f>+ROUNDDOWN(F9*1.05, 0)</f>
        <v>432</v>
      </c>
      <c r="G10" s="82">
        <f t="shared" si="4"/>
        <v>48</v>
      </c>
      <c r="H10" s="82">
        <f t="shared" si="9"/>
        <v>46</v>
      </c>
      <c r="I10" s="82">
        <f t="shared" si="10"/>
        <v>2</v>
      </c>
      <c r="J10" s="82">
        <f t="shared" si="11"/>
        <v>1036</v>
      </c>
      <c r="K10" s="82">
        <f t="shared" si="1"/>
        <v>985</v>
      </c>
      <c r="L10" s="84">
        <f t="shared" si="12"/>
        <v>51</v>
      </c>
      <c r="M10" s="85">
        <f t="shared" si="13"/>
        <v>72190</v>
      </c>
      <c r="N10" s="85">
        <f t="shared" si="14"/>
        <v>1000</v>
      </c>
      <c r="O10" s="85">
        <f t="shared" si="15"/>
        <v>3739.4</v>
      </c>
      <c r="P10" s="85">
        <f t="shared" si="16"/>
        <v>15120</v>
      </c>
      <c r="R10" s="85">
        <f t="shared" si="5"/>
        <v>0</v>
      </c>
      <c r="S10" s="85">
        <f t="shared" si="17"/>
        <v>92049.4</v>
      </c>
      <c r="T10" s="86">
        <f t="shared" si="6"/>
        <v>0</v>
      </c>
      <c r="U10" s="85">
        <f t="shared" si="7"/>
        <v>216316.79999999999</v>
      </c>
      <c r="V10" s="87">
        <f t="shared" si="18"/>
        <v>216316.79999999999</v>
      </c>
      <c r="W10" s="85">
        <f>+V10-S10</f>
        <v>124267.4</v>
      </c>
      <c r="X10" s="85">
        <f>+W10+X9</f>
        <v>111717.6599999999</v>
      </c>
      <c r="Y10">
        <f t="shared" si="3"/>
        <v>2.3500077132496249</v>
      </c>
    </row>
    <row r="11" spans="1:25" ht="15" thickTop="1">
      <c r="A11" s="47" t="s">
        <v>112</v>
      </c>
      <c r="B11" s="33">
        <v>40</v>
      </c>
      <c r="D11">
        <v>6</v>
      </c>
      <c r="E11" s="75">
        <f>+F11-F10</f>
        <v>10</v>
      </c>
      <c r="F11">
        <f>+ROUNDDOWN(F10*1.025, 0)</f>
        <v>442</v>
      </c>
      <c r="G11">
        <f t="shared" si="4"/>
        <v>24</v>
      </c>
      <c r="H11">
        <f t="shared" si="9"/>
        <v>23</v>
      </c>
      <c r="I11">
        <f t="shared" si="10"/>
        <v>1</v>
      </c>
      <c r="J11">
        <f t="shared" si="11"/>
        <v>1060</v>
      </c>
      <c r="K11">
        <f t="shared" si="1"/>
        <v>1007</v>
      </c>
      <c r="L11" s="74">
        <f t="shared" si="12"/>
        <v>53</v>
      </c>
      <c r="M11" s="72">
        <f t="shared" si="13"/>
        <v>72190</v>
      </c>
      <c r="N11" s="72">
        <f t="shared" si="14"/>
        <v>500</v>
      </c>
      <c r="O11" s="72">
        <f t="shared" si="15"/>
        <v>1869.7</v>
      </c>
      <c r="P11" s="72">
        <f t="shared" si="16"/>
        <v>15470</v>
      </c>
      <c r="Q11" s="72">
        <f t="shared" ref="Q10:Q15" si="21">+$B$50</f>
        <v>0</v>
      </c>
      <c r="R11" s="72">
        <f t="shared" si="5"/>
        <v>0</v>
      </c>
      <c r="S11" s="72">
        <f t="shared" si="17"/>
        <v>90029.7</v>
      </c>
      <c r="T11" s="76">
        <f t="shared" si="6"/>
        <v>0</v>
      </c>
      <c r="U11" s="72">
        <f t="shared" si="7"/>
        <v>221328</v>
      </c>
      <c r="V11" s="77">
        <f t="shared" si="18"/>
        <v>221328</v>
      </c>
      <c r="W11" s="72">
        <f>+V11-S11</f>
        <v>131298.29999999999</v>
      </c>
      <c r="X11" s="72">
        <f>+W11+X10</f>
        <v>243015.9599999999</v>
      </c>
      <c r="Y11">
        <f t="shared" si="3"/>
        <v>2.4583887317185331</v>
      </c>
    </row>
    <row r="12" spans="1:25">
      <c r="A12" s="33" t="s">
        <v>113</v>
      </c>
      <c r="B12" s="45">
        <v>1.5</v>
      </c>
      <c r="D12">
        <v>7</v>
      </c>
      <c r="E12" s="75">
        <f>+F12-F11</f>
        <v>4</v>
      </c>
      <c r="F12">
        <f>+ROUNDDOWN(F11*1.01, 0)</f>
        <v>446</v>
      </c>
      <c r="G12">
        <f t="shared" si="4"/>
        <v>9</v>
      </c>
      <c r="H12">
        <f t="shared" si="9"/>
        <v>9</v>
      </c>
      <c r="I12">
        <f t="shared" si="10"/>
        <v>0</v>
      </c>
      <c r="J12">
        <f t="shared" si="11"/>
        <v>1070</v>
      </c>
      <c r="K12">
        <f t="shared" si="1"/>
        <v>1017</v>
      </c>
      <c r="L12" s="74">
        <f t="shared" si="12"/>
        <v>53</v>
      </c>
      <c r="M12" s="72">
        <f t="shared" si="13"/>
        <v>72190</v>
      </c>
      <c r="N12" s="72">
        <f t="shared" si="14"/>
        <v>0</v>
      </c>
      <c r="O12" s="72">
        <f t="shared" si="15"/>
        <v>747.88</v>
      </c>
      <c r="P12" s="72">
        <f t="shared" si="16"/>
        <v>15610</v>
      </c>
      <c r="Q12" s="72">
        <f t="shared" si="21"/>
        <v>0</v>
      </c>
      <c r="R12" s="72">
        <f t="shared" si="5"/>
        <v>0</v>
      </c>
      <c r="S12" s="72">
        <f t="shared" si="17"/>
        <v>88547.88</v>
      </c>
      <c r="T12" s="76">
        <f t="shared" si="6"/>
        <v>0</v>
      </c>
      <c r="U12" s="72">
        <f t="shared" si="7"/>
        <v>223416</v>
      </c>
      <c r="V12" s="77">
        <f t="shared" si="18"/>
        <v>223416</v>
      </c>
      <c r="W12" s="72">
        <f>+V12-S12</f>
        <v>134868.12</v>
      </c>
      <c r="X12" s="72">
        <f>+W12+X11</f>
        <v>377884.0799999999</v>
      </c>
      <c r="Y12">
        <f t="shared" si="3"/>
        <v>2.5231095312502116</v>
      </c>
    </row>
    <row r="13" spans="1:25">
      <c r="A13" s="33" t="s">
        <v>114</v>
      </c>
      <c r="B13" s="45">
        <v>15</v>
      </c>
      <c r="D13">
        <v>8</v>
      </c>
      <c r="E13" s="75">
        <f t="shared" ref="E13:E15" si="22">+F13-F12</f>
        <v>4</v>
      </c>
      <c r="F13">
        <f t="shared" ref="F13:F15" si="23">+ROUNDDOWN(F12*1.01, 0)</f>
        <v>450</v>
      </c>
      <c r="G13">
        <f t="shared" si="4"/>
        <v>9</v>
      </c>
      <c r="H13">
        <f t="shared" si="9"/>
        <v>9</v>
      </c>
      <c r="I13">
        <f t="shared" si="10"/>
        <v>0</v>
      </c>
      <c r="J13">
        <f t="shared" si="11"/>
        <v>1080</v>
      </c>
      <c r="K13">
        <f t="shared" si="1"/>
        <v>1026</v>
      </c>
      <c r="L13" s="74">
        <f t="shared" si="12"/>
        <v>54</v>
      </c>
      <c r="M13" s="72">
        <f t="shared" si="13"/>
        <v>72190</v>
      </c>
      <c r="N13" s="72">
        <f t="shared" si="14"/>
        <v>0</v>
      </c>
      <c r="O13" s="72">
        <f t="shared" si="15"/>
        <v>747.88</v>
      </c>
      <c r="P13" s="72">
        <f t="shared" si="16"/>
        <v>15750</v>
      </c>
      <c r="Q13" s="72">
        <f t="shared" si="21"/>
        <v>0</v>
      </c>
      <c r="R13" s="72">
        <f t="shared" si="5"/>
        <v>0</v>
      </c>
      <c r="S13" s="72">
        <f t="shared" si="17"/>
        <v>88687.88</v>
      </c>
      <c r="T13" s="76">
        <f t="shared" si="6"/>
        <v>0</v>
      </c>
      <c r="U13" s="72">
        <f t="shared" si="7"/>
        <v>225504</v>
      </c>
      <c r="V13" s="77">
        <f t="shared" si="18"/>
        <v>225504</v>
      </c>
      <c r="W13" s="72">
        <f t="shared" ref="W13:W15" si="24">+V13-S13</f>
        <v>136816.12</v>
      </c>
      <c r="X13" s="72">
        <f t="shared" ref="X13:X15" si="25">+W13+X12</f>
        <v>514700.1999999999</v>
      </c>
      <c r="Y13">
        <f t="shared" si="3"/>
        <v>2.5426698665026155</v>
      </c>
    </row>
    <row r="14" spans="1:25">
      <c r="A14" s="33" t="s">
        <v>115</v>
      </c>
      <c r="B14" s="50">
        <v>0.05</v>
      </c>
      <c r="D14">
        <v>9</v>
      </c>
      <c r="E14" s="75">
        <f t="shared" si="22"/>
        <v>4</v>
      </c>
      <c r="F14">
        <f t="shared" si="23"/>
        <v>454</v>
      </c>
      <c r="G14">
        <f t="shared" si="4"/>
        <v>9</v>
      </c>
      <c r="H14">
        <f t="shared" si="9"/>
        <v>9</v>
      </c>
      <c r="I14">
        <f t="shared" si="10"/>
        <v>0</v>
      </c>
      <c r="J14">
        <f t="shared" si="11"/>
        <v>1089</v>
      </c>
      <c r="K14">
        <f t="shared" si="1"/>
        <v>1035</v>
      </c>
      <c r="L14" s="74">
        <f t="shared" si="12"/>
        <v>54</v>
      </c>
      <c r="M14" s="72">
        <f t="shared" si="13"/>
        <v>72190</v>
      </c>
      <c r="N14" s="72">
        <f t="shared" si="14"/>
        <v>0</v>
      </c>
      <c r="O14" s="72">
        <f t="shared" si="15"/>
        <v>747.88</v>
      </c>
      <c r="P14" s="72">
        <f t="shared" si="16"/>
        <v>15890</v>
      </c>
      <c r="Q14" s="72">
        <f t="shared" si="21"/>
        <v>0</v>
      </c>
      <c r="R14" s="72">
        <f t="shared" si="5"/>
        <v>0</v>
      </c>
      <c r="S14" s="72">
        <f t="shared" si="17"/>
        <v>88827.88</v>
      </c>
      <c r="T14" s="76">
        <f t="shared" si="6"/>
        <v>0</v>
      </c>
      <c r="U14" s="72">
        <f t="shared" si="7"/>
        <v>227383.19999999998</v>
      </c>
      <c r="V14" s="77">
        <f t="shared" si="18"/>
        <v>227383.19999999998</v>
      </c>
      <c r="W14" s="72">
        <f t="shared" si="24"/>
        <v>138555.31999999998</v>
      </c>
      <c r="X14" s="72">
        <f t="shared" si="25"/>
        <v>653255.5199999999</v>
      </c>
      <c r="Y14">
        <f t="shared" si="3"/>
        <v>2.5598179310369669</v>
      </c>
    </row>
    <row r="15" spans="1:25">
      <c r="A15" s="33" t="s">
        <v>116</v>
      </c>
      <c r="B15" s="45">
        <f>B13*B14+B12*(1-B14)</f>
        <v>2.1749999999999998</v>
      </c>
      <c r="D15">
        <v>10</v>
      </c>
      <c r="E15" s="75">
        <f t="shared" si="22"/>
        <v>4</v>
      </c>
      <c r="F15">
        <f t="shared" si="23"/>
        <v>458</v>
      </c>
      <c r="G15">
        <f t="shared" si="4"/>
        <v>9</v>
      </c>
      <c r="H15">
        <f t="shared" si="9"/>
        <v>9</v>
      </c>
      <c r="I15">
        <f t="shared" si="10"/>
        <v>0</v>
      </c>
      <c r="J15">
        <f t="shared" si="11"/>
        <v>1099</v>
      </c>
      <c r="K15">
        <f t="shared" si="1"/>
        <v>1045</v>
      </c>
      <c r="L15" s="74">
        <f t="shared" si="12"/>
        <v>54</v>
      </c>
      <c r="M15" s="72">
        <f t="shared" si="13"/>
        <v>72190</v>
      </c>
      <c r="N15" s="72">
        <f t="shared" si="14"/>
        <v>0</v>
      </c>
      <c r="O15" s="72">
        <f t="shared" si="15"/>
        <v>747.88</v>
      </c>
      <c r="P15" s="72">
        <f t="shared" si="16"/>
        <v>16030</v>
      </c>
      <c r="Q15" s="72">
        <f t="shared" si="21"/>
        <v>0</v>
      </c>
      <c r="R15" s="72">
        <f t="shared" si="5"/>
        <v>0</v>
      </c>
      <c r="S15" s="72">
        <f t="shared" si="17"/>
        <v>88967.88</v>
      </c>
      <c r="T15" s="76">
        <f t="shared" si="6"/>
        <v>0</v>
      </c>
      <c r="U15" s="72">
        <f t="shared" si="7"/>
        <v>229471.19999999998</v>
      </c>
      <c r="V15" s="77">
        <f t="shared" si="18"/>
        <v>229471.19999999998</v>
      </c>
      <c r="W15" s="72">
        <f t="shared" si="24"/>
        <v>140503.31999999998</v>
      </c>
      <c r="X15" s="72">
        <f t="shared" si="25"/>
        <v>793758.83999999985</v>
      </c>
      <c r="Y15">
        <f t="shared" si="3"/>
        <v>2.5792589415415987</v>
      </c>
    </row>
    <row r="16" spans="1:25">
      <c r="A16" s="33" t="s">
        <v>117</v>
      </c>
      <c r="B16" s="50">
        <v>0.2</v>
      </c>
    </row>
    <row r="17" spans="1:23">
      <c r="A17" s="33" t="s">
        <v>118</v>
      </c>
      <c r="B17" s="70">
        <f>B15*B16*B11</f>
        <v>17.399999999999999</v>
      </c>
      <c r="W17" s="81">
        <f>IRR(W5:W10)</f>
        <v>0.10955152613349206</v>
      </c>
    </row>
    <row r="18" spans="1:23">
      <c r="W18" s="81">
        <f>IRR(W6:W10)</f>
        <v>1.4992882326413084</v>
      </c>
    </row>
    <row r="19" spans="1:23" ht="15">
      <c r="A19" s="111" t="s">
        <v>119</v>
      </c>
      <c r="B19" s="112"/>
      <c r="U19">
        <v>0.75</v>
      </c>
      <c r="V19" s="122">
        <v>0.1</v>
      </c>
      <c r="W19" s="72">
        <f>NPV(V19,W6:W10)+W5</f>
        <v>7535.2297564124165</v>
      </c>
    </row>
    <row r="20" spans="1:23">
      <c r="A20" s="47" t="s">
        <v>18</v>
      </c>
      <c r="B20" s="71">
        <v>100</v>
      </c>
    </row>
    <row r="21" spans="1:23">
      <c r="A21" s="47" t="s">
        <v>120</v>
      </c>
      <c r="B21" s="71">
        <v>0</v>
      </c>
    </row>
    <row r="22" spans="1:23">
      <c r="A22" s="33" t="s">
        <v>121</v>
      </c>
      <c r="B22" s="45">
        <f>+SUM(Presupuesto!F14:F16)+B20</f>
        <v>186.97</v>
      </c>
      <c r="T22" s="122">
        <v>100512.5</v>
      </c>
      <c r="U22" s="122">
        <v>100512.5</v>
      </c>
      <c r="V22" s="122">
        <v>100512.5</v>
      </c>
    </row>
    <row r="23" spans="1:23">
      <c r="A23" s="33" t="s">
        <v>122</v>
      </c>
      <c r="B23" s="45">
        <f>400+B20</f>
        <v>500</v>
      </c>
      <c r="T23">
        <v>-105610</v>
      </c>
      <c r="U23">
        <f>+T23/(1+$V$19)</f>
        <v>-96009.090909090897</v>
      </c>
      <c r="V23">
        <f>+T23/(1+$U$19)</f>
        <v>-60348.571428571428</v>
      </c>
    </row>
    <row r="24" spans="1:23">
      <c r="A24" s="33" t="s">
        <v>123</v>
      </c>
      <c r="B24" s="45">
        <v>35</v>
      </c>
      <c r="T24">
        <v>-34301.000000000029</v>
      </c>
      <c r="U24">
        <f>+T24/((1+$V$19)^2)</f>
        <v>-28347.933884297541</v>
      </c>
      <c r="V24">
        <f>+T24/((1+$U$19)^2)</f>
        <v>-11200.326530612254</v>
      </c>
    </row>
    <row r="25" spans="1:23">
      <c r="T25">
        <v>6832.2499999999709</v>
      </c>
      <c r="U25">
        <f>+T25/((1+$V$19)^3)</f>
        <v>5133.1705484597815</v>
      </c>
      <c r="V25">
        <f>+T25/((1+$U$19)^3)</f>
        <v>1274.822157434397</v>
      </c>
    </row>
    <row r="26" spans="1:23" ht="15">
      <c r="A26" s="111" t="s">
        <v>124</v>
      </c>
      <c r="B26" s="112"/>
      <c r="T26">
        <v>33516.509999999951</v>
      </c>
      <c r="U26">
        <f>+T26/((1+$V$19)^4)</f>
        <v>22892.227306877907</v>
      </c>
      <c r="V26">
        <f>+T26/((1+$U$19)^4)</f>
        <v>3573.6053977509318</v>
      </c>
    </row>
    <row r="27" spans="1:23">
      <c r="A27" s="118" t="s">
        <v>73</v>
      </c>
      <c r="B27" s="119"/>
      <c r="T27">
        <v>124267.4</v>
      </c>
      <c r="U27">
        <f>+T27/((1+$V$19)^5)</f>
        <v>77160.278421121227</v>
      </c>
      <c r="V27">
        <f>+T27/((1+$U$19)^5)</f>
        <v>7571.2392217528404</v>
      </c>
    </row>
    <row r="28" spans="1:23">
      <c r="A28" s="47" t="s">
        <v>125</v>
      </c>
      <c r="B28" s="71">
        <f>+'Viabilidad Economica'!L8</f>
        <v>0.125</v>
      </c>
      <c r="U28">
        <f>SUM(U22:U27)</f>
        <v>81341.151483070484</v>
      </c>
      <c r="V28">
        <f>SUM(V22:V27)</f>
        <v>41383.268817754484</v>
      </c>
    </row>
    <row r="29" spans="1:23">
      <c r="A29" s="33" t="s">
        <v>126</v>
      </c>
      <c r="B29" s="45">
        <v>2</v>
      </c>
    </row>
    <row r="30" spans="1:23">
      <c r="A30" s="33" t="s">
        <v>127</v>
      </c>
      <c r="B30" s="45">
        <f>365*24</f>
        <v>8760</v>
      </c>
    </row>
    <row r="31" spans="1:23">
      <c r="A31" s="33" t="s">
        <v>4</v>
      </c>
      <c r="B31" s="45">
        <f>+B30*B29*B28</f>
        <v>2190</v>
      </c>
    </row>
    <row r="32" spans="1:23">
      <c r="A32" s="118" t="s">
        <v>128</v>
      </c>
      <c r="B32" s="119"/>
    </row>
    <row r="33" spans="1:18">
      <c r="A33" s="47" t="s">
        <v>4</v>
      </c>
      <c r="B33" s="71">
        <v>50000</v>
      </c>
      <c r="R33" s="81"/>
    </row>
    <row r="34" spans="1:18">
      <c r="A34" s="118" t="s">
        <v>129</v>
      </c>
      <c r="B34" s="119"/>
    </row>
    <row r="35" spans="1:18">
      <c r="A35" s="47" t="s">
        <v>4</v>
      </c>
      <c r="B35" s="71">
        <v>20000</v>
      </c>
    </row>
    <row r="36" spans="1:18">
      <c r="A36" s="47" t="s">
        <v>4</v>
      </c>
      <c r="B36" s="71">
        <f>B35+B33+B31</f>
        <v>72190</v>
      </c>
    </row>
    <row r="38" spans="1:18" ht="15">
      <c r="A38" s="111" t="s">
        <v>130</v>
      </c>
      <c r="B38" s="112"/>
      <c r="C38">
        <f>+$B$39/4</f>
        <v>75000</v>
      </c>
      <c r="D38">
        <f>+$B$39/4</f>
        <v>75000</v>
      </c>
      <c r="E38">
        <f>+$B$39/4</f>
        <v>75000</v>
      </c>
      <c r="F38">
        <f>+$B$39/4</f>
        <v>75000</v>
      </c>
    </row>
    <row r="39" spans="1:18">
      <c r="A39" s="47" t="s">
        <v>2</v>
      </c>
      <c r="B39" s="71">
        <v>300000</v>
      </c>
      <c r="C39">
        <f>+B39*B40</f>
        <v>9000</v>
      </c>
      <c r="D39">
        <f>+($B$39-$C$38)*$B$40</f>
        <v>6750</v>
      </c>
      <c r="E39">
        <f>+($B$39-$C$38*2)*$B$40</f>
        <v>4500</v>
      </c>
      <c r="F39">
        <f>+($B$39-$C$38*3)*$B$40</f>
        <v>2250</v>
      </c>
    </row>
    <row r="40" spans="1:18">
      <c r="A40" s="47" t="s">
        <v>131</v>
      </c>
      <c r="B40" s="73">
        <v>0.03</v>
      </c>
      <c r="C40">
        <f>+SUM(C38:C39)</f>
        <v>84000</v>
      </c>
      <c r="D40">
        <f>+SUM(D38:D39)</f>
        <v>81750</v>
      </c>
      <c r="E40">
        <f>+SUM(E38:E39)</f>
        <v>79500</v>
      </c>
      <c r="F40">
        <f>+SUM(F38:F39)</f>
        <v>77250</v>
      </c>
      <c r="G40">
        <f>SUM(C40:F40)</f>
        <v>322500</v>
      </c>
    </row>
    <row r="41" spans="1:18">
      <c r="A41" s="33" t="s">
        <v>132</v>
      </c>
      <c r="B41" s="33">
        <v>4</v>
      </c>
    </row>
    <row r="42" spans="1:18">
      <c r="A42" s="33" t="s">
        <v>133</v>
      </c>
      <c r="B42" s="45">
        <f>+B39*(1+B40)/B41</f>
        <v>77250</v>
      </c>
    </row>
    <row r="44" spans="1:18" ht="15">
      <c r="A44" s="111" t="s">
        <v>134</v>
      </c>
      <c r="B44" s="112"/>
    </row>
    <row r="45" spans="1:18">
      <c r="A45" s="47" t="s">
        <v>76</v>
      </c>
      <c r="B45" s="71">
        <f>+Presupuesto!G11</f>
        <v>177340</v>
      </c>
    </row>
    <row r="46" spans="1:18">
      <c r="A46" s="47" t="s">
        <v>135</v>
      </c>
      <c r="B46" s="88">
        <f>23932.5-$B$31</f>
        <v>21742.5</v>
      </c>
    </row>
    <row r="47" spans="1:18">
      <c r="A47" s="33" t="s">
        <v>136</v>
      </c>
      <c r="B47" s="71">
        <v>405</v>
      </c>
    </row>
    <row r="49" spans="1:2" ht="15">
      <c r="A49" s="111" t="s">
        <v>137</v>
      </c>
      <c r="B49" s="112"/>
    </row>
    <row r="50" spans="1:2">
      <c r="A50" s="47" t="s">
        <v>138</v>
      </c>
      <c r="B50" s="71">
        <v>0</v>
      </c>
    </row>
    <row r="52" spans="1:2" ht="15">
      <c r="A52" s="111" t="s">
        <v>139</v>
      </c>
      <c r="B52" s="112"/>
    </row>
    <row r="53" spans="1:2">
      <c r="A53" s="47" t="s">
        <v>140</v>
      </c>
      <c r="B53" s="73">
        <v>0.12</v>
      </c>
    </row>
    <row r="54" spans="1:2">
      <c r="A54" s="33" t="s">
        <v>141</v>
      </c>
      <c r="B54" s="45">
        <f>+NPV(B53,W6:W10)+W5</f>
        <v>-7865.0840964006493</v>
      </c>
    </row>
    <row r="55" spans="1:2">
      <c r="A55" s="33" t="s">
        <v>142</v>
      </c>
      <c r="B55" s="33">
        <f>4+ABS(X10)/ABS(X9)</f>
        <v>12.901990001386409</v>
      </c>
    </row>
  </sheetData>
  <mergeCells count="36">
    <mergeCell ref="A38:B38"/>
    <mergeCell ref="A44:B44"/>
    <mergeCell ref="A49:B49"/>
    <mergeCell ref="A52:B52"/>
    <mergeCell ref="A10:B10"/>
    <mergeCell ref="A19:B19"/>
    <mergeCell ref="A26:B26"/>
    <mergeCell ref="A27:B27"/>
    <mergeCell ref="A32:B32"/>
    <mergeCell ref="A34:B34"/>
    <mergeCell ref="G3:I3"/>
    <mergeCell ref="J3:L3"/>
    <mergeCell ref="N3:N4"/>
    <mergeCell ref="O3:O4"/>
    <mergeCell ref="P3:P4"/>
    <mergeCell ref="Q3:Q4"/>
    <mergeCell ref="Y1:Y4"/>
    <mergeCell ref="E2:F2"/>
    <mergeCell ref="G2:L2"/>
    <mergeCell ref="M2:M4"/>
    <mergeCell ref="N2:Q2"/>
    <mergeCell ref="R2:R4"/>
    <mergeCell ref="S2:S4"/>
    <mergeCell ref="T2:T4"/>
    <mergeCell ref="U2:U4"/>
    <mergeCell ref="V2:V4"/>
    <mergeCell ref="A1:B1"/>
    <mergeCell ref="D1:D4"/>
    <mergeCell ref="E1:L1"/>
    <mergeCell ref="M1:S1"/>
    <mergeCell ref="T1:V1"/>
    <mergeCell ref="W1:X1"/>
    <mergeCell ref="W2:W4"/>
    <mergeCell ref="X2:X4"/>
    <mergeCell ref="E3:E4"/>
    <mergeCell ref="F3:F4"/>
  </mergeCells>
  <conditionalFormatting sqref="W2:X2 W1 W5:X1048576">
    <cfRule type="colorScale" priority="1">
      <colorScale>
        <cfvo type="num" val="0"/>
        <cfvo type="num" val="0"/>
        <color rgb="FFFF0000"/>
        <color theme="9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77c7d1-2bb2-481b-aefe-101f32e9588a" xsi:nil="true"/>
    <lcf76f155ced4ddcb4097134ff3c332f xmlns="101eaf33-1701-464d-baef-164c6127d51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760B57A9050A41B8ECD167852D12BD" ma:contentTypeVersion="13" ma:contentTypeDescription="Crear nuevo documento." ma:contentTypeScope="" ma:versionID="eac238aecdab541038108c888c49e31e">
  <xsd:schema xmlns:xsd="http://www.w3.org/2001/XMLSchema" xmlns:xs="http://www.w3.org/2001/XMLSchema" xmlns:p="http://schemas.microsoft.com/office/2006/metadata/properties" xmlns:ns2="101eaf33-1701-464d-baef-164c6127d51f" xmlns:ns3="4c77c7d1-2bb2-481b-aefe-101f32e9588a" targetNamespace="http://schemas.microsoft.com/office/2006/metadata/properties" ma:root="true" ma:fieldsID="efe92b1ac631852ba9ae12b231089a75" ns2:_="" ns3:_="">
    <xsd:import namespace="101eaf33-1701-464d-baef-164c6127d51f"/>
    <xsd:import namespace="4c77c7d1-2bb2-481b-aefe-101f32e958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eaf33-1701-464d-baef-164c6127d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7c7d1-2bb2-481b-aefe-101f32e9588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7ce39c9-688e-4411-9501-255c93ef6400}" ma:internalName="TaxCatchAll" ma:showField="CatchAllData" ma:web="4c77c7d1-2bb2-481b-aefe-101f32e958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2ADB75-6814-4B16-9DD3-A644CE2D97A4}">
  <ds:schemaRefs>
    <ds:schemaRef ds:uri="http://schemas.microsoft.com/office/2006/metadata/properties"/>
    <ds:schemaRef ds:uri="http://schemas.microsoft.com/office/infopath/2007/PartnerControls"/>
    <ds:schemaRef ds:uri="4c77c7d1-2bb2-481b-aefe-101f32e9588a"/>
    <ds:schemaRef ds:uri="101eaf33-1701-464d-baef-164c6127d51f"/>
  </ds:schemaRefs>
</ds:datastoreItem>
</file>

<file path=customXml/itemProps2.xml><?xml version="1.0" encoding="utf-8"?>
<ds:datastoreItem xmlns:ds="http://schemas.openxmlformats.org/officeDocument/2006/customXml" ds:itemID="{B76B673B-D3A6-4140-BCA7-BB68D279E5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002EE9-020F-4C8A-BD4A-A4DFD95058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eaf33-1701-464d-baef-164c6127d51f"/>
    <ds:schemaRef ds:uri="4c77c7d1-2bb2-481b-aefe-101f32e958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Presupuesto</vt:lpstr>
      <vt:lpstr>Viabilidad Economica</vt:lpstr>
      <vt:lpstr>Viabilidad Economica (2)</vt:lpstr>
      <vt:lpstr>Hoja2</vt:lpstr>
      <vt:lpstr>Hoja2 (2)</vt:lpstr>
      <vt:lpstr>Hoja2 (3)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Rodríguez López</dc:creator>
  <cp:keywords/>
  <dc:description/>
  <cp:lastModifiedBy>Becario</cp:lastModifiedBy>
  <cp:revision/>
  <dcterms:created xsi:type="dcterms:W3CDTF">2006-09-16T00:00:00Z</dcterms:created>
  <dcterms:modified xsi:type="dcterms:W3CDTF">2024-04-30T15:49:30Z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0x01010083760B57A9050A41B8ECD167852D12BD</vt:lpwstr>
  </property>
  <property fmtid="{D5CDD505-2E9C-101B-9397-08002B2CF9AE}" pid="3" name="MediaServiceImageTags">
    <vt:lpwstr/>
  </property>
</Properties>
</file>