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/>
  <mc:AlternateContent xmlns:mc="http://schemas.openxmlformats.org/markup-compatibility/2006">
    <mc:Choice Requires="x15">
      <x15ac:absPath xmlns:x15ac="http://schemas.microsoft.com/office/spreadsheetml/2010/11/ac" url="https://unioviedo.sharepoint.com/sites/GITINProyectosPL03/Documentos compartidos/General/[2] Segunda entrega/[8] Octava fase/"/>
    </mc:Choice>
  </mc:AlternateContent>
  <xr:revisionPtr revIDLastSave="229" documentId="13_ncr:1_{46B1BAF7-689A-4853-B3D2-A94D3BCEED62}" xr6:coauthVersionLast="47" xr6:coauthVersionMax="47" xr10:uidLastSave="{6FBF91B2-F272-4769-A4C2-384488B0DD73}"/>
  <bookViews>
    <workbookView xWindow="-120" yWindow="-120" windowWidth="38640" windowHeight="21840" firstSheet="1" xr2:uid="{00000000-000D-0000-FFFF-FFFF00000000}"/>
  </bookViews>
  <sheets>
    <sheet name="Viabilidad Economica" sheetId="2" r:id="rId1"/>
    <sheet name="Presupuesto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2" l="1"/>
  <c r="P5" i="2"/>
  <c r="P6" i="2"/>
  <c r="P3" i="2"/>
  <c r="B46" i="2"/>
  <c r="G20" i="3"/>
  <c r="G19" i="3"/>
  <c r="G21" i="3" s="1"/>
  <c r="E13" i="3"/>
  <c r="F13" i="3"/>
  <c r="G13" i="3" s="1"/>
  <c r="I36" i="2"/>
  <c r="I37" i="2"/>
  <c r="I38" i="2"/>
  <c r="I39" i="2"/>
  <c r="I40" i="2"/>
  <c r="I41" i="2"/>
  <c r="I35" i="2"/>
  <c r="G9" i="3"/>
  <c r="G10" i="3"/>
  <c r="G15" i="3"/>
  <c r="G16" i="3"/>
  <c r="G14" i="3"/>
  <c r="G8" i="3"/>
  <c r="G7" i="3"/>
  <c r="M5" i="2"/>
  <c r="M6" i="2"/>
  <c r="M4" i="2"/>
  <c r="C29" i="2" s="1"/>
  <c r="C25" i="2"/>
  <c r="C24" i="2"/>
  <c r="C19" i="2"/>
  <c r="C6" i="2"/>
  <c r="F24" i="2" s="1"/>
  <c r="G11" i="3" l="1"/>
  <c r="G23" i="3"/>
  <c r="G17" i="3"/>
  <c r="L18" i="2"/>
  <c r="C35" i="2" s="1"/>
  <c r="G24" i="2"/>
  <c r="C34" i="2" s="1"/>
  <c r="F25" i="2"/>
  <c r="C26" i="2"/>
  <c r="H24" i="2" s="1"/>
  <c r="C9" i="2"/>
  <c r="D25" i="3" l="1"/>
  <c r="D26" i="3"/>
  <c r="G35" i="2"/>
  <c r="F35" i="2"/>
  <c r="H35" i="2"/>
  <c r="F26" i="2"/>
  <c r="G25" i="2"/>
  <c r="H25" i="2"/>
  <c r="H26" i="2"/>
  <c r="H27" i="2" s="1"/>
  <c r="H28" i="2" s="1"/>
  <c r="H29" i="2" s="1"/>
  <c r="H30" i="2" s="1"/>
  <c r="I24" i="2" l="1"/>
  <c r="K24" i="2"/>
  <c r="D28" i="3"/>
  <c r="D29" i="3" s="1"/>
  <c r="D30" i="3" s="1"/>
  <c r="J24" i="2"/>
  <c r="H36" i="2"/>
  <c r="G36" i="2"/>
  <c r="F36" i="2"/>
  <c r="I25" i="2" s="1"/>
  <c r="G26" i="2"/>
  <c r="F27" i="2"/>
  <c r="K25" i="2" l="1"/>
  <c r="F28" i="2"/>
  <c r="G28" i="2" s="1"/>
  <c r="G27" i="2"/>
  <c r="F37" i="2"/>
  <c r="H37" i="2"/>
  <c r="G37" i="2"/>
  <c r="G39" i="2"/>
  <c r="H39" i="2"/>
  <c r="F39" i="2"/>
  <c r="I28" i="2" s="1"/>
  <c r="F29" i="2"/>
  <c r="G29" i="2" s="1"/>
  <c r="I26" i="2" l="1"/>
  <c r="J25" i="2"/>
  <c r="H38" i="2"/>
  <c r="F38" i="2"/>
  <c r="G38" i="2"/>
  <c r="J28" i="2"/>
  <c r="G40" i="2"/>
  <c r="H40" i="2"/>
  <c r="F40" i="2"/>
  <c r="I29" i="2" s="1"/>
  <c r="F30" i="2"/>
  <c r="I27" i="2" l="1"/>
  <c r="J27" i="2"/>
  <c r="J26" i="2"/>
  <c r="K26" i="2"/>
  <c r="G30" i="2"/>
  <c r="J29" i="2"/>
  <c r="K27" i="2" l="1"/>
  <c r="K28" i="2" s="1"/>
  <c r="K29" i="2" s="1"/>
  <c r="G41" i="2"/>
  <c r="H41" i="2"/>
  <c r="F41" i="2"/>
  <c r="I30" i="2" l="1"/>
  <c r="J30" i="2" s="1"/>
  <c r="K30" i="2" l="1"/>
  <c r="F47" i="2"/>
  <c r="F48" i="2" s="1"/>
</calcChain>
</file>

<file path=xl/sharedStrings.xml><?xml version="1.0" encoding="utf-8"?>
<sst xmlns="http://schemas.openxmlformats.org/spreadsheetml/2006/main" count="104" uniqueCount="90">
  <si>
    <t>DATOS</t>
  </si>
  <si>
    <t>Habitantes en Asturias</t>
  </si>
  <si>
    <t>Componentes hardware</t>
  </si>
  <si>
    <t>Inflacion+intereses</t>
  </si>
  <si>
    <t>Año</t>
  </si>
  <si>
    <t>Habitantes area metropolitana Asturias (zona centro)</t>
  </si>
  <si>
    <t>Precio de mercado</t>
  </si>
  <si>
    <t>Precio a granel</t>
  </si>
  <si>
    <t>Habitantes en las ciudades</t>
  </si>
  <si>
    <t>Apertura porton</t>
  </si>
  <si>
    <t>Apertura mediante wifi/bluetooth</t>
  </si>
  <si>
    <t>tienen plaza de garaje (varias personas misma plaza)</t>
  </si>
  <si>
    <t>Conexion garaje-Servidor</t>
  </si>
  <si>
    <t>Hub inteligente Sonoff Bridge</t>
  </si>
  <si>
    <t>Numero de plazas garajes potenciales</t>
  </si>
  <si>
    <t>Strong Router 4G LTE</t>
  </si>
  <si>
    <t>Incremento del alcance anual</t>
  </si>
  <si>
    <t>Servidor en la nuve €/h</t>
  </si>
  <si>
    <t>Numero medio de plazas por garaje</t>
  </si>
  <si>
    <t>Propósito general</t>
  </si>
  <si>
    <t>Numero estimado de garajes</t>
  </si>
  <si>
    <t>Optimización de la computación</t>
  </si>
  <si>
    <t>Memoria optimizada</t>
  </si>
  <si>
    <t>GPU</t>
  </si>
  <si>
    <t>Servicios de instalacion y mantenimiento (Subcontratado)</t>
  </si>
  <si>
    <t>Instalacion</t>
  </si>
  <si>
    <t xml:space="preserve">Horas promedio mensuales por plaza </t>
  </si>
  <si>
    <t>Mantenimiento (precio anual por garaje)</t>
  </si>
  <si>
    <t>precio promedio de alquiler (sin carga)</t>
  </si>
  <si>
    <t>Gijon</t>
  </si>
  <si>
    <t>oviedo</t>
  </si>
  <si>
    <t>precio promedio de carga</t>
  </si>
  <si>
    <t>Teniendo en cuenta ya que el ofertante pedira algo mas de lo que le cueste</t>
  </si>
  <si>
    <t>Costes iniciales (Desarrollo)</t>
  </si>
  <si>
    <t>uso promedio de carga</t>
  </si>
  <si>
    <t>Desarrollo software</t>
  </si>
  <si>
    <t>precio promedio final</t>
  </si>
  <si>
    <t>Comision que nos llevamos</t>
  </si>
  <si>
    <t>Desglose de ingresos (Mensuales)</t>
  </si>
  <si>
    <t>AÑO</t>
  </si>
  <si>
    <t>Plazas esperadas</t>
  </si>
  <si>
    <t>Garajes estimados</t>
  </si>
  <si>
    <t>Ingresos</t>
  </si>
  <si>
    <t>Costes</t>
  </si>
  <si>
    <t>Balance Anual</t>
  </si>
  <si>
    <t>Balance añadido</t>
  </si>
  <si>
    <t>Comision por alquiler de las plazas por usuario (base)</t>
  </si>
  <si>
    <t>Comision por el servicio de recarga por usuario</t>
  </si>
  <si>
    <t>Total (Ingresos mensuales por usuario)</t>
  </si>
  <si>
    <t>Costes fijos</t>
  </si>
  <si>
    <t>Componentes Hardware (Por garaje)</t>
  </si>
  <si>
    <t xml:space="preserve">Desembolso inicial para la compra del hardware </t>
  </si>
  <si>
    <t>Compra de hardware</t>
  </si>
  <si>
    <t>Costos/Año</t>
  </si>
  <si>
    <t>Hardware</t>
  </si>
  <si>
    <t>Mantenimiento</t>
  </si>
  <si>
    <t>Servidores</t>
  </si>
  <si>
    <t>Personal administrativo</t>
  </si>
  <si>
    <t>Gastos corrientes de funcionamiento</t>
  </si>
  <si>
    <t>Desarrollo App</t>
  </si>
  <si>
    <t>Prestamo</t>
  </si>
  <si>
    <t>Interes</t>
  </si>
  <si>
    <t xml:space="preserve">Horizonte </t>
  </si>
  <si>
    <t>años</t>
  </si>
  <si>
    <t>Inflacion 3%</t>
  </si>
  <si>
    <t>Intereses 3%</t>
  </si>
  <si>
    <t>VAN (horizonte a 4 años)</t>
  </si>
  <si>
    <t>TIR</t>
  </si>
  <si>
    <t xml:space="preserve">Descripción </t>
  </si>
  <si>
    <t>Unidad</t>
  </si>
  <si>
    <t>Cantidad</t>
  </si>
  <si>
    <t>Precio</t>
  </si>
  <si>
    <t>Total</t>
  </si>
  <si>
    <t>Software</t>
  </si>
  <si>
    <t>Analista</t>
  </si>
  <si>
    <t>Horas</t>
  </si>
  <si>
    <t>Diseñador</t>
  </si>
  <si>
    <t>Programador</t>
  </si>
  <si>
    <t>Tester</t>
  </si>
  <si>
    <t>Servidor (2 servidores 1 año)</t>
  </si>
  <si>
    <t>Unidades</t>
  </si>
  <si>
    <t>Parkingdoor</t>
  </si>
  <si>
    <t>Mano de obra</t>
  </si>
  <si>
    <t>Instalación</t>
  </si>
  <si>
    <t>TOTAL=&gt;</t>
  </si>
  <si>
    <t>Gastos generales</t>
  </si>
  <si>
    <t>Beneficio industrial</t>
  </si>
  <si>
    <t>Nuevo total</t>
  </si>
  <si>
    <t>IVA</t>
  </si>
  <si>
    <t>Presupuesto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</si>
</sst>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;[Red]\-#,##0.00\ &quot;€&quot;"/>
    <numFmt numFmtId="165" formatCode="#,##0.00\ &quot;€&quot;"/>
  </numFmts>
  <fonts count="14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color rgb="FF333333"/>
      <name val="Arial"/>
      <family val="2"/>
    </font>
    <font>
      <sz val="11"/>
      <color rgb="FFFFFF00"/>
      <name val="Aptos Narrow"/>
      <family val="2"/>
      <scheme val="minor"/>
    </font>
    <font>
      <sz val="13"/>
      <color rgb="FF4C4243"/>
      <name val="Calibri"/>
      <family val="2"/>
    </font>
    <font>
      <sz val="11"/>
      <color rgb="FFFF0000"/>
      <name val="Aptos Narrow"/>
      <family val="2"/>
      <scheme val="minor"/>
    </font>
    <font>
      <sz val="11"/>
      <color rgb="FF000000"/>
      <name val="Calibri"/>
      <family val="2"/>
    </font>
    <font>
      <sz val="11"/>
      <color rgb="FF242424"/>
      <name val="Aptos Narrow"/>
      <family val="2"/>
      <scheme val="minor"/>
    </font>
    <font>
      <sz val="11"/>
      <color rgb="FF00B05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36"/>
      <name val="Aptos Narrow"/>
      <family val="2"/>
      <scheme val="minor"/>
    </font>
    <font>
      <sz val="11"/>
      <color rgb="FF000000"/>
      <name val="Consolas"/>
      <family val="3"/>
    </font>
    <font>
      <sz val="11"/>
      <color rgb="FF000000"/>
      <name val="Aptos Narrow"/>
      <family val="2"/>
    </font>
  </fonts>
  <fills count="1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4A4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9CCC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8">
    <xf numFmtId="0" fontId="0" fillId="0" borderId="0" xfId="0"/>
    <xf numFmtId="165" fontId="0" fillId="0" borderId="0" xfId="0" applyNumberFormat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3" fillId="0" borderId="0" xfId="0" applyFont="1" applyAlignment="1">
      <alignment horizontal="left" vertical="top" wrapText="1"/>
    </xf>
    <xf numFmtId="0" fontId="0" fillId="6" borderId="4" xfId="0" applyFill="1" applyBorder="1"/>
    <xf numFmtId="0" fontId="0" fillId="6" borderId="20" xfId="0" applyFill="1" applyBorder="1"/>
    <xf numFmtId="165" fontId="0" fillId="0" borderId="10" xfId="0" applyNumberFormat="1" applyBorder="1"/>
    <xf numFmtId="165" fontId="0" fillId="0" borderId="12" xfId="0" applyNumberFormat="1" applyBorder="1"/>
    <xf numFmtId="0" fontId="0" fillId="0" borderId="0" xfId="0" applyAlignment="1">
      <alignment horizontal="center" vertical="center"/>
    </xf>
    <xf numFmtId="1" fontId="0" fillId="5" borderId="4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6" fillId="0" borderId="0" xfId="0" applyFont="1"/>
    <xf numFmtId="0" fontId="7" fillId="0" borderId="0" xfId="0" applyFont="1"/>
    <xf numFmtId="165" fontId="0" fillId="0" borderId="4" xfId="0" applyNumberFormat="1" applyBorder="1"/>
    <xf numFmtId="165" fontId="8" fillId="10" borderId="3" xfId="0" applyNumberFormat="1" applyFont="1" applyFill="1" applyBorder="1"/>
    <xf numFmtId="165" fontId="0" fillId="0" borderId="17" xfId="0" applyNumberFormat="1" applyBorder="1" applyAlignment="1">
      <alignment horizontal="right"/>
    </xf>
    <xf numFmtId="165" fontId="0" fillId="0" borderId="3" xfId="0" applyNumberFormat="1" applyBorder="1" applyAlignment="1">
      <alignment horizontal="right"/>
    </xf>
    <xf numFmtId="165" fontId="5" fillId="11" borderId="24" xfId="0" applyNumberFormat="1" applyFont="1" applyFill="1" applyBorder="1"/>
    <xf numFmtId="164" fontId="0" fillId="12" borderId="4" xfId="0" applyNumberFormat="1" applyFill="1" applyBorder="1"/>
    <xf numFmtId="164" fontId="0" fillId="5" borderId="4" xfId="0" applyNumberFormat="1" applyFill="1" applyBorder="1"/>
    <xf numFmtId="165" fontId="0" fillId="5" borderId="4" xfId="0" applyNumberFormat="1" applyFill="1" applyBorder="1"/>
    <xf numFmtId="0" fontId="0" fillId="8" borderId="2" xfId="0" applyFill="1" applyBorder="1" applyAlignment="1">
      <alignment vertical="center"/>
    </xf>
    <xf numFmtId="164" fontId="0" fillId="6" borderId="19" xfId="0" applyNumberFormat="1" applyFill="1" applyBorder="1"/>
    <xf numFmtId="164" fontId="0" fillId="6" borderId="27" xfId="0" applyNumberFormat="1" applyFill="1" applyBorder="1"/>
    <xf numFmtId="164" fontId="0" fillId="6" borderId="18" xfId="0" applyNumberFormat="1" applyFill="1" applyBorder="1"/>
    <xf numFmtId="164" fontId="0" fillId="6" borderId="28" xfId="0" applyNumberFormat="1" applyFill="1" applyBorder="1"/>
    <xf numFmtId="164" fontId="0" fillId="6" borderId="29" xfId="0" applyNumberFormat="1" applyFill="1" applyBorder="1"/>
    <xf numFmtId="164" fontId="0" fillId="6" borderId="21" xfId="0" applyNumberFormat="1" applyFill="1" applyBorder="1"/>
    <xf numFmtId="0" fontId="0" fillId="8" borderId="29" xfId="0" applyFill="1" applyBorder="1"/>
    <xf numFmtId="0" fontId="0" fillId="8" borderId="19" xfId="0" applyFill="1" applyBorder="1" applyAlignment="1">
      <alignment horizontal="center" vertical="center"/>
    </xf>
    <xf numFmtId="0" fontId="0" fillId="8" borderId="19" xfId="0" applyFill="1" applyBorder="1" applyAlignment="1">
      <alignment vertical="center"/>
    </xf>
    <xf numFmtId="0" fontId="0" fillId="0" borderId="30" xfId="0" applyBorder="1"/>
    <xf numFmtId="0" fontId="11" fillId="0" borderId="0" xfId="0" applyFont="1" applyAlignment="1">
      <alignment vertical="center"/>
    </xf>
    <xf numFmtId="0" fontId="0" fillId="15" borderId="30" xfId="0" applyFill="1" applyBorder="1"/>
    <xf numFmtId="0" fontId="9" fillId="13" borderId="30" xfId="0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/>
    </xf>
    <xf numFmtId="0" fontId="9" fillId="3" borderId="24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9" fillId="4" borderId="23" xfId="0" applyFont="1" applyFill="1" applyBorder="1" applyAlignment="1">
      <alignment horizontal="center"/>
    </xf>
    <xf numFmtId="0" fontId="9" fillId="13" borderId="4" xfId="0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0" fontId="9" fillId="4" borderId="4" xfId="0" applyFont="1" applyFill="1" applyBorder="1"/>
    <xf numFmtId="165" fontId="0" fillId="0" borderId="30" xfId="0" applyNumberFormat="1" applyBorder="1"/>
    <xf numFmtId="0" fontId="9" fillId="2" borderId="30" xfId="0" applyFont="1" applyFill="1" applyBorder="1"/>
    <xf numFmtId="0" fontId="0" fillId="0" borderId="31" xfId="0" applyBorder="1"/>
    <xf numFmtId="164" fontId="0" fillId="0" borderId="30" xfId="0" applyNumberFormat="1" applyBorder="1"/>
    <xf numFmtId="0" fontId="9" fillId="3" borderId="32" xfId="0" applyFont="1" applyFill="1" applyBorder="1"/>
    <xf numFmtId="9" fontId="0" fillId="0" borderId="30" xfId="0" applyNumberFormat="1" applyBorder="1"/>
    <xf numFmtId="3" fontId="2" fillId="0" borderId="30" xfId="0" applyNumberFormat="1" applyFont="1" applyBorder="1"/>
    <xf numFmtId="3" fontId="0" fillId="0" borderId="30" xfId="0" applyNumberFormat="1" applyBorder="1"/>
    <xf numFmtId="0" fontId="9" fillId="16" borderId="30" xfId="0" applyFont="1" applyFill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9" fillId="14" borderId="30" xfId="0" applyFont="1" applyFill="1" applyBorder="1"/>
    <xf numFmtId="165" fontId="9" fillId="14" borderId="30" xfId="0" applyNumberFormat="1" applyFont="1" applyFill="1" applyBorder="1"/>
    <xf numFmtId="0" fontId="0" fillId="0" borderId="33" xfId="0" applyBorder="1"/>
    <xf numFmtId="0" fontId="0" fillId="17" borderId="4" xfId="0" applyFill="1" applyBorder="1"/>
    <xf numFmtId="165" fontId="0" fillId="17" borderId="4" xfId="0" applyNumberFormat="1" applyFill="1" applyBorder="1"/>
    <xf numFmtId="0" fontId="0" fillId="5" borderId="4" xfId="0" applyFill="1" applyBorder="1" applyAlignment="1">
      <alignment horizontal="center"/>
    </xf>
    <xf numFmtId="0" fontId="0" fillId="18" borderId="30" xfId="0" applyFill="1" applyBorder="1"/>
    <xf numFmtId="0" fontId="12" fillId="0" borderId="0" xfId="0" applyFont="1"/>
    <xf numFmtId="2" fontId="0" fillId="0" borderId="0" xfId="0" applyNumberFormat="1" applyAlignment="1">
      <alignment horizontal="center" vertical="center"/>
    </xf>
    <xf numFmtId="0" fontId="13" fillId="0" borderId="30" xfId="0" applyFont="1" applyBorder="1"/>
    <xf numFmtId="0" fontId="13" fillId="0" borderId="31" xfId="0" applyFont="1" applyBorder="1"/>
    <xf numFmtId="0" fontId="3" fillId="12" borderId="0" xfId="0" applyFont="1" applyFill="1" applyAlignment="1">
      <alignment horizontal="center"/>
    </xf>
    <xf numFmtId="0" fontId="9" fillId="8" borderId="1" xfId="0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0" fontId="9" fillId="8" borderId="25" xfId="0" applyFont="1" applyFill="1" applyBorder="1" applyAlignment="1">
      <alignment horizontal="center" vertical="center"/>
    </xf>
    <xf numFmtId="0" fontId="9" fillId="8" borderId="26" xfId="0" applyFont="1" applyFill="1" applyBorder="1" applyAlignment="1">
      <alignment horizontal="center" vertical="center"/>
    </xf>
    <xf numFmtId="0" fontId="9" fillId="8" borderId="13" xfId="0" applyFont="1" applyFill="1" applyBorder="1" applyAlignment="1">
      <alignment horizontal="center"/>
    </xf>
    <xf numFmtId="0" fontId="9" fillId="8" borderId="5" xfId="0" applyFont="1" applyFill="1" applyBorder="1" applyAlignment="1">
      <alignment horizontal="center"/>
    </xf>
    <xf numFmtId="0" fontId="9" fillId="8" borderId="6" xfId="0" applyFont="1" applyFill="1" applyBorder="1" applyAlignment="1">
      <alignment horizontal="center"/>
    </xf>
    <xf numFmtId="0" fontId="0" fillId="6" borderId="1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9" fillId="8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4" fillId="7" borderId="11" xfId="0" applyFont="1" applyFill="1" applyBorder="1" applyAlignment="1">
      <alignment horizontal="center" vertical="center" wrapText="1"/>
    </xf>
    <xf numFmtId="0" fontId="4" fillId="7" borderId="12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/>
    </xf>
    <xf numFmtId="0" fontId="9" fillId="8" borderId="0" xfId="0" applyFont="1" applyFill="1" applyAlignment="1">
      <alignment horizontal="center"/>
    </xf>
    <xf numFmtId="0" fontId="4" fillId="7" borderId="7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</cellXfs>
  <cellStyles count="2">
    <cellStyle name="Hyperlink" xfId="1" xr:uid="{00000000-000B-0000-0000-000008000000}"/>
    <cellStyle name="Normal" xfId="0" builtinId="0"/>
  </cellStyles>
  <dxfs count="6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9CCC9"/>
      <color rgb="FFFF5050"/>
      <color rgb="FFFF4A4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FA9CD-E19B-4450-956B-D215CE7AA8C9}">
  <dimension ref="B1:Q58"/>
  <sheetViews>
    <sheetView tabSelected="1" workbookViewId="0">
      <selection activeCell="E13" sqref="E13"/>
    </sheetView>
  </sheetViews>
  <sheetFormatPr defaultColWidth="8.85546875" defaultRowHeight="15" x14ac:dyDescent="0.25"/>
  <cols>
    <col min="2" max="2" width="50.42578125" bestFit="1" customWidth="1"/>
    <col min="3" max="3" width="11.5703125" bestFit="1" customWidth="1"/>
    <col min="5" max="5" width="67.85546875" bestFit="1" customWidth="1"/>
    <col min="6" max="6" width="16.42578125" bestFit="1" customWidth="1"/>
    <col min="7" max="7" width="18" bestFit="1" customWidth="1"/>
    <col min="8" max="8" width="14.85546875" bestFit="1" customWidth="1"/>
    <col min="9" max="9" width="11.5703125" bestFit="1" customWidth="1"/>
    <col min="10" max="10" width="23.42578125" bestFit="1" customWidth="1"/>
    <col min="11" max="11" width="35.28515625" bestFit="1" customWidth="1"/>
    <col min="12" max="12" width="17.7109375" bestFit="1" customWidth="1"/>
    <col min="13" max="13" width="14.28515625" bestFit="1" customWidth="1"/>
    <col min="15" max="15" width="23" bestFit="1" customWidth="1"/>
    <col min="16" max="16" width="18.7109375" bestFit="1" customWidth="1"/>
    <col min="17" max="17" width="4.42578125" bestFit="1" customWidth="1"/>
    <col min="19" max="19" width="15.7109375" customWidth="1"/>
  </cols>
  <sheetData>
    <row r="1" spans="2:17" ht="15.75" thickBot="1" x14ac:dyDescent="0.3">
      <c r="B1" s="53" t="s">
        <v>0</v>
      </c>
    </row>
    <row r="2" spans="2:17" ht="15" customHeight="1" thickBot="1" x14ac:dyDescent="0.3">
      <c r="B2" s="47" t="s">
        <v>1</v>
      </c>
      <c r="C2" s="51">
        <v>1008876</v>
      </c>
      <c r="E2" s="34"/>
      <c r="F2" s="34"/>
      <c r="G2" s="34"/>
      <c r="H2" s="34"/>
      <c r="J2" s="67" t="s">
        <v>2</v>
      </c>
      <c r="K2" s="68"/>
      <c r="L2" s="23"/>
      <c r="M2" s="30"/>
      <c r="P2" s="36" t="s">
        <v>3</v>
      </c>
      <c r="Q2" s="36" t="s">
        <v>4</v>
      </c>
    </row>
    <row r="3" spans="2:17" ht="15" customHeight="1" thickBot="1" x14ac:dyDescent="0.3">
      <c r="B3" s="33" t="s">
        <v>5</v>
      </c>
      <c r="C3" s="52">
        <v>801226</v>
      </c>
      <c r="E3" s="34"/>
      <c r="F3" s="34"/>
      <c r="G3" s="34"/>
      <c r="H3" s="34"/>
      <c r="J3" s="69"/>
      <c r="K3" s="70"/>
      <c r="L3" s="32" t="s">
        <v>6</v>
      </c>
      <c r="M3" s="31" t="s">
        <v>7</v>
      </c>
      <c r="P3" s="35">
        <f>1/(1.03^Q3)</f>
        <v>0.970873786407767</v>
      </c>
      <c r="Q3" s="35">
        <v>1</v>
      </c>
    </row>
    <row r="4" spans="2:17" ht="15" customHeight="1" thickBot="1" x14ac:dyDescent="0.3">
      <c r="B4" s="33" t="s">
        <v>8</v>
      </c>
      <c r="C4" s="50">
        <v>0.8</v>
      </c>
      <c r="E4" s="34"/>
      <c r="F4" s="34"/>
      <c r="G4" s="34"/>
      <c r="H4" s="34"/>
      <c r="J4" s="6" t="s">
        <v>9</v>
      </c>
      <c r="K4" s="7" t="s">
        <v>10</v>
      </c>
      <c r="L4" s="25">
        <v>69</v>
      </c>
      <c r="M4" s="28">
        <f>L4*0.6</f>
        <v>41.4</v>
      </c>
      <c r="P4" s="35">
        <f t="shared" ref="P4:P6" si="0">1/(1.03^Q4)</f>
        <v>0.94259590913375435</v>
      </c>
      <c r="Q4" s="35">
        <v>2</v>
      </c>
    </row>
    <row r="5" spans="2:17" ht="15" customHeight="1" thickBot="1" x14ac:dyDescent="0.3">
      <c r="B5" s="33" t="s">
        <v>11</v>
      </c>
      <c r="C5" s="50">
        <v>0.15</v>
      </c>
      <c r="E5" s="34"/>
      <c r="F5" s="34"/>
      <c r="G5" s="34"/>
      <c r="H5" s="34"/>
      <c r="J5" s="77" t="s">
        <v>12</v>
      </c>
      <c r="K5" s="7" t="s">
        <v>13</v>
      </c>
      <c r="L5" s="26">
        <v>36</v>
      </c>
      <c r="M5" s="24">
        <f t="shared" ref="M5:M6" si="1">L5*0.6</f>
        <v>21.599999999999998</v>
      </c>
      <c r="P5" s="35">
        <f t="shared" si="0"/>
        <v>0.91514165935315961</v>
      </c>
      <c r="Q5" s="35">
        <v>3</v>
      </c>
    </row>
    <row r="6" spans="2:17" ht="15" customHeight="1" thickBot="1" x14ac:dyDescent="0.3">
      <c r="B6" s="33" t="s">
        <v>14</v>
      </c>
      <c r="C6" s="33">
        <f>C3*C4*C5</f>
        <v>96147.12000000001</v>
      </c>
      <c r="E6" s="34"/>
      <c r="F6" s="34"/>
      <c r="G6" s="34"/>
      <c r="H6" s="34"/>
      <c r="J6" s="77"/>
      <c r="K6" s="7" t="s">
        <v>15</v>
      </c>
      <c r="L6" s="27">
        <v>39.950000000000003</v>
      </c>
      <c r="M6" s="29">
        <f t="shared" si="1"/>
        <v>23.970000000000002</v>
      </c>
      <c r="P6" s="35">
        <f t="shared" si="0"/>
        <v>0.888487047915689</v>
      </c>
      <c r="Q6" s="35">
        <v>4</v>
      </c>
    </row>
    <row r="7" spans="2:17" ht="15" customHeight="1" thickBot="1" x14ac:dyDescent="0.3">
      <c r="B7" s="33" t="s">
        <v>16</v>
      </c>
      <c r="C7" s="50">
        <v>5.1999999999999998E-3</v>
      </c>
      <c r="E7" s="34"/>
      <c r="F7" s="34"/>
      <c r="G7" s="34"/>
      <c r="H7" s="34"/>
      <c r="J7" s="84" t="s">
        <v>17</v>
      </c>
      <c r="K7" s="85"/>
      <c r="L7" s="73"/>
    </row>
    <row r="8" spans="2:17" ht="17.45" customHeight="1" x14ac:dyDescent="0.25">
      <c r="B8" s="33" t="s">
        <v>18</v>
      </c>
      <c r="C8" s="33">
        <v>12</v>
      </c>
      <c r="E8" s="34"/>
      <c r="F8" s="34"/>
      <c r="G8" s="34"/>
      <c r="H8" s="34"/>
      <c r="J8" s="86" t="s">
        <v>19</v>
      </c>
      <c r="K8" s="87"/>
      <c r="L8" s="2">
        <v>0.125</v>
      </c>
    </row>
    <row r="9" spans="2:17" ht="34.9" customHeight="1" x14ac:dyDescent="0.25">
      <c r="B9" s="33" t="s">
        <v>20</v>
      </c>
      <c r="C9" s="33">
        <f>C6/C8</f>
        <v>8012.2600000000011</v>
      </c>
      <c r="E9" s="34"/>
      <c r="F9" s="34"/>
      <c r="G9" s="34"/>
      <c r="H9" s="34"/>
      <c r="J9" s="82" t="s">
        <v>21</v>
      </c>
      <c r="K9" s="83"/>
      <c r="L9" s="3">
        <v>0.14099999999999999</v>
      </c>
    </row>
    <row r="10" spans="2:17" ht="17.45" customHeight="1" x14ac:dyDescent="0.25">
      <c r="E10" s="34"/>
      <c r="F10" s="34"/>
      <c r="G10" s="34"/>
      <c r="H10" s="34"/>
      <c r="J10" s="82" t="s">
        <v>22</v>
      </c>
      <c r="K10" s="83"/>
      <c r="L10" s="3">
        <v>0.17699999999999999</v>
      </c>
    </row>
    <row r="11" spans="2:17" ht="18" customHeight="1" thickBot="1" x14ac:dyDescent="0.3">
      <c r="E11" s="34"/>
      <c r="F11" s="34"/>
      <c r="G11" s="34"/>
      <c r="H11" s="34"/>
      <c r="J11" s="80" t="s">
        <v>23</v>
      </c>
      <c r="K11" s="81"/>
      <c r="L11" s="4">
        <v>0.88</v>
      </c>
    </row>
    <row r="12" spans="2:17" ht="15" customHeight="1" thickBot="1" x14ac:dyDescent="0.3">
      <c r="E12" s="34"/>
      <c r="F12" s="34"/>
      <c r="G12" s="34"/>
      <c r="H12" s="34"/>
    </row>
    <row r="13" spans="2:17" ht="14.45" customHeight="1" x14ac:dyDescent="0.25">
      <c r="E13" s="34"/>
      <c r="F13" s="34"/>
      <c r="G13" s="34"/>
      <c r="H13" s="34"/>
      <c r="J13" s="71" t="s">
        <v>24</v>
      </c>
      <c r="K13" s="72"/>
      <c r="L13" s="73"/>
    </row>
    <row r="14" spans="2:17" x14ac:dyDescent="0.25">
      <c r="B14" s="53" t="s">
        <v>0</v>
      </c>
      <c r="J14" s="76" t="s">
        <v>25</v>
      </c>
      <c r="K14" s="77"/>
      <c r="L14" s="8">
        <v>100</v>
      </c>
    </row>
    <row r="15" spans="2:17" ht="15.75" thickBot="1" x14ac:dyDescent="0.3">
      <c r="B15" s="47" t="s">
        <v>26</v>
      </c>
      <c r="C15" s="33">
        <v>40</v>
      </c>
      <c r="J15" s="74" t="s">
        <v>27</v>
      </c>
      <c r="K15" s="75"/>
      <c r="L15" s="9">
        <v>35</v>
      </c>
    </row>
    <row r="16" spans="2:17" x14ac:dyDescent="0.25">
      <c r="B16" s="33" t="s">
        <v>28</v>
      </c>
      <c r="C16" s="45">
        <v>1.5</v>
      </c>
      <c r="E16" t="s">
        <v>29</v>
      </c>
      <c r="F16" s="1">
        <v>2</v>
      </c>
      <c r="G16" t="s">
        <v>30</v>
      </c>
      <c r="H16" s="1">
        <v>1.8</v>
      </c>
    </row>
    <row r="17" spans="2:16" x14ac:dyDescent="0.25">
      <c r="B17" s="33" t="s">
        <v>31</v>
      </c>
      <c r="C17" s="45">
        <v>14</v>
      </c>
      <c r="E17" t="s">
        <v>32</v>
      </c>
      <c r="J17" s="78" t="s">
        <v>33</v>
      </c>
      <c r="K17" s="78"/>
      <c r="L17" s="78"/>
    </row>
    <row r="18" spans="2:16" x14ac:dyDescent="0.25">
      <c r="B18" s="33" t="s">
        <v>34</v>
      </c>
      <c r="C18" s="50">
        <v>0.01</v>
      </c>
      <c r="J18" s="79" t="s">
        <v>35</v>
      </c>
      <c r="K18" s="79"/>
      <c r="L18" s="15">
        <f>SUM(Presupuesto!G7:G10)</f>
        <v>153040</v>
      </c>
    </row>
    <row r="19" spans="2:16" x14ac:dyDescent="0.25">
      <c r="B19" s="33" t="s">
        <v>36</v>
      </c>
      <c r="C19" s="45">
        <f>C16+(C18)*C17</f>
        <v>1.6400000000000001</v>
      </c>
      <c r="J19" s="66"/>
      <c r="K19" s="66"/>
    </row>
    <row r="20" spans="2:16" x14ac:dyDescent="0.25">
      <c r="B20" s="33" t="s">
        <v>37</v>
      </c>
      <c r="C20" s="50">
        <v>0.2</v>
      </c>
    </row>
    <row r="23" spans="2:16" x14ac:dyDescent="0.25">
      <c r="B23" s="46" t="s">
        <v>38</v>
      </c>
      <c r="E23" s="37" t="s">
        <v>39</v>
      </c>
      <c r="F23" s="37" t="s">
        <v>40</v>
      </c>
      <c r="G23" s="37" t="s">
        <v>41</v>
      </c>
      <c r="H23" s="38" t="s">
        <v>42</v>
      </c>
      <c r="I23" s="39" t="s">
        <v>43</v>
      </c>
      <c r="J23" s="40" t="s">
        <v>44</v>
      </c>
      <c r="K23" s="41" t="s">
        <v>45</v>
      </c>
    </row>
    <row r="24" spans="2:16" x14ac:dyDescent="0.25">
      <c r="B24" s="47" t="s">
        <v>46</v>
      </c>
      <c r="C24" s="45">
        <f>C15*C16*C20</f>
        <v>12</v>
      </c>
      <c r="E24" s="12">
        <v>1</v>
      </c>
      <c r="F24" s="11">
        <f>C6*C7</f>
        <v>499.96502400000003</v>
      </c>
      <c r="G24" s="11">
        <f>(F24/2)</f>
        <v>249.98251200000001</v>
      </c>
      <c r="H24" s="16">
        <f>F24*$C$26*12+B38</f>
        <v>378714.49337856</v>
      </c>
      <c r="I24" s="19">
        <f>SUM(F35:K35)+L18+((B38/B41)*(1+C38))</f>
        <v>357968.61818863999</v>
      </c>
      <c r="J24" s="15">
        <f>H24-I24</f>
        <v>20745.875189920014</v>
      </c>
      <c r="K24" s="17">
        <f>H24-I24</f>
        <v>20745.875189920014</v>
      </c>
    </row>
    <row r="25" spans="2:16" x14ac:dyDescent="0.25">
      <c r="B25" s="33" t="s">
        <v>47</v>
      </c>
      <c r="C25" s="45">
        <f>C15*C17*C18*C20</f>
        <v>1.1200000000000001</v>
      </c>
      <c r="E25" s="12">
        <v>2</v>
      </c>
      <c r="F25" s="11">
        <f>F24*2</f>
        <v>999.93004800000006</v>
      </c>
      <c r="G25" s="11">
        <f t="shared" ref="G25:G30" si="2">(F25/3)</f>
        <v>333.31001600000002</v>
      </c>
      <c r="H25" s="16">
        <f>F25*$C$26*12</f>
        <v>157428.98675712003</v>
      </c>
      <c r="I25" s="19">
        <f>SUM(F36:K36)+L19+((B38/B41)*(1+C38))</f>
        <v>176685.59398288</v>
      </c>
      <c r="J25" s="15">
        <f t="shared" ref="J25:J30" si="3">H25-I25</f>
        <v>-19256.607225759974</v>
      </c>
      <c r="K25" s="18">
        <f t="shared" ref="K25:K30" si="4">K24+(H25-I25)</f>
        <v>1489.2679641600407</v>
      </c>
    </row>
    <row r="26" spans="2:16" x14ac:dyDescent="0.25">
      <c r="B26" s="33" t="s">
        <v>48</v>
      </c>
      <c r="C26" s="45">
        <f>SUM(C24:C25)</f>
        <v>13.120000000000001</v>
      </c>
      <c r="E26" s="12">
        <v>3</v>
      </c>
      <c r="F26" s="11">
        <f>F25*1.07</f>
        <v>1069.9251513600002</v>
      </c>
      <c r="G26" s="11">
        <f t="shared" si="2"/>
        <v>356.64171712000007</v>
      </c>
      <c r="H26" s="16">
        <f>F26*$C$26*12</f>
        <v>168449.01583011844</v>
      </c>
      <c r="I26" s="19">
        <f>SUM(F37:K37)+L20+((B38/B41)*(1+C38))</f>
        <v>166284.78825760641</v>
      </c>
      <c r="J26" s="15">
        <f t="shared" si="3"/>
        <v>2164.2275725120271</v>
      </c>
      <c r="K26" s="18">
        <f t="shared" si="4"/>
        <v>3653.4955366720678</v>
      </c>
    </row>
    <row r="27" spans="2:16" x14ac:dyDescent="0.25">
      <c r="E27" s="12">
        <v>4</v>
      </c>
      <c r="F27" s="11">
        <f>F26*1.05</f>
        <v>1123.4214089280003</v>
      </c>
      <c r="G27" s="11">
        <f t="shared" si="2"/>
        <v>374.47380297600012</v>
      </c>
      <c r="H27" s="16">
        <f t="shared" ref="H27:H30" si="5">H26*1.03</f>
        <v>173502.486305022</v>
      </c>
      <c r="I27" s="19">
        <f>SUM(F38:K38)+L21+((B38/B41)*(1+C38))</f>
        <v>165880.64819665632</v>
      </c>
      <c r="J27" s="15">
        <f t="shared" si="3"/>
        <v>7621.8381083656859</v>
      </c>
      <c r="K27" s="18">
        <f t="shared" si="4"/>
        <v>11275.333645037754</v>
      </c>
    </row>
    <row r="28" spans="2:16" x14ac:dyDescent="0.25">
      <c r="B28" s="49" t="s">
        <v>49</v>
      </c>
      <c r="E28" s="12">
        <v>5</v>
      </c>
      <c r="F28" s="11">
        <f>F27*1.04</f>
        <v>1168.3582652851203</v>
      </c>
      <c r="G28" s="11">
        <f t="shared" si="2"/>
        <v>389.45275509504012</v>
      </c>
      <c r="H28" s="16">
        <f t="shared" si="5"/>
        <v>178707.56089417267</v>
      </c>
      <c r="I28" s="19">
        <f t="shared" ref="I28:I30" si="6">SUM(F39:K39)+L22</f>
        <v>88621.461106023315</v>
      </c>
      <c r="J28" s="15">
        <f t="shared" si="3"/>
        <v>90086.099788149353</v>
      </c>
      <c r="K28" s="18">
        <f t="shared" si="4"/>
        <v>101361.43343318711</v>
      </c>
      <c r="L28" s="13"/>
      <c r="N28" s="13"/>
      <c r="O28" s="13"/>
      <c r="P28" s="13"/>
    </row>
    <row r="29" spans="2:16" x14ac:dyDescent="0.25">
      <c r="B29" s="33" t="s">
        <v>50</v>
      </c>
      <c r="C29" s="48">
        <f>SUM(M4:M6)</f>
        <v>86.97</v>
      </c>
      <c r="E29" s="12">
        <v>6</v>
      </c>
      <c r="F29" s="11">
        <f t="shared" ref="F29:F30" si="7">F28*1.03</f>
        <v>1203.4090132436738</v>
      </c>
      <c r="G29" s="11">
        <f t="shared" si="2"/>
        <v>401.13633774789128</v>
      </c>
      <c r="H29" s="16">
        <f t="shared" si="5"/>
        <v>184068.78772099785</v>
      </c>
      <c r="I29" s="19">
        <f t="shared" si="6"/>
        <v>88414.251269779779</v>
      </c>
      <c r="J29" s="15">
        <f t="shared" si="3"/>
        <v>95654.536451218068</v>
      </c>
      <c r="K29" s="18">
        <f t="shared" si="4"/>
        <v>197015.96988440517</v>
      </c>
      <c r="L29" s="13"/>
      <c r="M29" s="13"/>
      <c r="N29" s="13"/>
      <c r="O29" s="14"/>
      <c r="P29" s="13"/>
    </row>
    <row r="30" spans="2:16" x14ac:dyDescent="0.25">
      <c r="E30" s="12">
        <v>7</v>
      </c>
      <c r="F30" s="11">
        <f t="shared" si="7"/>
        <v>1239.5112836409842</v>
      </c>
      <c r="G30" s="11">
        <f t="shared" si="2"/>
        <v>413.17042788032808</v>
      </c>
      <c r="H30" s="16">
        <f t="shared" si="5"/>
        <v>189590.8513526278</v>
      </c>
      <c r="I30" s="19">
        <f t="shared" si="6"/>
        <v>88900.978807873194</v>
      </c>
      <c r="J30" s="15">
        <f t="shared" si="3"/>
        <v>100689.8725447546</v>
      </c>
      <c r="K30" s="18">
        <f t="shared" si="4"/>
        <v>297705.84242915979</v>
      </c>
      <c r="L30" s="13"/>
      <c r="M30" s="13"/>
      <c r="N30" s="13"/>
      <c r="O30" s="13"/>
      <c r="P30" s="13"/>
    </row>
    <row r="31" spans="2:16" x14ac:dyDescent="0.25">
      <c r="L31" s="13"/>
      <c r="M31" s="13"/>
      <c r="N31" s="13"/>
      <c r="O31" s="14"/>
      <c r="P31" s="13"/>
    </row>
    <row r="32" spans="2:16" x14ac:dyDescent="0.25">
      <c r="L32" s="13"/>
      <c r="M32" s="13"/>
      <c r="N32" s="13"/>
      <c r="O32" s="14"/>
      <c r="P32" s="13"/>
    </row>
    <row r="33" spans="2:16" x14ac:dyDescent="0.25">
      <c r="B33" s="44" t="s">
        <v>51</v>
      </c>
      <c r="C33" s="57"/>
      <c r="L33" s="13"/>
      <c r="M33" s="13"/>
      <c r="N33" s="13"/>
      <c r="O33" s="14"/>
      <c r="P33" s="13"/>
    </row>
    <row r="34" spans="2:16" x14ac:dyDescent="0.25">
      <c r="B34" s="15" t="s">
        <v>52</v>
      </c>
      <c r="C34" s="20">
        <f>G24*C29</f>
        <v>21740.979068640001</v>
      </c>
      <c r="E34" s="42" t="s">
        <v>53</v>
      </c>
      <c r="F34" s="43" t="s">
        <v>54</v>
      </c>
      <c r="G34" s="43" t="s">
        <v>25</v>
      </c>
      <c r="H34" s="43" t="s">
        <v>55</v>
      </c>
      <c r="I34" s="43" t="s">
        <v>56</v>
      </c>
      <c r="J34" s="43" t="s">
        <v>57</v>
      </c>
      <c r="K34" s="43" t="s">
        <v>58</v>
      </c>
      <c r="L34" s="13"/>
      <c r="M34" s="13"/>
      <c r="N34" s="13"/>
      <c r="O34" s="13"/>
      <c r="P34" s="13"/>
    </row>
    <row r="35" spans="2:16" x14ac:dyDescent="0.25">
      <c r="B35" s="15" t="s">
        <v>59</v>
      </c>
      <c r="C35" s="15">
        <f>L18</f>
        <v>153040</v>
      </c>
      <c r="E35" s="60">
        <v>1</v>
      </c>
      <c r="F35" s="21">
        <f>G24*$C$29</f>
        <v>21740.979068640001</v>
      </c>
      <c r="G35" s="22">
        <f>G24*($L$14)</f>
        <v>24998.251200000002</v>
      </c>
      <c r="H35" s="22">
        <f t="shared" ref="H35:H41" si="8">G24*$L$15</f>
        <v>8749.387920000001</v>
      </c>
      <c r="I35" s="22">
        <f t="shared" ref="I35:I41" si="9">(SUM($L$8)*365*24*2)</f>
        <v>2190</v>
      </c>
      <c r="J35" s="15">
        <v>50000</v>
      </c>
      <c r="K35" s="15">
        <v>20000</v>
      </c>
      <c r="L35" s="13"/>
      <c r="M35" s="13"/>
      <c r="N35" s="13"/>
      <c r="O35" s="14"/>
      <c r="P35" s="13"/>
    </row>
    <row r="36" spans="2:16" x14ac:dyDescent="0.25">
      <c r="E36" s="60">
        <v>2</v>
      </c>
      <c r="F36" s="21">
        <f t="shared" ref="F36:F41" si="10">(G25-G24)*$C$29</f>
        <v>7246.9930228800004</v>
      </c>
      <c r="G36" s="22">
        <f t="shared" ref="G36:G41" si="11">(G25-G24)*$L$14</f>
        <v>8332.7504000000008</v>
      </c>
      <c r="H36" s="22">
        <f t="shared" si="8"/>
        <v>11665.850560000001</v>
      </c>
      <c r="I36" s="22">
        <f t="shared" si="9"/>
        <v>2190</v>
      </c>
      <c r="J36" s="15">
        <v>50000</v>
      </c>
      <c r="K36" s="15">
        <v>20000</v>
      </c>
      <c r="L36" s="13"/>
      <c r="M36" s="13"/>
      <c r="N36" s="13"/>
      <c r="O36" s="14"/>
      <c r="P36" s="13"/>
    </row>
    <row r="37" spans="2:16" x14ac:dyDescent="0.25">
      <c r="B37" s="61" t="s">
        <v>60</v>
      </c>
      <c r="C37" s="33" t="s">
        <v>61</v>
      </c>
      <c r="E37" s="60">
        <v>3</v>
      </c>
      <c r="F37" s="21">
        <f t="shared" si="10"/>
        <v>2029.1580464064041</v>
      </c>
      <c r="G37" s="22">
        <f t="shared" si="11"/>
        <v>2333.1701120000048</v>
      </c>
      <c r="H37" s="22">
        <f t="shared" si="8"/>
        <v>12482.460099200001</v>
      </c>
      <c r="I37" s="22">
        <f t="shared" si="9"/>
        <v>2190</v>
      </c>
      <c r="J37" s="15">
        <v>50000</v>
      </c>
      <c r="K37" s="15">
        <v>20000</v>
      </c>
      <c r="L37" s="13"/>
      <c r="M37" s="13"/>
      <c r="N37" s="13"/>
      <c r="O37" s="13"/>
      <c r="P37" s="13"/>
    </row>
    <row r="38" spans="2:16" x14ac:dyDescent="0.25">
      <c r="B38" s="45">
        <v>300000</v>
      </c>
      <c r="C38" s="50">
        <v>0.03</v>
      </c>
      <c r="E38" s="60">
        <v>4</v>
      </c>
      <c r="F38" s="21">
        <f t="shared" si="10"/>
        <v>1550.8565068963242</v>
      </c>
      <c r="G38" s="22">
        <f t="shared" si="11"/>
        <v>1783.2085856000049</v>
      </c>
      <c r="H38" s="22">
        <f t="shared" si="8"/>
        <v>13106.583104160003</v>
      </c>
      <c r="I38" s="22">
        <f t="shared" si="9"/>
        <v>2190</v>
      </c>
      <c r="J38" s="15">
        <v>50000</v>
      </c>
      <c r="K38" s="15">
        <v>20000</v>
      </c>
      <c r="L38" s="13"/>
      <c r="M38" s="13"/>
      <c r="N38" s="13"/>
      <c r="O38" s="14"/>
      <c r="P38" s="13"/>
    </row>
    <row r="39" spans="2:16" x14ac:dyDescent="0.25">
      <c r="E39" s="60">
        <v>5</v>
      </c>
      <c r="F39" s="21">
        <f t="shared" si="10"/>
        <v>1302.719465792909</v>
      </c>
      <c r="G39" s="22">
        <f t="shared" si="11"/>
        <v>1497.8952119040002</v>
      </c>
      <c r="H39" s="22">
        <f t="shared" si="8"/>
        <v>13630.846428326404</v>
      </c>
      <c r="I39" s="22">
        <f t="shared" si="9"/>
        <v>2190</v>
      </c>
      <c r="J39" s="15">
        <v>50000</v>
      </c>
      <c r="K39" s="15">
        <v>20000</v>
      </c>
      <c r="L39" s="13"/>
      <c r="M39" s="13"/>
      <c r="N39" s="13"/>
      <c r="O39" s="14"/>
      <c r="P39" s="13"/>
    </row>
    <row r="40" spans="2:16" x14ac:dyDescent="0.25">
      <c r="B40" s="61" t="s">
        <v>62</v>
      </c>
      <c r="E40" s="60">
        <v>6</v>
      </c>
      <c r="F40" s="21">
        <f t="shared" si="10"/>
        <v>1016.1211833184651</v>
      </c>
      <c r="G40" s="22">
        <f t="shared" si="11"/>
        <v>1168.3582652851157</v>
      </c>
      <c r="H40" s="22">
        <f t="shared" si="8"/>
        <v>14039.771821176195</v>
      </c>
      <c r="I40" s="22">
        <f t="shared" si="9"/>
        <v>2190</v>
      </c>
      <c r="J40" s="15">
        <v>50000</v>
      </c>
      <c r="K40" s="15">
        <v>20000</v>
      </c>
      <c r="L40" s="13"/>
      <c r="M40" s="13"/>
      <c r="N40" s="13"/>
      <c r="O40" s="14"/>
      <c r="P40" s="13"/>
    </row>
    <row r="41" spans="2:16" x14ac:dyDescent="0.25">
      <c r="B41" s="47">
        <v>4</v>
      </c>
      <c r="C41" s="33" t="s">
        <v>63</v>
      </c>
      <c r="E41" s="60">
        <v>7</v>
      </c>
      <c r="F41" s="21">
        <f t="shared" si="10"/>
        <v>1046.6048188180287</v>
      </c>
      <c r="G41" s="22">
        <f t="shared" si="11"/>
        <v>1203.4090132436802</v>
      </c>
      <c r="H41" s="22">
        <f t="shared" si="8"/>
        <v>14460.964975811483</v>
      </c>
      <c r="I41" s="22">
        <f t="shared" si="9"/>
        <v>2190</v>
      </c>
      <c r="J41" s="15">
        <v>50000</v>
      </c>
      <c r="K41" s="15">
        <v>20000</v>
      </c>
      <c r="L41" s="13"/>
      <c r="M41" s="13"/>
      <c r="N41" s="13"/>
      <c r="O41" s="13"/>
      <c r="P41" s="13"/>
    </row>
    <row r="42" spans="2:16" x14ac:dyDescent="0.25">
      <c r="L42" s="13"/>
      <c r="M42" s="13"/>
      <c r="N42" s="13"/>
      <c r="O42" s="14"/>
      <c r="P42" s="13"/>
    </row>
    <row r="43" spans="2:16" x14ac:dyDescent="0.25">
      <c r="J43" s="10"/>
    </row>
    <row r="44" spans="2:16" x14ac:dyDescent="0.25">
      <c r="E44" t="s">
        <v>64</v>
      </c>
      <c r="J44" s="10"/>
    </row>
    <row r="45" spans="2:16" x14ac:dyDescent="0.25">
      <c r="E45" t="s">
        <v>65</v>
      </c>
      <c r="J45" s="10"/>
    </row>
    <row r="46" spans="2:16" x14ac:dyDescent="0.25">
      <c r="B46" s="62">
        <f>((B38/B41)*(1+C38))</f>
        <v>77250</v>
      </c>
      <c r="J46" s="10"/>
    </row>
    <row r="47" spans="2:16" x14ac:dyDescent="0.25">
      <c r="E47" s="58" t="s">
        <v>66</v>
      </c>
      <c r="F47" s="59">
        <f>SUMPRODUCT(J24:J27,P3:P6)</f>
        <v>10742.906455703394</v>
      </c>
      <c r="J47" s="10"/>
    </row>
    <row r="48" spans="2:16" x14ac:dyDescent="0.25">
      <c r="E48" t="s">
        <v>67</v>
      </c>
      <c r="F48" s="63">
        <f>(F47)/B38*100</f>
        <v>3.5809688185677979</v>
      </c>
    </row>
    <row r="49" spans="2:6" x14ac:dyDescent="0.25">
      <c r="F49" s="10"/>
    </row>
    <row r="50" spans="2:6" x14ac:dyDescent="0.25">
      <c r="F50" s="10"/>
    </row>
    <row r="51" spans="2:6" x14ac:dyDescent="0.25">
      <c r="F51" s="10"/>
    </row>
    <row r="52" spans="2:6" ht="14.45" customHeight="1" x14ac:dyDescent="0.25">
      <c r="F52" s="10"/>
    </row>
    <row r="53" spans="2:6" x14ac:dyDescent="0.25">
      <c r="F53" s="10"/>
    </row>
    <row r="57" spans="2:6" x14ac:dyDescent="0.25">
      <c r="B57" s="5"/>
    </row>
    <row r="58" spans="2:6" x14ac:dyDescent="0.25">
      <c r="B58" s="5"/>
    </row>
  </sheetData>
  <mergeCells count="13">
    <mergeCell ref="J19:K19"/>
    <mergeCell ref="J2:K3"/>
    <mergeCell ref="J13:L13"/>
    <mergeCell ref="J15:K15"/>
    <mergeCell ref="J14:K14"/>
    <mergeCell ref="J17:L17"/>
    <mergeCell ref="J18:K18"/>
    <mergeCell ref="J11:K11"/>
    <mergeCell ref="J10:K10"/>
    <mergeCell ref="J5:J6"/>
    <mergeCell ref="J7:L7"/>
    <mergeCell ref="J8:K8"/>
    <mergeCell ref="J9:K9"/>
  </mergeCells>
  <conditionalFormatting sqref="F35:K41">
    <cfRule type="cellIs" dxfId="5" priority="1" operator="greaterThan">
      <formula>0</formula>
    </cfRule>
  </conditionalFormatting>
  <conditionalFormatting sqref="H24:H30">
    <cfRule type="cellIs" dxfId="4" priority="3" operator="greaterThan">
      <formula>0</formula>
    </cfRule>
  </conditionalFormatting>
  <conditionalFormatting sqref="I24:I30">
    <cfRule type="cellIs" dxfId="3" priority="4" operator="greaterThan">
      <formula>0</formula>
    </cfRule>
  </conditionalFormatting>
  <conditionalFormatting sqref="J24:K30">
    <cfRule type="cellIs" dxfId="2" priority="5" operator="lessThan">
      <formula>0</formula>
    </cfRule>
    <cfRule type="cellIs" dxfId="1" priority="6" operator="greaterThan">
      <formula>0</formula>
    </cfRule>
  </conditionalFormatting>
  <conditionalFormatting sqref="K24:K30">
    <cfRule type="cellIs" dxfId="0" priority="7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0CB5F-680B-4B13-A177-763F3D30F46A}">
  <dimension ref="C5:G30"/>
  <sheetViews>
    <sheetView workbookViewId="0">
      <selection activeCell="I21" sqref="I21"/>
    </sheetView>
  </sheetViews>
  <sheetFormatPr defaultColWidth="8.85546875" defaultRowHeight="15" x14ac:dyDescent="0.25"/>
  <cols>
    <col min="3" max="3" width="28" customWidth="1"/>
    <col min="4" max="4" width="13.42578125" customWidth="1"/>
    <col min="5" max="5" width="9.85546875" bestFit="1" customWidth="1"/>
    <col min="7" max="7" width="12.42578125" bestFit="1" customWidth="1"/>
  </cols>
  <sheetData>
    <row r="5" spans="3:7" ht="15.75" x14ac:dyDescent="0.25">
      <c r="C5" s="54" t="s">
        <v>68</v>
      </c>
      <c r="D5" s="54" t="s">
        <v>69</v>
      </c>
      <c r="E5" s="54" t="s">
        <v>70</v>
      </c>
      <c r="F5" s="54" t="s">
        <v>71</v>
      </c>
      <c r="G5" s="54" t="s">
        <v>72</v>
      </c>
    </row>
    <row r="6" spans="3:7" x14ac:dyDescent="0.25">
      <c r="C6" s="55" t="s">
        <v>73</v>
      </c>
      <c r="D6" s="55"/>
      <c r="E6" s="55"/>
      <c r="F6" s="56"/>
      <c r="G6" s="55"/>
    </row>
    <row r="7" spans="3:7" x14ac:dyDescent="0.25">
      <c r="C7" s="33" t="s">
        <v>74</v>
      </c>
      <c r="D7" s="33" t="s">
        <v>75</v>
      </c>
      <c r="E7" s="64">
        <v>244</v>
      </c>
      <c r="F7" s="45">
        <v>40</v>
      </c>
      <c r="G7" s="45">
        <f>F7*E7</f>
        <v>9760</v>
      </c>
    </row>
    <row r="8" spans="3:7" x14ac:dyDescent="0.25">
      <c r="C8" s="33" t="s">
        <v>76</v>
      </c>
      <c r="D8" s="33" t="s">
        <v>75</v>
      </c>
      <c r="E8" s="65">
        <v>216</v>
      </c>
      <c r="F8" s="45">
        <v>30</v>
      </c>
      <c r="G8" s="45">
        <f>F8*E8</f>
        <v>6480</v>
      </c>
    </row>
    <row r="9" spans="3:7" x14ac:dyDescent="0.25">
      <c r="C9" s="33" t="s">
        <v>77</v>
      </c>
      <c r="D9" s="33" t="s">
        <v>75</v>
      </c>
      <c r="E9" s="65">
        <v>4944</v>
      </c>
      <c r="F9" s="45">
        <v>25</v>
      </c>
      <c r="G9" s="45">
        <f>F9*E9</f>
        <v>123600</v>
      </c>
    </row>
    <row r="10" spans="3:7" x14ac:dyDescent="0.25">
      <c r="C10" s="33" t="s">
        <v>78</v>
      </c>
      <c r="D10" s="33" t="s">
        <v>75</v>
      </c>
      <c r="E10" s="65">
        <v>440</v>
      </c>
      <c r="F10" s="45">
        <v>30</v>
      </c>
      <c r="G10" s="45">
        <f>F10*E10</f>
        <v>13200</v>
      </c>
    </row>
    <row r="11" spans="3:7" x14ac:dyDescent="0.25">
      <c r="G11" s="1">
        <f>SUM(G7:G10)</f>
        <v>153040</v>
      </c>
    </row>
    <row r="12" spans="3:7" x14ac:dyDescent="0.25">
      <c r="C12" s="55" t="s">
        <v>54</v>
      </c>
      <c r="D12" s="55"/>
      <c r="E12" s="55"/>
      <c r="F12" s="56"/>
      <c r="G12" s="55"/>
    </row>
    <row r="13" spans="3:7" x14ac:dyDescent="0.25">
      <c r="C13" s="33" t="s">
        <v>79</v>
      </c>
      <c r="D13" s="33" t="s">
        <v>75</v>
      </c>
      <c r="E13" s="33">
        <f>365*24*2</f>
        <v>17520</v>
      </c>
      <c r="F13" s="45">
        <f>'Viabilidad Economica'!L8</f>
        <v>0.125</v>
      </c>
      <c r="G13" s="45">
        <f>F13*E13</f>
        <v>2190</v>
      </c>
    </row>
    <row r="14" spans="3:7" x14ac:dyDescent="0.25">
      <c r="C14" s="33" t="s">
        <v>13</v>
      </c>
      <c r="D14" s="33" t="s">
        <v>80</v>
      </c>
      <c r="E14" s="33">
        <v>250</v>
      </c>
      <c r="F14" s="45">
        <v>21.6</v>
      </c>
      <c r="G14" s="45">
        <f>F14*E14</f>
        <v>5400</v>
      </c>
    </row>
    <row r="15" spans="3:7" x14ac:dyDescent="0.25">
      <c r="C15" s="33" t="s">
        <v>15</v>
      </c>
      <c r="D15" s="33" t="s">
        <v>80</v>
      </c>
      <c r="E15" s="33">
        <v>250</v>
      </c>
      <c r="F15" s="45">
        <v>23.97</v>
      </c>
      <c r="G15" s="45">
        <f t="shared" ref="G15:G16" si="0">F15*E15</f>
        <v>5992.5</v>
      </c>
    </row>
    <row r="16" spans="3:7" x14ac:dyDescent="0.25">
      <c r="C16" s="33" t="s">
        <v>81</v>
      </c>
      <c r="D16" s="33" t="s">
        <v>80</v>
      </c>
      <c r="E16" s="33">
        <v>250</v>
      </c>
      <c r="F16" s="45">
        <v>41.4</v>
      </c>
      <c r="G16" s="45">
        <f t="shared" si="0"/>
        <v>10350</v>
      </c>
    </row>
    <row r="17" spans="3:7" x14ac:dyDescent="0.25">
      <c r="G17" s="1">
        <f>SUM(G13:G16)</f>
        <v>23932.5</v>
      </c>
    </row>
    <row r="18" spans="3:7" x14ac:dyDescent="0.25">
      <c r="C18" s="55" t="s">
        <v>82</v>
      </c>
      <c r="D18" s="55"/>
      <c r="E18" s="55"/>
      <c r="F18" s="56"/>
      <c r="G18" s="55"/>
    </row>
    <row r="19" spans="3:7" x14ac:dyDescent="0.25">
      <c r="C19" s="33" t="s">
        <v>83</v>
      </c>
      <c r="D19" s="33" t="s">
        <v>80</v>
      </c>
      <c r="E19" s="33">
        <v>10</v>
      </c>
      <c r="F19" s="45">
        <v>100</v>
      </c>
      <c r="G19" s="45">
        <f>F19*E19</f>
        <v>1000</v>
      </c>
    </row>
    <row r="20" spans="3:7" x14ac:dyDescent="0.25">
      <c r="C20" s="33" t="s">
        <v>55</v>
      </c>
      <c r="D20" s="33" t="s">
        <v>80</v>
      </c>
      <c r="E20" s="33">
        <v>10</v>
      </c>
      <c r="F20" s="45">
        <v>35</v>
      </c>
      <c r="G20" s="45">
        <f>F20*E20</f>
        <v>350</v>
      </c>
    </row>
    <row r="21" spans="3:7" x14ac:dyDescent="0.25">
      <c r="G21" s="1">
        <f>SUM(G19:G20)</f>
        <v>1350</v>
      </c>
    </row>
    <row r="23" spans="3:7" x14ac:dyDescent="0.25">
      <c r="F23" t="s">
        <v>84</v>
      </c>
      <c r="G23" s="1">
        <f>SUM(G7:G10,G13:G16,G19:G20)</f>
        <v>178322.5</v>
      </c>
    </row>
    <row r="25" spans="3:7" x14ac:dyDescent="0.25">
      <c r="C25" t="s">
        <v>85</v>
      </c>
      <c r="D25" s="1">
        <f>G23*0.12</f>
        <v>21398.7</v>
      </c>
    </row>
    <row r="26" spans="3:7" x14ac:dyDescent="0.25">
      <c r="C26" t="s">
        <v>86</v>
      </c>
      <c r="D26" s="1">
        <f>G23*0.06</f>
        <v>10699.35</v>
      </c>
    </row>
    <row r="28" spans="3:7" x14ac:dyDescent="0.25">
      <c r="C28" t="s">
        <v>87</v>
      </c>
      <c r="D28" s="1">
        <f>SUM(D25:D26,G23)</f>
        <v>210420.55</v>
      </c>
    </row>
    <row r="29" spans="3:7" x14ac:dyDescent="0.25">
      <c r="C29" t="s">
        <v>88</v>
      </c>
      <c r="D29" s="1">
        <f>D28*0.21</f>
        <v>44188.315499999997</v>
      </c>
    </row>
    <row r="30" spans="3:7" x14ac:dyDescent="0.25">
      <c r="C30" t="s">
        <v>89</v>
      </c>
      <c r="D30" s="1">
        <f>D29+D28</f>
        <v>254608.86549999999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3760B57A9050A41B8ECD167852D12BD" ma:contentTypeVersion="13" ma:contentTypeDescription="Crear nuevo documento." ma:contentTypeScope="" ma:versionID="eac238aecdab541038108c888c49e31e">
  <xsd:schema xmlns:xsd="http://www.w3.org/2001/XMLSchema" xmlns:xs="http://www.w3.org/2001/XMLSchema" xmlns:p="http://schemas.microsoft.com/office/2006/metadata/properties" xmlns:ns2="101eaf33-1701-464d-baef-164c6127d51f" xmlns:ns3="4c77c7d1-2bb2-481b-aefe-101f32e9588a" targetNamespace="http://schemas.microsoft.com/office/2006/metadata/properties" ma:root="true" ma:fieldsID="efe92b1ac631852ba9ae12b231089a75" ns2:_="" ns3:_="">
    <xsd:import namespace="101eaf33-1701-464d-baef-164c6127d51f"/>
    <xsd:import namespace="4c77c7d1-2bb2-481b-aefe-101f32e958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1eaf33-1701-464d-baef-164c6127d5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efd49586-4e9d-4401-97cc-84a6e35ca03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77c7d1-2bb2-481b-aefe-101f32e9588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7ce39c9-688e-4411-9501-255c93ef6400}" ma:internalName="TaxCatchAll" ma:showField="CatchAllData" ma:web="4c77c7d1-2bb2-481b-aefe-101f32e9588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c77c7d1-2bb2-481b-aefe-101f32e9588a" xsi:nil="true"/>
    <lcf76f155ced4ddcb4097134ff3c332f xmlns="101eaf33-1701-464d-baef-164c6127d51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7002EE9-020F-4C8A-BD4A-A4DFD95058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1eaf33-1701-464d-baef-164c6127d51f"/>
    <ds:schemaRef ds:uri="4c77c7d1-2bb2-481b-aefe-101f32e958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76B673B-D3A6-4140-BCA7-BB68D279E5E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A2ADB75-6814-4B16-9DD3-A644CE2D97A4}">
  <ds:schemaRefs>
    <ds:schemaRef ds:uri="4c77c7d1-2bb2-481b-aefe-101f32e9588a"/>
    <ds:schemaRef ds:uri="http://schemas.microsoft.com/office/2006/metadata/properties"/>
    <ds:schemaRef ds:uri="http://purl.org/dc/terms/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www.w3.org/XML/1998/namespace"/>
    <ds:schemaRef ds:uri="101eaf33-1701-464d-baef-164c6127d51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Viabilidad Economica</vt:lpstr>
      <vt:lpstr>Presupuesto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Alejandro Rodríguez López</cp:lastModifiedBy>
  <cp:revision/>
  <dcterms:created xsi:type="dcterms:W3CDTF">2006-09-16T00:00:00Z</dcterms:created>
  <dcterms:modified xsi:type="dcterms:W3CDTF">2024-04-27T18:29:47Z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0x01010083760B57A9050A41B8ECD167852D12BD</vt:lpwstr>
  </property>
  <property fmtid="{D5CDD505-2E9C-101B-9397-08002B2CF9AE}" pid="3" name="MediaServiceImageTags">
    <vt:lpwstr/>
  </property>
</Properties>
</file>