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4"/>
  <workbookPr/>
  <mc:AlternateContent xmlns:mc="http://schemas.openxmlformats.org/markup-compatibility/2006">
    <mc:Choice Requires="x15">
      <x15ac:absPath xmlns:x15ac="http://schemas.microsoft.com/office/spreadsheetml/2010/11/ac" url="C:\Users\UO281827\Downloads\"/>
    </mc:Choice>
  </mc:AlternateContent>
  <xr:revisionPtr revIDLastSave="269" documentId="11_F80D1A3E60D14B8DA7FFF76A6A90134E433D95DF" xr6:coauthVersionLast="47" xr6:coauthVersionMax="47" xr10:uidLastSave="{85DBDFC3-88A4-4096-9C5F-9E26119F5B31}"/>
  <bookViews>
    <workbookView xWindow="0" yWindow="0" windowWidth="28800" windowHeight="12330" activeTab="1" xr2:uid="{00000000-000D-0000-FFFF-FFFF00000000}"/>
  </bookViews>
  <sheets>
    <sheet name="Presupuesto" sheetId="3" r:id="rId1"/>
    <sheet name="Viabilidad Económica" sheetId="7"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4" i="7" l="1"/>
  <c r="B23" i="7"/>
  <c r="F6" i="7"/>
  <c r="T5" i="7"/>
  <c r="T6" i="7"/>
  <c r="B29" i="7"/>
  <c r="Q10" i="7"/>
  <c r="B44" i="7"/>
  <c r="Q6" i="7" s="1"/>
  <c r="B43" i="7"/>
  <c r="B31" i="7"/>
  <c r="T15" i="7"/>
  <c r="R15" i="7"/>
  <c r="Q15" i="7"/>
  <c r="B16" i="7"/>
  <c r="B18" i="7" s="1"/>
  <c r="T14" i="7"/>
  <c r="R14" i="7"/>
  <c r="Q14" i="7"/>
  <c r="T13" i="7"/>
  <c r="R13" i="7"/>
  <c r="Q13" i="7"/>
  <c r="T12" i="7"/>
  <c r="R12" i="7"/>
  <c r="Q12" i="7"/>
  <c r="T11" i="7"/>
  <c r="R11" i="7"/>
  <c r="Q11" i="7"/>
  <c r="T10" i="7"/>
  <c r="R10" i="7"/>
  <c r="T9" i="7"/>
  <c r="R9" i="7"/>
  <c r="T8" i="7"/>
  <c r="R8" i="7"/>
  <c r="B8" i="7"/>
  <c r="T7" i="7"/>
  <c r="R7" i="7"/>
  <c r="F7" i="7"/>
  <c r="F8" i="7" s="1"/>
  <c r="E7" i="7"/>
  <c r="G7" i="7" s="1"/>
  <c r="R6" i="7"/>
  <c r="P6" i="7"/>
  <c r="J6" i="7"/>
  <c r="K6" i="7" s="1"/>
  <c r="L6" i="7" s="1"/>
  <c r="E6" i="7"/>
  <c r="O6" i="7" s="1"/>
  <c r="Q5" i="7"/>
  <c r="M5" i="7"/>
  <c r="F5" i="7"/>
  <c r="E5" i="7"/>
  <c r="G5" i="7" s="1"/>
  <c r="B5" i="7"/>
  <c r="B47" i="7" l="1"/>
  <c r="Q9" i="7" s="1"/>
  <c r="B46" i="7"/>
  <c r="Q8" i="7" s="1"/>
  <c r="B45" i="7"/>
  <c r="Q7" i="7" s="1"/>
  <c r="P5" i="7"/>
  <c r="J5" i="7"/>
  <c r="U6" i="7"/>
  <c r="V6" i="7" s="1"/>
  <c r="P8" i="7"/>
  <c r="J8" i="7"/>
  <c r="F9" i="7"/>
  <c r="E8" i="7"/>
  <c r="H7" i="7"/>
  <c r="H5" i="7"/>
  <c r="I5" i="7" s="1"/>
  <c r="O7" i="7"/>
  <c r="O5" i="7"/>
  <c r="U5" i="7"/>
  <c r="V5" i="7" s="1"/>
  <c r="G6" i="7"/>
  <c r="J7" i="7"/>
  <c r="P7" i="7"/>
  <c r="K5" i="7"/>
  <c r="L5" i="7" s="1"/>
  <c r="U7" i="7" l="1"/>
  <c r="V7" i="7" s="1"/>
  <c r="K7" i="7"/>
  <c r="L7" i="7" s="1"/>
  <c r="O8" i="7"/>
  <c r="G8" i="7"/>
  <c r="H6" i="7"/>
  <c r="P9" i="7"/>
  <c r="E9" i="7"/>
  <c r="J9" i="7"/>
  <c r="F10" i="7"/>
  <c r="U8" i="7"/>
  <c r="V8" i="7" s="1"/>
  <c r="K8" i="7"/>
  <c r="L8" i="7" s="1"/>
  <c r="N5" i="7"/>
  <c r="I7" i="7"/>
  <c r="N7" i="7" s="1"/>
  <c r="K9" i="7" l="1"/>
  <c r="L9" i="7" s="1"/>
  <c r="U9" i="7"/>
  <c r="V9" i="7" s="1"/>
  <c r="G9" i="7"/>
  <c r="O9" i="7"/>
  <c r="P10" i="7"/>
  <c r="J10" i="7"/>
  <c r="F11" i="7"/>
  <c r="E10" i="7"/>
  <c r="H8" i="7"/>
  <c r="I8" i="7" s="1"/>
  <c r="I6" i="7"/>
  <c r="N6" i="7" s="1"/>
  <c r="U10" i="7" l="1"/>
  <c r="V10" i="7" s="1"/>
  <c r="K10" i="7"/>
  <c r="L10" i="7" s="1"/>
  <c r="J11" i="7"/>
  <c r="E11" i="7"/>
  <c r="P11" i="7"/>
  <c r="F12" i="7"/>
  <c r="N8" i="7"/>
  <c r="O10" i="7"/>
  <c r="G10" i="7"/>
  <c r="H9" i="7"/>
  <c r="K11" i="7" l="1"/>
  <c r="L11" i="7" s="1"/>
  <c r="U11" i="7"/>
  <c r="V11" i="7" s="1"/>
  <c r="G11" i="7"/>
  <c r="O11" i="7"/>
  <c r="I9" i="7"/>
  <c r="N9" i="7" s="1"/>
  <c r="P12" i="7"/>
  <c r="J12" i="7"/>
  <c r="F13" i="7"/>
  <c r="E12" i="7"/>
  <c r="H10" i="7"/>
  <c r="H11" i="7" l="1"/>
  <c r="I11" i="7" s="1"/>
  <c r="P13" i="7"/>
  <c r="J13" i="7"/>
  <c r="E13" i="7"/>
  <c r="F14" i="7"/>
  <c r="I10" i="7"/>
  <c r="N10" i="7" s="1"/>
  <c r="O12" i="7"/>
  <c r="G12" i="7"/>
  <c r="U12" i="7"/>
  <c r="V12" i="7" s="1"/>
  <c r="K12" i="7"/>
  <c r="L12" i="7" s="1"/>
  <c r="F15" i="7" l="1"/>
  <c r="P14" i="7"/>
  <c r="J14" i="7"/>
  <c r="E14" i="7"/>
  <c r="H12" i="7"/>
  <c r="G13" i="7"/>
  <c r="O13" i="7"/>
  <c r="K13" i="7"/>
  <c r="L13" i="7" s="1"/>
  <c r="U13" i="7"/>
  <c r="V13" i="7" s="1"/>
  <c r="N11" i="7"/>
  <c r="U14" i="7" l="1"/>
  <c r="V14" i="7" s="1"/>
  <c r="K14" i="7"/>
  <c r="L14" i="7" s="1"/>
  <c r="G14" i="7"/>
  <c r="O14" i="7"/>
  <c r="H13" i="7"/>
  <c r="I13" i="7" s="1"/>
  <c r="E15" i="7"/>
  <c r="P15" i="7"/>
  <c r="J15" i="7"/>
  <c r="I12" i="7"/>
  <c r="N12" i="7" s="1"/>
  <c r="U15" i="7" l="1"/>
  <c r="V15" i="7" s="1"/>
  <c r="K15" i="7"/>
  <c r="L15" i="7" s="1"/>
  <c r="O15" i="7"/>
  <c r="G15" i="7"/>
  <c r="H14" i="7"/>
  <c r="N13" i="7"/>
  <c r="I14" i="7" l="1"/>
  <c r="N14" i="7" s="1"/>
  <c r="H15" i="7"/>
  <c r="I15" i="7" l="1"/>
  <c r="N15" i="7" s="1"/>
  <c r="G20" i="3" l="1"/>
  <c r="G19" i="3"/>
  <c r="E13" i="3"/>
  <c r="G13" i="3"/>
  <c r="B32" i="7" s="1"/>
  <c r="G9" i="3"/>
  <c r="G10" i="3"/>
  <c r="G15" i="3"/>
  <c r="G16" i="3"/>
  <c r="G14" i="3"/>
  <c r="G8" i="3"/>
  <c r="G7" i="3"/>
  <c r="B37" i="7" l="1"/>
  <c r="B51" i="7"/>
  <c r="G21" i="3"/>
  <c r="G11" i="3"/>
  <c r="G17" i="3"/>
  <c r="G23" i="3" s="1"/>
  <c r="M13" i="7" l="1"/>
  <c r="S13" i="7" s="1"/>
  <c r="M11" i="7"/>
  <c r="S11" i="7" s="1"/>
  <c r="M9" i="7"/>
  <c r="S9" i="7" s="1"/>
  <c r="M12" i="7"/>
  <c r="S12" i="7" s="1"/>
  <c r="M10" i="7"/>
  <c r="S10" i="7" s="1"/>
  <c r="M7" i="7"/>
  <c r="S7" i="7" s="1"/>
  <c r="M14" i="7"/>
  <c r="S14" i="7" s="1"/>
  <c r="M8" i="7"/>
  <c r="S8" i="7" s="1"/>
  <c r="M6" i="7"/>
  <c r="S6" i="7" s="1"/>
  <c r="M15" i="7"/>
  <c r="S15" i="7" s="1"/>
  <c r="B50" i="7"/>
  <c r="R5" i="7" s="1"/>
  <c r="S5" i="7" s="1"/>
  <c r="D25" i="3"/>
  <c r="D26" i="3"/>
  <c r="W15" i="7" l="1"/>
  <c r="W6" i="7"/>
  <c r="W8" i="7"/>
  <c r="W14" i="7"/>
  <c r="W7" i="7"/>
  <c r="W10" i="7"/>
  <c r="W12" i="7"/>
  <c r="W9" i="7"/>
  <c r="W11" i="7"/>
  <c r="W13" i="7"/>
  <c r="W5" i="7"/>
  <c r="D28" i="3"/>
  <c r="D29" i="3" s="1"/>
  <c r="D30" i="3" s="1"/>
  <c r="B59" i="7" l="1"/>
  <c r="B60" i="7"/>
  <c r="X5" i="7"/>
  <c r="X6" i="7" s="1"/>
  <c r="X7" i="7" s="1"/>
  <c r="X8" i="7" s="1"/>
  <c r="X9" i="7" s="1"/>
  <c r="B61" i="7" s="1"/>
  <c r="X10" i="7" l="1"/>
  <c r="X11" i="7"/>
  <c r="X12" i="7" s="1"/>
  <c r="X13" i="7" s="1"/>
  <c r="X14" i="7" s="1"/>
  <c r="X15"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tc={E9D11A4D-A0B1-4700-9BE0-26EBEFCA90E7}</author>
    <author>tc={F9471EEC-BDF6-48EB-9039-E25D7C7665BB}</author>
    <author>tc={C93EE451-8E47-4745-96B6-2130E748E892}</author>
    <author>tc={1A75E939-88D2-4AFF-819A-11EADADF6C49}</author>
    <author>tc={BECF2B8F-EBB1-4368-BBFA-ABA512819736}</author>
    <author>tc={5ACD9095-ADFF-40ED-8185-306412BE2F51}</author>
    <author>tc={81B52959-4FAD-45F9-8292-F642F726C1B7}</author>
    <author>tc={A432559F-6B5B-441B-AC94-00C490286C17}</author>
    <author>tc={CCB76D60-4D0C-4BE3-BF51-06ADCE78D29D}</author>
    <author>tc={E0DECBF7-C9FB-43E8-AEDD-9F351C8C45A9}</author>
    <author>tc={59261AC1-7C6A-45F2-9E7E-91C88F1699DA}</author>
    <author>tc={4B659583-4EA3-431A-A458-5DD8569EEDC8}</author>
    <author>tc={7A286FAE-8D60-424E-B417-4FA472A770FB}</author>
    <author>tc={78E689C0-27CA-423D-8C1A-E4FFDB9B6FEC}</author>
    <author>tc={CDDA8073-8E64-4E8E-B5F1-688711FF3EEE}</author>
    <author>tc={1DF92396-9F51-44D3-8957-EB150084DFA0}</author>
    <author>tc={231E66B3-05B4-4A37-AF77-AE83A2584DE7}</author>
    <author>tc={6BE07068-9BC0-4921-80E2-27EF693DE012}</author>
    <author>tc={075474D1-6C82-42B2-A8FB-034416002D04}</author>
    <author>tc={89B34D30-8C87-4DC1-84A9-CC9744FF5713}</author>
    <author>tc={6B429785-F178-455C-B0A5-3541A823F7CE}</author>
    <author>tc={9FE67D37-FC0E-4432-8B54-B47078B59D56}</author>
    <author>tc={5986DBA2-130A-48DC-8861-5BE890752497}</author>
    <author>tc={87735BFA-4AD5-4DFD-B10C-8FEEEF887431}</author>
    <author>tc={3720C913-B6DB-4CDC-9D11-98039B393A95}</author>
    <author>tc={CCE7DCE9-568C-4EFA-9153-F43558337253}</author>
    <author>tc={E335E8F7-B0A7-4676-B10B-76E9ED9C759A}</author>
    <author>tc={3539814A-D138-45D7-8C44-8122CC6A92D3}</author>
    <author>tc={B63D0B92-1AB7-457C-95E5-9F37ABF65488}</author>
    <author>tc={9BE3153B-C7D5-4925-9EDA-D0E790A7DD5D}</author>
    <author>tc={EBB730DB-2DBD-46DD-A71B-CB866B98FDB0}</author>
    <author>tc={2E8489CF-98A8-4CB4-8DC4-3C10544314CF}</author>
    <author>tc={1BA7E559-9946-491E-A0BD-5B3F1ADD66ED}</author>
    <author>tc={53C93DB4-28BB-4B4C-8FC9-74D506F506BD}</author>
    <author>tc={7BC66860-B74B-4C8E-8347-868094D34FE1}</author>
    <author>tc={813A2F58-0921-40DD-86F2-2EF8E9705B4E}</author>
    <author>tc={01048914-DCB7-48F4-BD68-A1F39BF0AEE5}</author>
    <author>tc={B053D644-F3B6-4E37-91A1-0F0D86704A3C}</author>
  </authors>
  <commentList>
    <comment ref="M2" authorId="0" shapeId="0" xr:uid="{E9D11A4D-A0B1-4700-9BE0-26EBEFCA90E7}">
      <text>
        <t>[Threaded comment]
Your version of Excel allows you to read this threaded comment; however, any edits to it will get removed if the file is opened in a newer version of Excel. Learn more: https://go.microsoft.com/fwlink/?linkid=870924
Comment:
    Servidores + Personal Administrativo + Gastos corrientes de func.</t>
      </text>
    </comment>
    <comment ref="R2" authorId="1" shapeId="0" xr:uid="{F9471EEC-BDF6-48EB-9039-E25D7C7665BB}">
      <text>
        <t>[Threaded comment]
Your version of Excel allows you to read this threaded comment; however, any edits to it will get removed if the file is opened in a newer version of Excel. Learn more: https://go.microsoft.com/fwlink/?linkid=870924
Comment:
    Desarrollo sistema + stock + fase de prueba</t>
      </text>
    </comment>
    <comment ref="S2" authorId="2" shapeId="0" xr:uid="{C93EE451-8E47-4745-96B6-2130E748E892}">
      <text>
        <t>[Threaded comment]
Your version of Excel allows you to read this threaded comment; however, any edits to it will get removed if the file is opened in a newer version of Excel. Learn more: https://go.microsoft.com/fwlink/?linkid=870924
Comment:
    Total de gastos</t>
      </text>
    </comment>
    <comment ref="T2" authorId="3" shapeId="0" xr:uid="{1A75E939-88D2-4AFF-819A-11EADADF6C49}">
      <text>
        <t>[Threaded comment]
Your version of Excel allows you to read this threaded comment; however, any edits to it will get removed if the file is opened in a newer version of Excel. Learn more: https://go.microsoft.com/fwlink/?linkid=870924
Comment:
    Antes: Ingreso del préstamo 300k.
Ahora: Nada</t>
      </text>
    </comment>
    <comment ref="U2" authorId="4" shapeId="0" xr:uid="{BECF2B8F-EBB1-4368-BBFA-ABA512819736}">
      <text>
        <t>[Threaded comment]
Your version of Excel allows you to read this threaded comment; however, any edits to it will get removed if the file is opened in a newer version of Excel. Learn more: https://go.microsoft.com/fwlink/?linkid=870924
Comment:
    Ingresos por alquileres de plazas de garaje</t>
      </text>
    </comment>
    <comment ref="V2" authorId="5" shapeId="0" xr:uid="{5ACD9095-ADFF-40ED-8185-306412BE2F51}">
      <text>
        <t>[Threaded comment]
Your version of Excel allows you to read this threaded comment; however, any edits to it will get removed if the file is opened in a newer version of Excel. Learn more: https://go.microsoft.com/fwlink/?linkid=870924
Comment:
    Total de ingresos</t>
      </text>
    </comment>
    <comment ref="W2" authorId="6" shapeId="0" xr:uid="{81B52959-4FAD-45F9-8292-F642F726C1B7}">
      <text>
        <t>[Threaded comment]
Your version of Excel allows you to read this threaded comment; however, any edits to it will get removed if the file is opened in a newer version of Excel. Learn more: https://go.microsoft.com/fwlink/?linkid=870924
Comment:
    Total Ingresos - Total Gastos</t>
      </text>
    </comment>
    <comment ref="X2" authorId="7" shapeId="0" xr:uid="{A432559F-6B5B-441B-AC94-00C490286C17}">
      <text>
        <t>[Threaded comment]
Your version of Excel allows you to read this threaded comment; however, any edits to it will get removed if the file is opened in a newer version of Excel. Learn more: https://go.microsoft.com/fwlink/?linkid=870924
Comment:
    Balance acumulado</t>
      </text>
    </comment>
    <comment ref="E3" authorId="8" shapeId="0" xr:uid="{CCB76D60-4D0C-4BE3-BF51-06ADCE78D29D}">
      <text>
        <t>[Threaded comment]
Your version of Excel allows you to read this threaded comment; however, any edits to it will get removed if the file is opened in a newer version of Excel. Learn more: https://go.microsoft.com/fwlink/?linkid=870924
Comment:
    Número de garajes que se suman a P&amp;G. (Hay que pagarles HUB y sistema de apertura)</t>
      </text>
    </comment>
    <comment ref="F3" authorId="9" shapeId="0" xr:uid="{E0DECBF7-C9FB-43E8-AEDD-9F351C8C45A9}">
      <text>
        <t>[Threaded comment]
Your version of Excel allows you to read this threaded comment; however, any edits to it will get removed if the file is opened in a newer version of Excel. Learn more: https://go.microsoft.com/fwlink/?linkid=870924
Comment:
    Total de garajes en P&amp;G. (Hay que pagarles el mantenimiento)</t>
      </text>
    </comment>
    <comment ref="N3" authorId="10" shapeId="0" xr:uid="{59261AC1-7C6A-45F2-9E7E-91C88F1699DA}">
      <text>
        <t>[Threaded comment]
Your version of Excel allows you to read this threaded comment; however, any edits to it will get removed if the file is opened in a newer version of Excel. Learn more: https://go.microsoft.com/fwlink/?linkid=870924
Comment:
    Coste de medidores. Aplicado sólo a las plazas nuevas con cargador.</t>
      </text>
    </comment>
    <comment ref="O3" authorId="11" shapeId="0" xr:uid="{4B659583-4EA3-431A-A458-5DD8569EEDC8}">
      <text>
        <t>[Threaded comment]
Your version of Excel allows you to read this threaded comment; however, any edits to it will get removed if the file is opened in a newer version of Excel. Learn more: https://go.microsoft.com/fwlink/?linkid=870924
Comment:
    Coste de sistema de apertura + hub. Aplicado sólo a garajes nuevos.</t>
      </text>
    </comment>
    <comment ref="P3" authorId="12" shapeId="0" xr:uid="{7A286FAE-8D60-424E-B417-4FA472A770FB}">
      <text>
        <t>[Threaded comment]
Your version of Excel allows you to read this threaded comment; however, any edits to it will get removed if the file is opened in a newer version of Excel. Learn more: https://go.microsoft.com/fwlink/?linkid=870924
Comment:
    Coste de mantenimiento anual. Aplicado al total de garajes, antiguos + nuevos.</t>
      </text>
    </comment>
    <comment ref="Q3" authorId="13" shapeId="0" xr:uid="{78E689C0-27CA-423D-8C1A-E4FFDB9B6FEC}">
      <text>
        <t>[Threaded comment]
Your version of Excel allows you to read this threaded comment; however, any edits to it will get removed if the file is opened in a newer version of Excel. Learn more: https://go.microsoft.com/fwlink/?linkid=870924
Comment:
    Antes: Devolución del préstamo + intereses.
Ahora: Intereses</t>
      </text>
    </comment>
    <comment ref="G4" authorId="14" shapeId="0" xr:uid="{CDDA8073-8E64-4E8E-B5F1-688711FF3EEE}">
      <text>
        <t>[Threaded comment]
Your version of Excel allows you to read this threaded comment; however, any edits to it will get removed if the file is opened in a newer version of Excel. Learn more: https://go.microsoft.com/fwlink/?linkid=870924
Comment:
    Total de plazas nuevas</t>
      </text>
    </comment>
    <comment ref="H4" authorId="15" shapeId="0" xr:uid="{1DF92396-9F51-44D3-8957-EB150084DFA0}">
      <text>
        <t>[Threaded comment]
Your version of Excel allows you to read this threaded comment; however, any edits to it will get removed if the file is opened in a newer version of Excel. Learn more: https://go.microsoft.com/fwlink/?linkid=870924
Comment:
    Número de plazas nuevas sin cargador.</t>
      </text>
    </comment>
    <comment ref="I4" authorId="16" shapeId="0" xr:uid="{231E66B3-05B4-4A37-AF77-AE83A2584DE7}">
      <text>
        <t>[Threaded comment]
Your version of Excel allows you to read this threaded comment; however, any edits to it will get removed if the file is opened in a newer version of Excel. Learn more: https://go.microsoft.com/fwlink/?linkid=870924
Comment:
    Número de plazas nuevas con cargador. (Hay que pagarles el medidor)</t>
      </text>
    </comment>
    <comment ref="J4" authorId="17" shapeId="0" xr:uid="{6BE07068-9BC0-4921-80E2-27EF693DE012}">
      <text>
        <t>[Threaded comment]
Your version of Excel allows you to read this threaded comment; however, any edits to it will get removed if the file is opened in a newer version of Excel. Learn more: https://go.microsoft.com/fwlink/?linkid=870924
Comment:
    Total de plazas en P&amp;G. (Hay que cobrar los alquileres de estas plazas)</t>
      </text>
    </comment>
    <comment ref="K4" authorId="18" shapeId="0" xr:uid="{075474D1-6C82-42B2-A8FB-034416002D04}">
      <text>
        <t>[Threaded comment]
Your version of Excel allows you to read this threaded comment; however, any edits to it will get removed if the file is opened in a newer version of Excel. Learn more: https://go.microsoft.com/fwlink/?linkid=870924
Comment:
    Total de plazas sin cargador.</t>
      </text>
    </comment>
    <comment ref="L4" authorId="19" shapeId="0" xr:uid="{89B34D30-8C87-4DC1-84A9-CC9744FF5713}">
      <text>
        <t>[Threaded comment]
Your version of Excel allows you to read this threaded comment; however, any edits to it will get removed if the file is opened in a newer version of Excel. Learn more: https://go.microsoft.com/fwlink/?linkid=870924
Comment:
    Total de plazas con cargador.</t>
      </text>
    </comment>
    <comment ref="T5" authorId="20" shapeId="0" xr:uid="{6B429785-F178-455C-B0A5-3541A823F7CE}">
      <text>
        <t>[Threaded comment]
Your version of Excel allows you to read this threaded comment; however, any edits to it will get removed if the file is opened in a newer version of Excel. Learn more: https://go.microsoft.com/fwlink/?linkid=870924
Comment:
    ANTES: El préstamo se contaba como ingreso para compensar la inversión inicial. Como el préstamo era superior a la inversión, el año 0 quedaba un balance positivo. Este balance positivo servía como colchón para afrontar las instalaciones de dispositivos en los garajes del año 1. En ese año 1, el coste de realizar todas las instalaciones es superior al colchón + ingresos de ese año, por lo que ya entrabamos en rojos.
Lógicamente, también se iba devolviendo 75k€ al año para retornar el préstamo.
AHORA: No contamos el préstamo como ingreso, sólo la inversión inicial como pérdida, por lo que ahora no existe ningún colchón en ningún momento.
Lógicamente, la devolución de 75k€ al año también se ha eliminado ya que en el cálculo no estamos sumando el préstamo. Lo que sí estamos restando como gasto es el interés del 3% aplicado cada año al préstamo.
---
RAZONAMIENTO: Al haber un valor positivo en el año 0, la depreciación aplicada a las ganancias y pérdidas del resto de años en el cálculo del VAN no reducen el valor del VAN lo suficiente como para que exista un `y` tal que VAN(interés) = 0. Para todo `interés`, el `VAN(interés) &gt; 0`.</t>
      </text>
    </comment>
    <comment ref="Q6" authorId="21" shapeId="0" xr:uid="{9FE67D37-FC0E-4432-8B54-B47078B59D56}">
      <text>
        <t>[Threaded comment]
Your version of Excel allows you to read this threaded comment; however, any edits to it will get removed if the file is opened in a newer version of Excel. Learn more: https://go.microsoft.com/fwlink/?linkid=870924
Comment:
    Antes aquí se ponía como gasto también 75k€ con el objetivo de devolver el préstamo.
Ahora los 75k€ no se ponen como gasto porque no contamos como ingreso el préstamo. Sí tenemos que dejar como gasto el interés que pagamos por el dinero del préstamo.</t>
      </text>
    </comment>
    <comment ref="A7" authorId="22" shapeId="0" xr:uid="{5986DBA2-130A-48DC-8861-5BE890752497}">
      <text>
        <t>[Threaded comment]
Your version of Excel allows you to read this threaded comment; however, any edits to it will get removed if the file is opened in a newer version of Excel. Learn more: https://go.microsoft.com/fwlink/?linkid=870924
Comment:
    Si el número de plazas ofertadas por garaje es muy bajo, los ingresos reportados por esas plazas no son suficientes para compensar la instalación y el mantenimiento anual.
Se necesitaría alrededor de 100 horas alquiladas por cada garaje al mes para que sea rentable. Esas 100 horas se reparten entre el número de plazas por cada garaje: Si hay una plaza, tiene que estar ofertada 100hs, si hay 2 50hs cada una, etc etc.</t>
      </text>
    </comment>
    <comment ref="D10" authorId="23" shapeId="0" xr:uid="{87735BFA-4AD5-4DFD-B10C-8FEEEF887431}">
      <text>
        <t>[Threaded comment]
Your version of Excel allows you to read this threaded comment; however, any edits to it will get removed if the file is opened in a newer version of Excel. Learn more: https://go.microsoft.com/fwlink/?linkid=870924
Comment:
    El horizonte es a 5 años, hay hasta el año 10 para ver los efectos de modificar los datos, principalmente para ver el nuevo período de retorno en caso que sea mucho mayor.</t>
      </text>
    </comment>
    <comment ref="A12" authorId="24" shapeId="0" xr:uid="{3720C913-B6DB-4CDC-9D11-98039B393A95}">
      <text>
        <t>[Threaded comment]
Your version of Excel allows you to read this threaded comment; however, any edits to it will get removed if the file is opened in a newer version of Excel. Learn more: https://go.microsoft.com/fwlink/?linkid=870924
Comment:
    Lo mismo que en la celda A7. Este dato es el número de horas que pasa cada plaza alquilada al mes. Si el valor de B7 se reduce, este tendría que aumentar para compensar la diferencia y viceversa.</t>
      </text>
    </comment>
    <comment ref="A13" authorId="25" shapeId="0" xr:uid="{CCE7DCE9-568C-4EFA-9153-F43558337253}">
      <text>
        <t>[Threaded comment]
Your version of Excel allows you to read this threaded comment; however, any edits to it will get removed if the file is opened in a newer version of Excel. Learn more: https://go.microsoft.com/fwlink/?linkid=870924
Comment:
    Modificar en céntimos el precio por hora afecta notablemente a la viabilidad del proyecto. Si el precio es de 1.50€/hora, a los 4 años el VAN es de 7k€, si es de 1,70€/hora, a los 4 años el VAN es de 63k€.</t>
      </text>
    </comment>
    <comment ref="A14" authorId="26" shapeId="0" xr:uid="{E335E8F7-B0A7-4676-B10B-76E9ED9C759A}">
      <text>
        <t>[Threaded comment]
Your version of Excel allows you to read this threaded comment; however, any edits to it will get removed if the file is opened in a newer version of Excel. Learn more: https://go.microsoft.com/fwlink/?linkid=870924
Comment:
    A diferencia del precio del alquiler de plazas sin cargador, este no afecta tanto a la viabilidad del proyecto debido a que sólo se aplica a un bajo porcentaje de plazas. Si se incrementa el porcentaje de plazas con cargador alquiladas, tendrá mayor valor.</t>
      </text>
    </comment>
    <comment ref="A15" authorId="27" shapeId="0" xr:uid="{3539814A-D138-45D7-8C44-8122CC6A92D3}">
      <text>
        <t>[Threaded comment]
Your version of Excel allows you to read this threaded comment; however, any edits to it will get removed if the file is opened in a newer version of Excel. Learn more: https://go.microsoft.com/fwlink/?linkid=870924
Comment:
    No todas las plazas reportan los mismos beneficios. Las plazas con cargador son mucho más lucrativas, aunque haya que invertir 500€ para instalar el medidor de carga, el alquiler de estas plazas suele compensar con creces el coste de la instalación.
Si este porcentaje se reduce (al 1% por ejemplo, como estaba originalmente), el proyecto no es nada viable, el período de retorno sería superior a 10 años.</t>
      </text>
    </comment>
    <comment ref="A21" authorId="28" shapeId="0" xr:uid="{B63D0B92-1AB7-457C-95E5-9F37ABF65488}">
      <text>
        <t>[Threaded comment]
Your version of Excel allows you to read this threaded comment; however, any edits to it will get removed if the file is opened in a newer version of Excel. Learn more: https://go.microsoft.com/fwlink/?linkid=870924
Comment:
    Coste aplicado cada vez que haya que instalar algún dispositivo en el garaje.</t>
      </text>
    </comment>
    <comment ref="A43" authorId="29" shapeId="0" xr:uid="{9BE3153B-C7D5-4925-9EDA-D0E790A7DD5D}">
      <text>
        <t>[Threaded comment]
Your version of Excel allows you to read this threaded comment; however, any edits to it will get removed if the file is opened in a newer version of Excel. Learn more: https://go.microsoft.com/fwlink/?linkid=870924
Comment:
    Se debe pagar una cantidad de 75k€ al año para devolver el préstamo a los 4 años.
(75k * 4 = 300k)</t>
      </text>
    </comment>
    <comment ref="A44" authorId="30" shapeId="0" xr:uid="{EBB730DB-2DBD-46DD-A71B-CB866B98FDB0}">
      <text>
        <t>[Threaded comment]
Your version of Excel allows you to read this threaded comment; however, any edits to it will get removed if the file is opened in a newer version of Excel. Learn more: https://go.microsoft.com/fwlink/?linkid=870924
Comment:
    Cada año se paga un 3% sobre el dinero disponible en ese año, en el caso del primero, se paga un 3% sobre el total (300k€).
(300k * 0.03 = 9k)</t>
      </text>
    </comment>
    <comment ref="A45" authorId="31" shapeId="0" xr:uid="{2E8489CF-98A8-4CB4-8DC4-3C10544314CF}">
      <text>
        <t>[Threaded comment]
Your version of Excel allows you to read this threaded comment; however, any edits to it will get removed if the file is opened in a newer version of Excel. Learn more: https://go.microsoft.com/fwlink/?linkid=870924
Comment:
    Al segundo año, se pagará un 3% sobre el dinero disponible, que ya no es 300k, sino 300k - 75k (porque en el año 1 se devolvió ya una cuarta parte del préstamo).
((300k - 75k) * 0.03 = 6.75k)</t>
      </text>
    </comment>
    <comment ref="A46" authorId="32" shapeId="0" xr:uid="{1BA7E559-9946-491E-A0BD-5B3F1ADD66ED}">
      <text>
        <t>[Threaded comment]
Your version of Excel allows you to read this threaded comment; however, any edits to it will get removed if the file is opened in a newer version of Excel. Learn more: https://go.microsoft.com/fwlink/?linkid=870924
Comment:
    Al dinero disponible se le restan las devoluciones de 2 años (75k * 2) y se le aplica un 3%.
((300k - 75k * 2) * 0.03 = 4.5k)</t>
      </text>
    </comment>
    <comment ref="A47" authorId="33" shapeId="0" xr:uid="{53C93DB4-28BB-4B4C-8FC9-74D506F506BD}">
      <text>
        <t>[Threaded comment]
Your version of Excel allows you to read this threaded comment; however, any edits to it will get removed if the file is opened in a newer version of Excel. Learn more: https://go.microsoft.com/fwlink/?linkid=870924
Comment:
    (...)
((300k - 75k * 3) * 0.03 = 2.25k)</t>
      </text>
    </comment>
    <comment ref="A55" authorId="34" shapeId="0" xr:uid="{7BC66860-B74B-4C8E-8347-868094D34FE1}">
      <text>
        <t>[Threaded comment]
Your version of Excel allows you to read this threaded comment; however, any edits to it will get removed if the file is opened in a newer version of Excel. Learn more: https://go.microsoft.com/fwlink/?linkid=870924
Comment:
    En la tabla necesito poner un 0 varias veces (i.e. cuando dejamos de devolver el préstamo).
Para evitar tener una mezcla de números y cálculos en la tabla, donde ponga un 0, habrá en su lugar una referencia a esta celda.
De esta forma, todos los datos de la tabla son referencias, ninguno es un valor directo.</t>
      </text>
    </comment>
    <comment ref="A58" authorId="35" shapeId="0" xr:uid="{813A2F58-0921-40DD-86F2-2EF8E9705B4E}">
      <text>
        <t>[Threaded comment]
Your version of Excel allows you to read this threaded comment; however, any edits to it will get removed if the file is opened in a newer version of Excel. Learn more: https://go.microsoft.com/fwlink/?linkid=870924
Comment:
    10% porque se me cantó vaya, mientras sea inferior al valor de TIR todo okay.
(TIR es el interés con el que el VAN es 0, por lo que si el interés es superior a TIR perdemos dinero, pero si es inferior lo ganamos)</t>
      </text>
    </comment>
    <comment ref="A59" authorId="36" shapeId="0" xr:uid="{01048914-DCB7-48F4-BD68-A1F39BF0AEE5}">
      <text>
        <t>[Threaded comment]
Your version of Excel allows you to read this threaded comment; however, any edits to it will get removed if the file is opened in a newer version of Excel. Learn more: https://go.microsoft.com/fwlink/?linkid=870924
Comment:
    Se calcula el VAN hasta el horizonte (Año 5)</t>
      </text>
    </comment>
    <comment ref="A60" authorId="37" shapeId="0" xr:uid="{B053D644-F3B6-4E37-91A1-0F0D86704A3C}">
      <text>
        <t>[Threaded comment]
Your version of Excel allows you to read this threaded comment; however, any edits to it will get removed if the file is opened in a newer version of Excel. Learn more: https://go.microsoft.com/fwlink/?linkid=870924
Comment:
    Se calcula la TIR hasta el horizonte (Año 5)</t>
      </text>
    </comment>
  </commentList>
</comments>
</file>

<file path=xl/sharedStrings.xml><?xml version="1.0" encoding="utf-8"?>
<sst xmlns="http://schemas.openxmlformats.org/spreadsheetml/2006/main" count="118" uniqueCount="94">
  <si>
    <t xml:space="preserve">Descripción </t>
  </si>
  <si>
    <t>Unidad</t>
  </si>
  <si>
    <t>Cantidad</t>
  </si>
  <si>
    <t>Precio</t>
  </si>
  <si>
    <t>Total</t>
  </si>
  <si>
    <t>Software</t>
  </si>
  <si>
    <t>Analista</t>
  </si>
  <si>
    <t>Horas</t>
  </si>
  <si>
    <t>Diseñador</t>
  </si>
  <si>
    <t>Programador</t>
  </si>
  <si>
    <t>Tester</t>
  </si>
  <si>
    <t>Hardware</t>
  </si>
  <si>
    <t>Servidor (2 servidores 1 año)</t>
  </si>
  <si>
    <t>Hub inteligente Sonoff Bridge</t>
  </si>
  <si>
    <t>Unidades</t>
  </si>
  <si>
    <t>Strong Router 4G LTE</t>
  </si>
  <si>
    <t>Parkingdoor</t>
  </si>
  <si>
    <t>Mano de obra</t>
  </si>
  <si>
    <t>Instalación</t>
  </si>
  <si>
    <t>Mantenimiento</t>
  </si>
  <si>
    <t>TOTAL=&gt;</t>
  </si>
  <si>
    <t>Gastos generales</t>
  </si>
  <si>
    <t>Beneficio industrial</t>
  </si>
  <si>
    <t>Nuevo total</t>
  </si>
  <si>
    <t>IVA</t>
  </si>
  <si>
    <t>Presupuesto final</t>
  </si>
  <si>
    <t>POSIBLES USUARIOS</t>
  </si>
  <si>
    <t>Año</t>
  </si>
  <si>
    <t>Usuarios</t>
  </si>
  <si>
    <t>Gastos</t>
  </si>
  <si>
    <t>Ingresos</t>
  </si>
  <si>
    <t>Balance</t>
  </si>
  <si>
    <t>Número de habitantes</t>
  </si>
  <si>
    <t>Número de garajes</t>
  </si>
  <si>
    <t>Número de plazas</t>
  </si>
  <si>
    <t>Fijos</t>
  </si>
  <si>
    <t>Variables</t>
  </si>
  <si>
    <t>Inversión</t>
  </si>
  <si>
    <t>Préstamo</t>
  </si>
  <si>
    <t>Comisión</t>
  </si>
  <si>
    <t>Anual</t>
  </si>
  <si>
    <t>Acumulado</t>
  </si>
  <si>
    <t>Porcentaje de habitantes en ciudad</t>
  </si>
  <si>
    <t>Nuevos</t>
  </si>
  <si>
    <t>Totales</t>
  </si>
  <si>
    <t>Nuevas</t>
  </si>
  <si>
    <t>Medidores</t>
  </si>
  <si>
    <t>Porcentaje de habitantes en ciudad con plazas de garaje</t>
  </si>
  <si>
    <t>Sin cargador</t>
  </si>
  <si>
    <t>Con cargador</t>
  </si>
  <si>
    <t>Numero de plazas garajes potenciales</t>
  </si>
  <si>
    <t>Numero medio de plazas por garaje</t>
  </si>
  <si>
    <t>Porcentaje de usuarios de P&amp;G</t>
  </si>
  <si>
    <t>Número de usuarios de P&amp;G por garaje</t>
  </si>
  <si>
    <t>Número de garajes inicial</t>
  </si>
  <si>
    <t>INGRESOS MENSUALES POR PLAZA</t>
  </si>
  <si>
    <t>Horas de alquiler</t>
  </si>
  <si>
    <t>Precio alquiler por hora (sin carga)</t>
  </si>
  <si>
    <t>Precio alquiler por hora (con carga)</t>
  </si>
  <si>
    <t>Porcentaje de alquileres con carga</t>
  </si>
  <si>
    <t>Precio alquiler promedio</t>
  </si>
  <si>
    <t>Comision Park&amp;Go</t>
  </si>
  <si>
    <t>Total ingresos Park&amp;Go</t>
  </si>
  <si>
    <t>GASTOS VARIABLES</t>
  </si>
  <si>
    <t>Por plaza nueva</t>
  </si>
  <si>
    <t>Por garaje nuevo</t>
  </si>
  <si>
    <t>Por cargador nuevo</t>
  </si>
  <si>
    <t>Mantenimiento (Anual y por garaje)</t>
  </si>
  <si>
    <t>GASTOS FIJOS (ANUALES)</t>
  </si>
  <si>
    <t>Servidores</t>
  </si>
  <si>
    <t>Precio por hora</t>
  </si>
  <si>
    <t>Número de servidores</t>
  </si>
  <si>
    <t>Número de horas</t>
  </si>
  <si>
    <t>Personal Administrativo</t>
  </si>
  <si>
    <t>Gastos Corrientes de Funcionamiento</t>
  </si>
  <si>
    <t>PRESTAMO</t>
  </si>
  <si>
    <t>Interés</t>
  </si>
  <si>
    <t>Duración</t>
  </si>
  <si>
    <t>Devolución Anual</t>
  </si>
  <si>
    <t>Interés año 1</t>
  </si>
  <si>
    <t>Interés año 2</t>
  </si>
  <si>
    <t>Interés año 3</t>
  </si>
  <si>
    <t>Interés año 4</t>
  </si>
  <si>
    <t>INVERSIÓN</t>
  </si>
  <si>
    <t>Desarrollo App</t>
  </si>
  <si>
    <t>Stock</t>
  </si>
  <si>
    <t>Servicios</t>
  </si>
  <si>
    <t>NÚMEROS</t>
  </si>
  <si>
    <t>CERO</t>
  </si>
  <si>
    <t>INFORMACION</t>
  </si>
  <si>
    <t>Tasa de Actualización</t>
  </si>
  <si>
    <t>VAN</t>
  </si>
  <si>
    <t>TIR</t>
  </si>
  <si>
    <t>Período de Retorno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</si>
</sst>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0.00\ &quot;€&quot;"/>
    <numFmt numFmtId="166" formatCode="_-* #,##0.00\ [$€-C0A]_-;\-* #,##0.00\ [$€-C0A]_-;_-* &quot;-&quot;??\ [$€-C0A]_-;_-@_-"/>
  </numFmts>
  <fonts count="8">
    <font>
      <sz val="11"/>
      <color theme="1"/>
      <name val="Aptos Narrow"/>
      <family val="2"/>
      <scheme val="minor"/>
    </font>
    <font>
      <u/>
      <sz val="11"/>
      <color theme="10"/>
      <name val="Aptos Narrow"/>
      <family val="2"/>
      <scheme val="minor"/>
    </font>
    <font>
      <b/>
      <sz val="11"/>
      <color theme="1"/>
      <name val="Aptos Narrow"/>
      <family val="2"/>
      <scheme val="minor"/>
    </font>
    <font>
      <b/>
      <sz val="12"/>
      <color theme="1"/>
      <name val="Aptos Narrow"/>
      <family val="2"/>
      <scheme val="minor"/>
    </font>
    <font>
      <sz val="11"/>
      <color rgb="FF000000"/>
      <name val="Aptos Narrow"/>
      <family val="2"/>
    </font>
    <font>
      <sz val="11"/>
      <color theme="1"/>
      <name val="Aptos Narrow"/>
      <family val="2"/>
      <scheme val="minor"/>
    </font>
    <font>
      <i/>
      <sz val="11"/>
      <color theme="1"/>
      <name val="Aptos Narrow"/>
      <family val="2"/>
      <scheme val="minor"/>
    </font>
    <font>
      <sz val="11"/>
      <color rgb="FF000000"/>
      <name val="Aptos Narrow"/>
      <family val="2"/>
      <scheme val="minor"/>
    </font>
  </fonts>
  <fills count="5">
    <fill>
      <patternFill patternType="none"/>
    </fill>
    <fill>
      <patternFill patternType="gray125"/>
    </fill>
    <fill>
      <patternFill patternType="solid">
        <fgColor theme="5" tint="0.59999389629810485"/>
        <bgColor indexed="64"/>
      </patternFill>
    </fill>
    <fill>
      <patternFill patternType="solid">
        <fgColor theme="8" tint="0.79998168889431442"/>
        <bgColor indexed="64"/>
      </patternFill>
    </fill>
    <fill>
      <patternFill patternType="solid">
        <fgColor rgb="FFFFFF00"/>
        <bgColor indexed="64"/>
      </patternFill>
    </fill>
  </fills>
  <borders count="15">
    <border>
      <left/>
      <right/>
      <top/>
      <bottom/>
      <diagonal/>
    </border>
    <border>
      <left/>
      <right style="thin">
        <color rgb="FF000000"/>
      </right>
      <top style="thin">
        <color rgb="FF000000"/>
      </top>
      <bottom style="thin">
        <color rgb="FF000000"/>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top/>
      <bottom style="thin">
        <color indexed="64"/>
      </bottom>
      <diagonal/>
    </border>
    <border>
      <left style="thin">
        <color rgb="FF000000"/>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right/>
      <top/>
      <bottom style="thick">
        <color indexed="64"/>
      </bottom>
      <diagonal/>
    </border>
    <border>
      <left style="thin">
        <color indexed="64"/>
      </left>
      <right/>
      <top/>
      <bottom style="thick">
        <color indexed="64"/>
      </bottom>
      <diagonal/>
    </border>
    <border>
      <left/>
      <right style="thin">
        <color indexed="64"/>
      </right>
      <top/>
      <bottom style="thick">
        <color indexed="64"/>
      </bottom>
      <diagonal/>
    </border>
  </borders>
  <cellStyleXfs count="4">
    <xf numFmtId="0" fontId="0" fillId="0" borderId="0"/>
    <xf numFmtId="0" fontId="1" fillId="0" borderId="0" applyNumberFormat="0" applyFill="0" applyBorder="0" applyAlignment="0" applyProtection="0"/>
    <xf numFmtId="164" fontId="5" fillId="0" borderId="0" applyFont="0" applyFill="0" applyBorder="0" applyAlignment="0" applyProtection="0"/>
    <xf numFmtId="9" fontId="5" fillId="0" borderId="0" applyFont="0" applyFill="0" applyBorder="0" applyAlignment="0" applyProtection="0"/>
  </cellStyleXfs>
  <cellXfs count="53">
    <xf numFmtId="0" fontId="0" fillId="0" borderId="0" xfId="0"/>
    <xf numFmtId="165" fontId="0" fillId="0" borderId="0" xfId="0" applyNumberFormat="1"/>
    <xf numFmtId="0" fontId="0" fillId="0" borderId="3" xfId="0" applyBorder="1"/>
    <xf numFmtId="165" fontId="0" fillId="0" borderId="3" xfId="0" applyNumberFormat="1" applyBorder="1"/>
    <xf numFmtId="0" fontId="0" fillId="0" borderId="4" xfId="0" applyBorder="1"/>
    <xf numFmtId="0" fontId="3" fillId="0" borderId="3" xfId="0" applyFont="1" applyBorder="1" applyAlignment="1">
      <alignment horizontal="center"/>
    </xf>
    <xf numFmtId="0" fontId="2" fillId="2" borderId="3" xfId="0" applyFont="1" applyFill="1" applyBorder="1"/>
    <xf numFmtId="165" fontId="2" fillId="2" borderId="3" xfId="0" applyNumberFormat="1" applyFont="1" applyFill="1" applyBorder="1"/>
    <xf numFmtId="0" fontId="4" fillId="0" borderId="3" xfId="0" applyFont="1" applyBorder="1"/>
    <xf numFmtId="0" fontId="4" fillId="0" borderId="4" xfId="0" applyFont="1" applyBorder="1"/>
    <xf numFmtId="166" fontId="0" fillId="0" borderId="0" xfId="0" applyNumberFormat="1"/>
    <xf numFmtId="0" fontId="0" fillId="0" borderId="9" xfId="0" applyBorder="1"/>
    <xf numFmtId="0" fontId="0" fillId="0" borderId="10" xfId="0" applyBorder="1"/>
    <xf numFmtId="166" fontId="0" fillId="0" borderId="10" xfId="0" applyNumberFormat="1" applyBorder="1"/>
    <xf numFmtId="166" fontId="0" fillId="0" borderId="9" xfId="0" applyNumberFormat="1" applyBorder="1"/>
    <xf numFmtId="0" fontId="0" fillId="0" borderId="2" xfId="0" applyBorder="1" applyAlignment="1">
      <alignment vertical="center"/>
    </xf>
    <xf numFmtId="0" fontId="0" fillId="0" borderId="11" xfId="0" applyBorder="1" applyAlignment="1">
      <alignment vertical="center"/>
    </xf>
    <xf numFmtId="9" fontId="0" fillId="0" borderId="0" xfId="0" applyNumberFormat="1"/>
    <xf numFmtId="0" fontId="0" fillId="0" borderId="12" xfId="0" applyBorder="1"/>
    <xf numFmtId="0" fontId="0" fillId="0" borderId="13" xfId="0" applyBorder="1"/>
    <xf numFmtId="0" fontId="0" fillId="0" borderId="14" xfId="0" applyBorder="1"/>
    <xf numFmtId="166" fontId="0" fillId="0" borderId="12" xfId="0" applyNumberFormat="1" applyBorder="1"/>
    <xf numFmtId="166" fontId="0" fillId="0" borderId="13" xfId="0" applyNumberFormat="1" applyBorder="1"/>
    <xf numFmtId="166" fontId="0" fillId="0" borderId="14" xfId="0" applyNumberFormat="1" applyBorder="1"/>
    <xf numFmtId="3" fontId="0" fillId="0" borderId="3" xfId="0" applyNumberFormat="1" applyBorder="1" applyAlignment="1">
      <alignment horizontal="right"/>
    </xf>
    <xf numFmtId="9" fontId="0" fillId="0" borderId="3" xfId="0" applyNumberFormat="1" applyBorder="1" applyAlignment="1">
      <alignment horizontal="right"/>
    </xf>
    <xf numFmtId="0" fontId="0" fillId="0" borderId="3" xfId="0" applyBorder="1" applyAlignment="1">
      <alignment horizontal="right"/>
    </xf>
    <xf numFmtId="9" fontId="0" fillId="0" borderId="3" xfId="3" applyFont="1" applyBorder="1" applyAlignment="1">
      <alignment horizontal="right"/>
    </xf>
    <xf numFmtId="0" fontId="0" fillId="0" borderId="3" xfId="3" applyNumberFormat="1" applyFont="1" applyBorder="1" applyAlignment="1">
      <alignment horizontal="right"/>
    </xf>
    <xf numFmtId="0" fontId="0" fillId="0" borderId="0" xfId="0" applyAlignment="1">
      <alignment horizontal="right"/>
    </xf>
    <xf numFmtId="165" fontId="0" fillId="0" borderId="3" xfId="0" applyNumberFormat="1" applyBorder="1" applyAlignment="1">
      <alignment horizontal="right"/>
    </xf>
    <xf numFmtId="166" fontId="0" fillId="0" borderId="3" xfId="2" applyNumberFormat="1" applyFont="1" applyBorder="1" applyAlignment="1">
      <alignment horizontal="right"/>
    </xf>
    <xf numFmtId="166" fontId="0" fillId="0" borderId="3" xfId="0" applyNumberFormat="1" applyBorder="1" applyAlignment="1">
      <alignment horizontal="right"/>
    </xf>
    <xf numFmtId="166" fontId="0" fillId="0" borderId="3" xfId="3" applyNumberFormat="1" applyFont="1" applyBorder="1" applyAlignment="1">
      <alignment horizontal="right"/>
    </xf>
    <xf numFmtId="10" fontId="0" fillId="0" borderId="3" xfId="0" applyNumberFormat="1" applyBorder="1" applyAlignment="1">
      <alignment horizontal="right"/>
    </xf>
    <xf numFmtId="0" fontId="7" fillId="4" borderId="3" xfId="0" applyFont="1" applyFill="1" applyBorder="1"/>
    <xf numFmtId="9" fontId="7" fillId="4" borderId="3" xfId="0" applyNumberFormat="1" applyFont="1" applyFill="1" applyBorder="1" applyAlignment="1">
      <alignment horizontal="right"/>
    </xf>
    <xf numFmtId="0" fontId="0" fillId="4" borderId="4" xfId="0" applyFill="1" applyBorder="1"/>
    <xf numFmtId="0" fontId="0" fillId="4" borderId="3" xfId="0" applyFill="1" applyBorder="1" applyAlignment="1">
      <alignment horizontal="right"/>
    </xf>
    <xf numFmtId="0" fontId="0" fillId="4" borderId="3" xfId="0" applyFill="1" applyBorder="1"/>
    <xf numFmtId="9" fontId="0" fillId="4" borderId="3" xfId="3" applyFont="1" applyFill="1" applyBorder="1" applyAlignment="1">
      <alignment horizontal="right"/>
    </xf>
    <xf numFmtId="165" fontId="0" fillId="4" borderId="3" xfId="0" applyNumberFormat="1" applyFill="1" applyBorder="1" applyAlignment="1">
      <alignment horizontal="right"/>
    </xf>
    <xf numFmtId="0" fontId="2" fillId="3" borderId="6" xfId="0" applyFont="1" applyFill="1" applyBorder="1" applyAlignment="1">
      <alignment horizontal="center"/>
    </xf>
    <xf numFmtId="0" fontId="2" fillId="3" borderId="7" xfId="0" applyFont="1" applyFill="1" applyBorder="1" applyAlignment="1">
      <alignment horizontal="center"/>
    </xf>
    <xf numFmtId="0" fontId="6" fillId="0" borderId="8" xfId="0" applyFont="1" applyBorder="1" applyAlignment="1">
      <alignment horizontal="right" vertical="center"/>
    </xf>
    <xf numFmtId="0" fontId="6" fillId="0" borderId="1" xfId="0" applyFont="1" applyBorder="1" applyAlignment="1">
      <alignment horizontal="right" vertical="center"/>
    </xf>
    <xf numFmtId="0" fontId="0" fillId="0" borderId="9" xfId="0" applyBorder="1" applyAlignment="1">
      <alignment horizontal="center" vertical="center"/>
    </xf>
    <xf numFmtId="0" fontId="0" fillId="0" borderId="11" xfId="0" applyBorder="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vertical="center"/>
    </xf>
    <xf numFmtId="166" fontId="0" fillId="0" borderId="0" xfId="0" applyNumberFormat="1" applyAlignment="1">
      <alignment horizontal="right"/>
    </xf>
  </cellXfs>
  <cellStyles count="4">
    <cellStyle name="Currency" xfId="2" builtinId="4"/>
    <cellStyle name="Hyperlink" xfId="1" xr:uid="{00000000-0005-0000-0000-000000000000}"/>
    <cellStyle name="Normal" xfId="0" builtinId="0"/>
    <cellStyle name="Percent" xfId="3" builtinId="5"/>
  </cellStyles>
  <dxfs count="0"/>
  <tableStyles count="0" defaultTableStyle="TableStyleMedium2" defaultPivotStyle="PivotStyleMedium9"/>
  <colors>
    <mruColors>
      <color rgb="FFF9CCC9"/>
      <color rgb="FFFF5050"/>
      <color rgb="FFFF4A4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Alejandro Rodríguez López" id="{F4C2DFF9-FD06-484D-8194-FDA537DAB377}" userId="S::uo281827@uniovi.es::a293f24c-6c85-42fa-92d1-ed4654f0c3f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2" dT="2024-05-01T11:06:58.60" personId="{F4C2DFF9-FD06-484D-8194-FDA537DAB377}" id="{E9D11A4D-A0B1-4700-9BE0-26EBEFCA90E7}">
    <text>Servidores + Personal Administrativo + Gastos corrientes de func.</text>
  </threadedComment>
  <threadedComment ref="R2" dT="2024-05-01T11:08:43.43" personId="{F4C2DFF9-FD06-484D-8194-FDA537DAB377}" id="{F9471EEC-BDF6-48EB-9039-E25D7C7665BB}">
    <text>Desarrollo sistema + stock + fase de prueba</text>
  </threadedComment>
  <threadedComment ref="S2" dT="2024-05-01T11:12:17.55" personId="{F4C2DFF9-FD06-484D-8194-FDA537DAB377}" id="{C93EE451-8E47-4745-96B6-2130E748E892}">
    <text>Total de gastos</text>
  </threadedComment>
  <threadedComment ref="T2" dT="2024-05-01T11:08:56.19" personId="{F4C2DFF9-FD06-484D-8194-FDA537DAB377}" id="{1A75E939-88D2-4AFF-819A-11EADADF6C49}">
    <text>Antes: Ingreso del préstamo 300k.
Ahora: Nada</text>
  </threadedComment>
  <threadedComment ref="U2" dT="2024-05-01T11:09:06.58" personId="{F4C2DFF9-FD06-484D-8194-FDA537DAB377}" id="{BECF2B8F-EBB1-4368-BBFA-ABA512819736}">
    <text>Ingresos por alquileres de plazas de garaje</text>
  </threadedComment>
  <threadedComment ref="V2" dT="2024-05-01T11:12:21.97" personId="{F4C2DFF9-FD06-484D-8194-FDA537DAB377}" id="{5ACD9095-ADFF-40ED-8185-306412BE2F51}">
    <text>Total de ingresos</text>
  </threadedComment>
  <threadedComment ref="W2" dT="2024-05-01T11:09:18.37" personId="{F4C2DFF9-FD06-484D-8194-FDA537DAB377}" id="{81B52959-4FAD-45F9-8292-F642F726C1B7}">
    <text>Total Ingresos - Total Gastos</text>
  </threadedComment>
  <threadedComment ref="X2" dT="2024-05-01T11:12:31.17" personId="{F4C2DFF9-FD06-484D-8194-FDA537DAB377}" id="{A432559F-6B5B-441B-AC94-00C490286C17}">
    <text>Balance acumulado</text>
  </threadedComment>
  <threadedComment ref="E3" dT="2024-05-01T11:09:56.86" personId="{F4C2DFF9-FD06-484D-8194-FDA537DAB377}" id="{CCB76D60-4D0C-4BE3-BF51-06ADCE78D29D}">
    <text>Número de garajes que se suman a P&amp;G. (Hay que pagarles HUB y sistema de apertura)</text>
  </threadedComment>
  <threadedComment ref="F3" dT="2024-05-01T11:10:10.83" personId="{F4C2DFF9-FD06-484D-8194-FDA537DAB377}" id="{E0DECBF7-C9FB-43E8-AEDD-9F351C8C45A9}">
    <text>Total de garajes en P&amp;G. (Hay que pagarles el mantenimiento)</text>
  </threadedComment>
  <threadedComment ref="N3" dT="2024-05-01T11:07:08.28" personId="{F4C2DFF9-FD06-484D-8194-FDA537DAB377}" id="{59261AC1-7C6A-45F2-9E7E-91C88F1699DA}">
    <text>Coste de medidores. Aplicado sólo a las plazas nuevas con cargador.</text>
  </threadedComment>
  <threadedComment ref="O3" dT="2024-05-01T11:07:47.04" personId="{F4C2DFF9-FD06-484D-8194-FDA537DAB377}" id="{4B659583-4EA3-431A-A458-5DD8569EEDC8}">
    <text>Coste de sistema de apertura + hub. Aplicado sólo a garajes nuevos.</text>
  </threadedComment>
  <threadedComment ref="P3" dT="2024-05-01T11:08:10.54" personId="{F4C2DFF9-FD06-484D-8194-FDA537DAB377}" id="{7A286FAE-8D60-424E-B417-4FA472A770FB}">
    <text>Coste de mantenimiento anual. Aplicado al total de garajes, antiguos + nuevos.</text>
  </threadedComment>
  <threadedComment ref="Q3" dT="2024-05-01T11:08:30.81" personId="{F4C2DFF9-FD06-484D-8194-FDA537DAB377}" id="{78E689C0-27CA-423D-8C1A-E4FFDB9B6FEC}">
    <text>Antes: Devolución del préstamo + intereses.
Ahora: Intereses</text>
  </threadedComment>
  <threadedComment ref="G4" dT="2024-05-01T11:10:26.48" personId="{F4C2DFF9-FD06-484D-8194-FDA537DAB377}" id="{CDDA8073-8E64-4E8E-B5F1-688711FF3EEE}">
    <text>Total de plazas nuevas</text>
  </threadedComment>
  <threadedComment ref="H4" dT="2024-05-01T11:11:02.53" personId="{F4C2DFF9-FD06-484D-8194-FDA537DAB377}" id="{1DF92396-9F51-44D3-8957-EB150084DFA0}">
    <text>Número de plazas nuevas sin cargador.</text>
  </threadedComment>
  <threadedComment ref="I4" dT="2024-05-01T11:11:15.24" personId="{F4C2DFF9-FD06-484D-8194-FDA537DAB377}" id="{231E66B3-05B4-4A37-AF77-AE83A2584DE7}">
    <text>Número de plazas nuevas con cargador. (Hay que pagarles el medidor)</text>
  </threadedComment>
  <threadedComment ref="J4" dT="2024-05-01T11:11:25.09" personId="{F4C2DFF9-FD06-484D-8194-FDA537DAB377}" id="{6BE07068-9BC0-4921-80E2-27EF693DE012}">
    <text>Total de plazas en P&amp;G. (Hay que cobrar los alquileres de estas plazas)</text>
  </threadedComment>
  <threadedComment ref="K4" dT="2024-05-01T11:11:57.00" personId="{F4C2DFF9-FD06-484D-8194-FDA537DAB377}" id="{075474D1-6C82-42B2-A8FB-034416002D04}">
    <text>Total de plazas sin cargador.</text>
  </threadedComment>
  <threadedComment ref="L4" dT="2024-05-01T11:12:03.56" personId="{F4C2DFF9-FD06-484D-8194-FDA537DAB377}" id="{89B34D30-8C87-4DC1-84A9-CC9744FF5713}">
    <text>Total de plazas con cargador.</text>
  </threadedComment>
  <threadedComment ref="T5" dT="2024-05-01T11:00:49.02" personId="{F4C2DFF9-FD06-484D-8194-FDA537DAB377}" id="{6B429785-F178-455C-B0A5-3541A823F7CE}">
    <text>ANTES: El préstamo se contaba como ingreso para compensar la inversión inicial. Como el préstamo era superior a la inversión, el año 0 quedaba un balance positivo. Este balance positivo servía como colchón para afrontar las instalaciones de dispositivos en los garajes del año 1. En ese año 1, el coste de realizar todas las instalaciones es superior al colchón + ingresos de ese año, por lo que ya entrabamos en rojos.
Lógicamente, también se iba devolviendo 75k€ al año para retornar el préstamo.
AHORA: No contamos el préstamo como ingreso, sólo la inversión inicial como pérdida, por lo que ahora no existe ningún colchón en ningún momento.
Lógicamente, la devolución de 75k€ al año también se ha eliminado ya que en el cálculo no estamos sumando el préstamo. Lo que sí estamos restando como gasto es el interés del 3% aplicado cada año al préstamo.
---
RAZONAMIENTO: Al haber un valor positivo en el año 0, la depreciación aplicada a las ganancias y pérdidas del resto de años en el cálculo del VAN no reducen el valor del VAN lo suficiente como para que exista un `y` tal que VAN(interés) = 0. Para todo `interés`, el `VAN(interés) &gt; 0`.</text>
  </threadedComment>
  <threadedComment ref="Q6" dT="2024-05-01T11:01:38.52" personId="{F4C2DFF9-FD06-484D-8194-FDA537DAB377}" id="{9FE67D37-FC0E-4432-8B54-B47078B59D56}">
    <text>Antes aquí se ponía como gasto también 75k€ con el objetivo de devolver el préstamo.
Ahora los 75k€ no se ponen como gasto porque no contamos como ingreso el préstamo. Sí tenemos que dejar como gasto el interés que pagamos por el dinero del préstamo.</text>
  </threadedComment>
  <threadedComment ref="A7" dT="2024-05-01T10:24:56.03" personId="{F4C2DFF9-FD06-484D-8194-FDA537DAB377}" id="{5986DBA2-130A-48DC-8861-5BE890752497}">
    <text>Si el número de plazas ofertadas por garaje es muy bajo, los ingresos reportados por esas plazas no son suficientes para compensar la instalación y el mantenimiento anual.
Se necesitaría alrededor de 100 horas alquiladas por cada garaje al mes para que sea rentable. Esas 100 horas se reparten entre el número de plazas por cada garaje: Si hay una plaza, tiene que estar ofertada 100hs, si hay 2 50hs cada una, etc etc.</text>
  </threadedComment>
  <threadedComment ref="D10" dT="2024-05-01T11:04:45.23" personId="{F4C2DFF9-FD06-484D-8194-FDA537DAB377}" id="{87735BFA-4AD5-4DFD-B10C-8FEEEF887431}">
    <text>El horizonte es a 5 años, hay hasta el año 10 para ver los efectos de modificar los datos, principalmente para ver el nuevo período de retorno en caso que sea mucho mayor.</text>
  </threadedComment>
  <threadedComment ref="A12" dT="2024-05-01T10:25:47.81" personId="{F4C2DFF9-FD06-484D-8194-FDA537DAB377}" id="{3720C913-B6DB-4CDC-9D11-98039B393A95}">
    <text>Lo mismo que en la celda A7. Este dato es el número de horas que pasa cada plaza alquilada al mes. Si el valor de B7 se reduce, este tendría que aumentar para compensar la diferencia y viceversa.</text>
  </threadedComment>
  <threadedComment ref="A13" dT="2024-05-01T10:46:27.93" personId="{F4C2DFF9-FD06-484D-8194-FDA537DAB377}" id="{CCE7DCE9-568C-4EFA-9153-F43558337253}">
    <text>Modificar en céntimos el precio por hora afecta notablemente a la viabilidad del proyecto. Si el precio es de 1.50€/hora, a los 4 años el VAN es de 7k€, si es de 1,70€/hora, a los 4 años el VAN es de 63k€.</text>
  </threadedComment>
  <threadedComment ref="A14" dT="2024-05-01T10:47:17.76" personId="{F4C2DFF9-FD06-484D-8194-FDA537DAB377}" id="{E335E8F7-B0A7-4676-B10B-76E9ED9C759A}">
    <text>A diferencia del precio del alquiler de plazas sin cargador, este no afecta tanto a la viabilidad del proyecto debido a que sólo se aplica a un bajo porcentaje de plazas. Si se incrementa el porcentaje de plazas con cargador alquiladas, tendrá mayor valor.</text>
  </threadedComment>
  <threadedComment ref="A15" dT="2024-05-01T10:27:20.06" personId="{F4C2DFF9-FD06-484D-8194-FDA537DAB377}" id="{3539814A-D138-45D7-8C44-8122CC6A92D3}">
    <text>No todas las plazas reportan los mismos beneficios. Las plazas con cargador son mucho más lucrativas, aunque haya que invertir 500€ para instalar el medidor de carga, el alquiler de estas plazas suele compensar con creces el coste de la instalación.
Si este porcentaje se reduce (al 1% por ejemplo, como estaba originalmente), el proyecto no es nada viable, el período de retorno sería superior a 10 años.</text>
  </threadedComment>
  <threadedComment ref="A21" dT="2024-05-01T10:47:37.51" personId="{F4C2DFF9-FD06-484D-8194-FDA537DAB377}" id="{B63D0B92-1AB7-457C-95E5-9F37ABF65488}">
    <text>Coste aplicado cada vez que haya que instalar algún dispositivo en el garaje.</text>
  </threadedComment>
  <threadedComment ref="A43" dT="2024-05-01T10:48:29.62" personId="{F4C2DFF9-FD06-484D-8194-FDA537DAB377}" id="{9BE3153B-C7D5-4925-9EDA-D0E790A7DD5D}">
    <text>Se debe pagar una cantidad de 75k€ al año para devolver el préstamo a los 4 años.
(75k * 4 = 300k)</text>
  </threadedComment>
  <threadedComment ref="A44" dT="2024-05-01T10:49:27.04" personId="{F4C2DFF9-FD06-484D-8194-FDA537DAB377}" id="{EBB730DB-2DBD-46DD-A71B-CB866B98FDB0}">
    <text>Cada año se paga un 3% sobre el dinero disponible en ese año, en el caso del primero, se paga un 3% sobre el total (300k€).
(300k * 0.03 = 9k)</text>
  </threadedComment>
  <threadedComment ref="A45" dT="2024-05-01T10:50:24.68" personId="{F4C2DFF9-FD06-484D-8194-FDA537DAB377}" id="{2E8489CF-98A8-4CB4-8DC4-3C10544314CF}">
    <text>Al segundo año, se pagará un 3% sobre el dinero disponible, que ya no es 300k, sino 300k - 75k (porque en el año 1 se devolvió ya una cuarta parte del préstamo).
((300k - 75k) * 0.03 = 6.75k)</text>
  </threadedComment>
  <threadedComment ref="A46" dT="2024-05-01T10:51:03.32" personId="{F4C2DFF9-FD06-484D-8194-FDA537DAB377}" id="{1BA7E559-9946-491E-A0BD-5B3F1ADD66ED}">
    <text>Al dinero disponible se le restan las devoluciones de 2 años (75k * 2) y se le aplica un 3%.
((300k - 75k * 2) * 0.03 = 4.5k)</text>
  </threadedComment>
  <threadedComment ref="A47" dT="2024-05-01T10:51:33.04" personId="{F4C2DFF9-FD06-484D-8194-FDA537DAB377}" id="{53C93DB4-28BB-4B4C-8FC9-74D506F506BD}">
    <text>(...)
((300k - 75k * 3) * 0.03 = 2.25k)</text>
  </threadedComment>
  <threadedComment ref="A55" dT="2024-05-01T10:52:47.56" personId="{F4C2DFF9-FD06-484D-8194-FDA537DAB377}" id="{7BC66860-B74B-4C8E-8347-868094D34FE1}">
    <text>En la tabla necesito poner un 0 varias veces (i.e. cuando dejamos de devolver el préstamo).
Para evitar tener una mezcla de números y cálculos en la tabla, donde ponga un 0, habrá en su lugar una referencia a esta celda.
De esta forma, todos los datos de la tabla son referencias, ninguno es un valor directo.</text>
  </threadedComment>
  <threadedComment ref="A58" dT="2024-05-01T10:53:33.17" personId="{F4C2DFF9-FD06-484D-8194-FDA537DAB377}" id="{813A2F58-0921-40DD-86F2-2EF8E9705B4E}">
    <text>10% porque se me cantó vaya, mientras sea inferior al valor de TIR todo okay.
(TIR es el interés con el que el VAN es 0, por lo que si el interés es superior a TIR perdemos dinero, pero si es inferior lo ganamos)</text>
  </threadedComment>
  <threadedComment ref="A59" dT="2024-05-01T11:05:16.59" personId="{F4C2DFF9-FD06-484D-8194-FDA537DAB377}" id="{01048914-DCB7-48F4-BD68-A1F39BF0AEE5}">
    <text>Se calcula el VAN hasta el horizonte (Año 5)</text>
  </threadedComment>
  <threadedComment ref="A60" dT="2024-05-01T11:05:28.06" personId="{F4C2DFF9-FD06-484D-8194-FDA537DAB377}" id="{B053D644-F3B6-4E37-91A1-0F0D86704A3C}">
    <text>Se calcula la TIR hasta el horizonte (Año 5)</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5:K30"/>
  <sheetViews>
    <sheetView topLeftCell="A5" zoomScale="160" zoomScaleNormal="160" workbookViewId="0">
      <selection activeCell="K25" sqref="K25"/>
    </sheetView>
  </sheetViews>
  <sheetFormatPr defaultColWidth="8.85546875" defaultRowHeight="14.25"/>
  <cols>
    <col min="3" max="3" width="28" customWidth="1"/>
    <col min="4" max="4" width="13.42578125" customWidth="1"/>
    <col min="5" max="5" width="9.85546875" bestFit="1" customWidth="1"/>
    <col min="7" max="7" width="12.42578125" bestFit="1" customWidth="1"/>
    <col min="11" max="11" width="15.5703125" customWidth="1"/>
  </cols>
  <sheetData>
    <row r="5" spans="3:7" ht="15.75">
      <c r="C5" s="5" t="s">
        <v>0</v>
      </c>
      <c r="D5" s="5" t="s">
        <v>1</v>
      </c>
      <c r="E5" s="5" t="s">
        <v>2</v>
      </c>
      <c r="F5" s="5" t="s">
        <v>3</v>
      </c>
      <c r="G5" s="5" t="s">
        <v>4</v>
      </c>
    </row>
    <row r="6" spans="3:7" ht="15">
      <c r="C6" s="6" t="s">
        <v>5</v>
      </c>
      <c r="D6" s="6"/>
      <c r="E6" s="6"/>
      <c r="F6" s="7"/>
      <c r="G6" s="6"/>
    </row>
    <row r="7" spans="3:7">
      <c r="C7" s="2" t="s">
        <v>6</v>
      </c>
      <c r="D7" s="2" t="s">
        <v>7</v>
      </c>
      <c r="E7" s="8">
        <v>228</v>
      </c>
      <c r="F7" s="3">
        <v>45</v>
      </c>
      <c r="G7" s="3">
        <f>F7*E7</f>
        <v>10260</v>
      </c>
    </row>
    <row r="8" spans="3:7">
      <c r="C8" s="2" t="s">
        <v>8</v>
      </c>
      <c r="D8" s="2" t="s">
        <v>7</v>
      </c>
      <c r="E8" s="9">
        <v>176</v>
      </c>
      <c r="F8" s="3">
        <v>35</v>
      </c>
      <c r="G8" s="3">
        <f>F8*E8</f>
        <v>6160</v>
      </c>
    </row>
    <row r="9" spans="3:7">
      <c r="C9" s="2" t="s">
        <v>9</v>
      </c>
      <c r="D9" s="2" t="s">
        <v>7</v>
      </c>
      <c r="E9" s="9">
        <v>5044</v>
      </c>
      <c r="F9" s="3">
        <v>30</v>
      </c>
      <c r="G9" s="3">
        <f>F9*E9</f>
        <v>151320</v>
      </c>
    </row>
    <row r="10" spans="3:7">
      <c r="C10" s="2" t="s">
        <v>10</v>
      </c>
      <c r="D10" s="2" t="s">
        <v>7</v>
      </c>
      <c r="E10" s="9">
        <v>320</v>
      </c>
      <c r="F10" s="3">
        <v>30</v>
      </c>
      <c r="G10" s="3">
        <f>F10*E10</f>
        <v>9600</v>
      </c>
    </row>
    <row r="11" spans="3:7">
      <c r="G11" s="1">
        <f>SUM(G7:G10)</f>
        <v>177340</v>
      </c>
    </row>
    <row r="12" spans="3:7" ht="15">
      <c r="C12" s="6" t="s">
        <v>11</v>
      </c>
      <c r="D12" s="6"/>
      <c r="E12" s="6"/>
      <c r="F12" s="7"/>
      <c r="G12" s="6"/>
    </row>
    <row r="13" spans="3:7">
      <c r="C13" s="2" t="s">
        <v>12</v>
      </c>
      <c r="D13" s="2" t="s">
        <v>7</v>
      </c>
      <c r="E13" s="2">
        <f>365*24*2</f>
        <v>17520</v>
      </c>
      <c r="F13" s="3">
        <v>0.125</v>
      </c>
      <c r="G13" s="3">
        <f>F13*E13</f>
        <v>2190</v>
      </c>
    </row>
    <row r="14" spans="3:7">
      <c r="C14" s="2" t="s">
        <v>13</v>
      </c>
      <c r="D14" s="2" t="s">
        <v>14</v>
      </c>
      <c r="E14" s="2">
        <v>250</v>
      </c>
      <c r="F14" s="3">
        <v>21.6</v>
      </c>
      <c r="G14" s="3">
        <f>F14*E14</f>
        <v>5400</v>
      </c>
    </row>
    <row r="15" spans="3:7">
      <c r="C15" s="2" t="s">
        <v>15</v>
      </c>
      <c r="D15" s="2" t="s">
        <v>14</v>
      </c>
      <c r="E15" s="2">
        <v>250</v>
      </c>
      <c r="F15" s="3">
        <v>23.97</v>
      </c>
      <c r="G15" s="3">
        <f t="shared" ref="G15:G16" si="0">F15*E15</f>
        <v>5992.5</v>
      </c>
    </row>
    <row r="16" spans="3:7">
      <c r="C16" s="2" t="s">
        <v>16</v>
      </c>
      <c r="D16" s="2" t="s">
        <v>14</v>
      </c>
      <c r="E16" s="2">
        <v>250</v>
      </c>
      <c r="F16" s="3">
        <v>41.4</v>
      </c>
      <c r="G16" s="3">
        <f t="shared" si="0"/>
        <v>10350</v>
      </c>
    </row>
    <row r="17" spans="3:11">
      <c r="G17" s="1">
        <f>SUM(G13:G16)</f>
        <v>23932.5</v>
      </c>
    </row>
    <row r="18" spans="3:11" ht="15">
      <c r="C18" s="6" t="s">
        <v>17</v>
      </c>
      <c r="D18" s="6"/>
      <c r="E18" s="6"/>
      <c r="F18" s="7"/>
      <c r="G18" s="6"/>
    </row>
    <row r="19" spans="3:11">
      <c r="C19" s="2" t="s">
        <v>18</v>
      </c>
      <c r="D19" s="2" t="s">
        <v>14</v>
      </c>
      <c r="E19" s="2">
        <v>10</v>
      </c>
      <c r="F19" s="3">
        <v>100</v>
      </c>
      <c r="G19" s="3">
        <f>F19*E19</f>
        <v>1000</v>
      </c>
    </row>
    <row r="20" spans="3:11">
      <c r="C20" s="2" t="s">
        <v>19</v>
      </c>
      <c r="D20" s="2" t="s">
        <v>14</v>
      </c>
      <c r="E20" s="2">
        <v>10</v>
      </c>
      <c r="F20" s="3">
        <v>50</v>
      </c>
      <c r="G20" s="3">
        <f>F20*E20</f>
        <v>500</v>
      </c>
    </row>
    <row r="21" spans="3:11">
      <c r="G21" s="1">
        <f>SUM(G19:G20)</f>
        <v>1500</v>
      </c>
    </row>
    <row r="23" spans="3:11">
      <c r="F23" t="s">
        <v>20</v>
      </c>
      <c r="G23" s="1">
        <f>SUM(G11,G17,G21)</f>
        <v>202772.5</v>
      </c>
      <c r="K23" s="1"/>
    </row>
    <row r="25" spans="3:11">
      <c r="C25" t="s">
        <v>21</v>
      </c>
      <c r="D25" s="1">
        <f>G23*0.12</f>
        <v>24332.7</v>
      </c>
      <c r="K25" s="1"/>
    </row>
    <row r="26" spans="3:11">
      <c r="C26" t="s">
        <v>22</v>
      </c>
      <c r="D26" s="1">
        <f>G23*0.06</f>
        <v>12166.35</v>
      </c>
    </row>
    <row r="28" spans="3:11">
      <c r="C28" t="s">
        <v>23</v>
      </c>
      <c r="D28" s="1">
        <f>SUM(D25:D26,G23)</f>
        <v>239271.55</v>
      </c>
    </row>
    <row r="29" spans="3:11">
      <c r="C29" t="s">
        <v>24</v>
      </c>
      <c r="D29" s="1">
        <f>D28*0.21</f>
        <v>50247.025499999996</v>
      </c>
    </row>
    <row r="30" spans="3:11">
      <c r="C30" t="s">
        <v>25</v>
      </c>
      <c r="D30" s="1">
        <f>D29+D28</f>
        <v>289518.57549999998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61"/>
  <sheetViews>
    <sheetView tabSelected="1" topLeftCell="A19" zoomScale="160" zoomScaleNormal="160" workbookViewId="0">
      <selection activeCell="C51" sqref="C51"/>
    </sheetView>
  </sheetViews>
  <sheetFormatPr defaultColWidth="11.42578125" defaultRowHeight="14.25"/>
  <cols>
    <col min="1" max="1" width="50.140625" bestFit="1" customWidth="1"/>
    <col min="2" max="2" width="16.42578125" style="29" bestFit="1" customWidth="1"/>
    <col min="4" max="4" width="4.42578125" bestFit="1" customWidth="1"/>
    <col min="5" max="5" width="7.5703125" bestFit="1" customWidth="1"/>
    <col min="6" max="6" width="7.28515625" bestFit="1" customWidth="1"/>
    <col min="7" max="7" width="5.42578125" bestFit="1" customWidth="1"/>
    <col min="8" max="8" width="11.85546875" bestFit="1" customWidth="1"/>
    <col min="9" max="9" width="12.7109375" bestFit="1" customWidth="1"/>
    <col min="10" max="10" width="5.42578125" bestFit="1" customWidth="1"/>
    <col min="11" max="11" width="11.85546875" bestFit="1" customWidth="1"/>
    <col min="12" max="12" width="12.7109375" bestFit="1" customWidth="1"/>
    <col min="13" max="13" width="16.140625" bestFit="1" customWidth="1"/>
    <col min="14" max="15" width="12.140625" bestFit="1" customWidth="1"/>
    <col min="16" max="16" width="14.140625" bestFit="1" customWidth="1"/>
    <col min="17" max="17" width="10.28515625" bestFit="1" customWidth="1"/>
    <col min="18" max="19" width="16.42578125" bestFit="1" customWidth="1"/>
    <col min="20" max="20" width="9.28515625" bestFit="1" customWidth="1"/>
    <col min="21" max="22" width="13.42578125" bestFit="1" customWidth="1"/>
    <col min="23" max="23" width="17.42578125" bestFit="1" customWidth="1"/>
    <col min="24" max="24" width="17.5703125" bestFit="1" customWidth="1"/>
    <col min="25" max="25" width="15.28515625" bestFit="1" customWidth="1"/>
  </cols>
  <sheetData>
    <row r="1" spans="1:24" ht="15">
      <c r="A1" s="42" t="s">
        <v>26</v>
      </c>
      <c r="B1" s="43"/>
      <c r="D1" s="48" t="s">
        <v>27</v>
      </c>
      <c r="E1" s="50" t="s">
        <v>28</v>
      </c>
      <c r="F1" s="48"/>
      <c r="G1" s="48"/>
      <c r="H1" s="48"/>
      <c r="I1" s="48"/>
      <c r="J1" s="48"/>
      <c r="K1" s="48"/>
      <c r="L1" s="46"/>
      <c r="M1" s="48" t="s">
        <v>29</v>
      </c>
      <c r="N1" s="48"/>
      <c r="O1" s="48"/>
      <c r="P1" s="48"/>
      <c r="Q1" s="48"/>
      <c r="R1" s="48"/>
      <c r="S1" s="48"/>
      <c r="T1" s="50" t="s">
        <v>30</v>
      </c>
      <c r="U1" s="48"/>
      <c r="V1" s="46"/>
      <c r="W1" s="48" t="s">
        <v>31</v>
      </c>
      <c r="X1" s="48"/>
    </row>
    <row r="2" spans="1:24" ht="14.25" customHeight="1">
      <c r="A2" s="2" t="s">
        <v>32</v>
      </c>
      <c r="B2" s="24">
        <v>801226</v>
      </c>
      <c r="D2" s="48"/>
      <c r="E2" s="50" t="s">
        <v>33</v>
      </c>
      <c r="F2" s="48"/>
      <c r="G2" s="48" t="s">
        <v>34</v>
      </c>
      <c r="H2" s="48"/>
      <c r="I2" s="48"/>
      <c r="J2" s="48"/>
      <c r="K2" s="48"/>
      <c r="L2" s="46"/>
      <c r="M2" s="48" t="s">
        <v>35</v>
      </c>
      <c r="N2" s="48" t="s">
        <v>36</v>
      </c>
      <c r="O2" s="48"/>
      <c r="P2" s="48"/>
      <c r="Q2" s="48"/>
      <c r="R2" s="48" t="s">
        <v>37</v>
      </c>
      <c r="S2" s="48" t="s">
        <v>4</v>
      </c>
      <c r="T2" s="50" t="s">
        <v>38</v>
      </c>
      <c r="U2" s="48" t="s">
        <v>39</v>
      </c>
      <c r="V2" s="46" t="s">
        <v>4</v>
      </c>
      <c r="W2" s="48" t="s">
        <v>40</v>
      </c>
      <c r="X2" s="48" t="s">
        <v>41</v>
      </c>
    </row>
    <row r="3" spans="1:24" ht="14.25" customHeight="1">
      <c r="A3" s="2" t="s">
        <v>42</v>
      </c>
      <c r="B3" s="25">
        <v>0.8</v>
      </c>
      <c r="D3" s="48"/>
      <c r="E3" s="50" t="s">
        <v>43</v>
      </c>
      <c r="F3" s="48" t="s">
        <v>44</v>
      </c>
      <c r="G3" s="48" t="s">
        <v>45</v>
      </c>
      <c r="H3" s="48"/>
      <c r="I3" s="48"/>
      <c r="J3" s="48" t="s">
        <v>44</v>
      </c>
      <c r="K3" s="48"/>
      <c r="L3" s="46"/>
      <c r="M3" s="48"/>
      <c r="N3" s="48" t="s">
        <v>46</v>
      </c>
      <c r="O3" s="48" t="s">
        <v>18</v>
      </c>
      <c r="P3" s="48" t="s">
        <v>19</v>
      </c>
      <c r="Q3" s="48" t="s">
        <v>38</v>
      </c>
      <c r="R3" s="48"/>
      <c r="S3" s="48"/>
      <c r="T3" s="50"/>
      <c r="U3" s="48"/>
      <c r="V3" s="46"/>
      <c r="W3" s="48"/>
      <c r="X3" s="48"/>
    </row>
    <row r="4" spans="1:24" ht="14.25" customHeight="1">
      <c r="A4" s="2" t="s">
        <v>47</v>
      </c>
      <c r="B4" s="25">
        <v>0.15</v>
      </c>
      <c r="D4" s="49"/>
      <c r="E4" s="51"/>
      <c r="F4" s="49"/>
      <c r="G4" s="15" t="s">
        <v>4</v>
      </c>
      <c r="H4" s="15" t="s">
        <v>48</v>
      </c>
      <c r="I4" s="15" t="s">
        <v>49</v>
      </c>
      <c r="J4" s="15" t="s">
        <v>4</v>
      </c>
      <c r="K4" s="15" t="s">
        <v>48</v>
      </c>
      <c r="L4" s="16" t="s">
        <v>49</v>
      </c>
      <c r="M4" s="49"/>
      <c r="N4" s="49"/>
      <c r="O4" s="49"/>
      <c r="P4" s="49"/>
      <c r="Q4" s="49"/>
      <c r="R4" s="49"/>
      <c r="S4" s="49"/>
      <c r="T4" s="51"/>
      <c r="U4" s="49"/>
      <c r="V4" s="47"/>
      <c r="W4" s="49"/>
      <c r="X4" s="49"/>
    </row>
    <row r="5" spans="1:24" ht="15">
      <c r="A5" s="2" t="s">
        <v>50</v>
      </c>
      <c r="B5" s="26">
        <f>B2*B3*B4</f>
        <v>96147.12000000001</v>
      </c>
      <c r="D5">
        <v>0</v>
      </c>
      <c r="E5" s="12">
        <f>+F5-F4</f>
        <v>0</v>
      </c>
      <c r="F5">
        <f>+ROUNDDOWN(F4*1.5, 0)</f>
        <v>0</v>
      </c>
      <c r="G5">
        <f t="shared" ref="G5" si="0">+ROUNDDOWN(E5*$B$8, 0)</f>
        <v>0</v>
      </c>
      <c r="H5">
        <f>+ROUNDUP(G5*(1-$B$15), 0)</f>
        <v>0</v>
      </c>
      <c r="I5">
        <f>G5-H5</f>
        <v>0</v>
      </c>
      <c r="J5">
        <f>+ROUNDDOWN(F5*$B$8, 0)</f>
        <v>0</v>
      </c>
      <c r="K5">
        <f t="shared" ref="K5:K8" si="1">+ROUNDUP(J5*(1-$B$15), 0)</f>
        <v>0</v>
      </c>
      <c r="L5" s="11">
        <f>J5-K5</f>
        <v>0</v>
      </c>
      <c r="M5" s="10">
        <f>+B55</f>
        <v>0</v>
      </c>
      <c r="N5" s="10">
        <f>+H5*$B$22+I5*$B$24</f>
        <v>0</v>
      </c>
      <c r="O5" s="10">
        <f>+E5*$B$23</f>
        <v>0</v>
      </c>
      <c r="P5" s="10">
        <f>+F5*$B$25</f>
        <v>0</v>
      </c>
      <c r="Q5" s="10">
        <f>+B55</f>
        <v>0</v>
      </c>
      <c r="R5" s="10">
        <f>SUM(B50:B52)</f>
        <v>199487.5</v>
      </c>
      <c r="S5" s="10">
        <f>SUM(M5:R5)</f>
        <v>199487.5</v>
      </c>
      <c r="T5" s="13">
        <f t="shared" ref="T5:T15" si="2">+$B$55</f>
        <v>0</v>
      </c>
      <c r="U5" s="10">
        <f t="shared" ref="U5" si="3">+J5*$B$18*12</f>
        <v>0</v>
      </c>
      <c r="V5" s="14">
        <f>SUM(T5:U5)</f>
        <v>0</v>
      </c>
      <c r="W5" s="10">
        <f>+V5-S5</f>
        <v>-199487.5</v>
      </c>
      <c r="X5" s="10">
        <f>+W5</f>
        <v>-199487.5</v>
      </c>
    </row>
    <row r="6" spans="1:24">
      <c r="A6" s="2" t="s">
        <v>51</v>
      </c>
      <c r="B6" s="26">
        <v>12</v>
      </c>
      <c r="D6">
        <v>1</v>
      </c>
      <c r="E6" s="12">
        <f>+F6</f>
        <v>200</v>
      </c>
      <c r="F6">
        <f>+$B$9</f>
        <v>200</v>
      </c>
      <c r="G6">
        <f>+ROUNDDOWN(E6*$B$8, 0)</f>
        <v>480</v>
      </c>
      <c r="H6">
        <f>+ROUNDUP(G6*(1-$B$15), 0)</f>
        <v>456</v>
      </c>
      <c r="I6">
        <f>G6-H6</f>
        <v>24</v>
      </c>
      <c r="J6">
        <f>+ROUNDDOWN(F6*$B$6*$B$7, 0)</f>
        <v>480</v>
      </c>
      <c r="K6">
        <f t="shared" si="1"/>
        <v>456</v>
      </c>
      <c r="L6" s="11">
        <f>J6-K6</f>
        <v>24</v>
      </c>
      <c r="M6" s="10">
        <f>+$B$37</f>
        <v>72190</v>
      </c>
      <c r="N6" s="10">
        <f>+H6*$B$22+I6*$B$24</f>
        <v>12000</v>
      </c>
      <c r="O6" s="10">
        <f>+E6*$B$23</f>
        <v>37394</v>
      </c>
      <c r="P6" s="10">
        <f>+F6*$B$25</f>
        <v>7000</v>
      </c>
      <c r="Q6" s="1">
        <f>+B44</f>
        <v>9000</v>
      </c>
      <c r="R6" s="10">
        <f>+B55</f>
        <v>0</v>
      </c>
      <c r="S6" s="10">
        <f>SUM(M6:R6)</f>
        <v>137584</v>
      </c>
      <c r="T6" s="13">
        <f t="shared" si="2"/>
        <v>0</v>
      </c>
      <c r="U6" s="10">
        <f>+J6*$B$18*12</f>
        <v>108979.20000000001</v>
      </c>
      <c r="V6" s="14">
        <f>SUM(T6:U6)</f>
        <v>108979.20000000001</v>
      </c>
      <c r="W6" s="10">
        <f>+V6-S6</f>
        <v>-28604.799999999988</v>
      </c>
      <c r="X6" s="10">
        <f>+W6+X5</f>
        <v>-228092.3</v>
      </c>
    </row>
    <row r="7" spans="1:24" ht="15">
      <c r="A7" s="39" t="s">
        <v>52</v>
      </c>
      <c r="B7" s="40">
        <v>0.2</v>
      </c>
      <c r="D7">
        <v>2</v>
      </c>
      <c r="E7" s="12">
        <f>+F7-F6</f>
        <v>100</v>
      </c>
      <c r="F7">
        <f>+ROUNDDOWN(F6*1.5, 0)</f>
        <v>300</v>
      </c>
      <c r="G7">
        <f t="shared" ref="G7:G8" si="4">+ROUNDDOWN(E7*$B$8, 0)</f>
        <v>240</v>
      </c>
      <c r="H7">
        <f>+ROUNDUP(G7*(1-$B$15), 0)</f>
        <v>228</v>
      </c>
      <c r="I7">
        <f>G7-H7</f>
        <v>12</v>
      </c>
      <c r="J7">
        <f>+ROUNDDOWN(F7*$B$8, 0)</f>
        <v>720</v>
      </c>
      <c r="K7">
        <f t="shared" si="1"/>
        <v>684</v>
      </c>
      <c r="L7" s="11">
        <f>J7-K7</f>
        <v>36</v>
      </c>
      <c r="M7" s="10">
        <f>+$B$37</f>
        <v>72190</v>
      </c>
      <c r="N7" s="10">
        <f>+H7*$B$22+I7*$B$24</f>
        <v>6000</v>
      </c>
      <c r="O7" s="10">
        <f>+E7*$B$23</f>
        <v>18697</v>
      </c>
      <c r="P7" s="10">
        <f>+F7*$B$25</f>
        <v>10500</v>
      </c>
      <c r="Q7" s="1">
        <f>+B45</f>
        <v>6750</v>
      </c>
      <c r="R7" s="10">
        <f t="shared" ref="R7:R15" si="5">+$B$55</f>
        <v>0</v>
      </c>
      <c r="S7" s="10">
        <f>SUM(M7:R7)</f>
        <v>114137</v>
      </c>
      <c r="T7" s="13">
        <f t="shared" si="2"/>
        <v>0</v>
      </c>
      <c r="U7" s="10">
        <f t="shared" ref="U7:U8" si="6">+J7*$B$18*12</f>
        <v>163468.80000000002</v>
      </c>
      <c r="V7" s="14">
        <f>SUM(T7:U7)</f>
        <v>163468.80000000002</v>
      </c>
      <c r="W7" s="10">
        <f>+V7-S7</f>
        <v>49331.800000000017</v>
      </c>
      <c r="X7" s="10">
        <f>+W7+X6</f>
        <v>-178760.49999999997</v>
      </c>
    </row>
    <row r="8" spans="1:24" ht="15">
      <c r="A8" s="2" t="s">
        <v>53</v>
      </c>
      <c r="B8" s="28">
        <f>+B7*B6</f>
        <v>2.4000000000000004</v>
      </c>
      <c r="D8">
        <v>3</v>
      </c>
      <c r="E8" s="12">
        <f t="shared" ref="E8" si="7">+F8-F7</f>
        <v>75</v>
      </c>
      <c r="F8">
        <f>+ROUNDDOWN(F7*1.25, 0)</f>
        <v>375</v>
      </c>
      <c r="G8">
        <f t="shared" si="4"/>
        <v>180</v>
      </c>
      <c r="H8">
        <f t="shared" ref="H8" si="8">+ROUNDUP(G8*(1-$B$15), 0)</f>
        <v>171</v>
      </c>
      <c r="I8">
        <f t="shared" ref="I8" si="9">G8-H8</f>
        <v>9</v>
      </c>
      <c r="J8">
        <f t="shared" ref="J8" si="10">+ROUNDDOWN(F8*$B$8, 0)</f>
        <v>900</v>
      </c>
      <c r="K8">
        <f t="shared" si="1"/>
        <v>855</v>
      </c>
      <c r="L8" s="11">
        <f t="shared" ref="L8" si="11">J8-K8</f>
        <v>45</v>
      </c>
      <c r="M8" s="10">
        <f t="shared" ref="M8:M15" si="12">+$B$37</f>
        <v>72190</v>
      </c>
      <c r="N8" s="10">
        <f t="shared" ref="N8" si="13">+H8*$B$22+I8*$B$24</f>
        <v>4500</v>
      </c>
      <c r="O8" s="10">
        <f t="shared" ref="O8" si="14">+E8*$B$23</f>
        <v>14022.75</v>
      </c>
      <c r="P8" s="10">
        <f t="shared" ref="P8" si="15">+F8*$B$25</f>
        <v>13125</v>
      </c>
      <c r="Q8" s="1">
        <f>+B46</f>
        <v>4500</v>
      </c>
      <c r="R8" s="10">
        <f t="shared" si="5"/>
        <v>0</v>
      </c>
      <c r="S8" s="10">
        <f t="shared" ref="S8" si="16">SUM(M8:R8)</f>
        <v>108337.75</v>
      </c>
      <c r="T8" s="13">
        <f t="shared" si="2"/>
        <v>0</v>
      </c>
      <c r="U8" s="10">
        <f t="shared" si="6"/>
        <v>204336</v>
      </c>
      <c r="V8" s="14">
        <f t="shared" ref="V8" si="17">SUM(T8:U8)</f>
        <v>204336</v>
      </c>
      <c r="W8" s="10">
        <f t="shared" ref="W8" si="18">+V8-S8</f>
        <v>95998.25</v>
      </c>
      <c r="X8" s="10">
        <f t="shared" ref="X8" si="19">+W8+X7</f>
        <v>-82762.249999999971</v>
      </c>
    </row>
    <row r="9" spans="1:24" ht="15">
      <c r="A9" s="2" t="s">
        <v>54</v>
      </c>
      <c r="B9" s="24">
        <v>200</v>
      </c>
      <c r="D9">
        <v>4</v>
      </c>
      <c r="E9" s="12">
        <f>+F9-F8</f>
        <v>37</v>
      </c>
      <c r="F9">
        <f>+ROUNDDOWN(F8*1.1, 0)</f>
        <v>412</v>
      </c>
      <c r="G9">
        <f>+ROUNDDOWN(E9*$B$8, 0)</f>
        <v>88</v>
      </c>
      <c r="H9">
        <f>+ROUNDUP(G9*(1-$B$15), 0)</f>
        <v>84</v>
      </c>
      <c r="I9">
        <f>G9-H9</f>
        <v>4</v>
      </c>
      <c r="J9">
        <f>+ROUNDDOWN(F9*$B$8, 0)</f>
        <v>988</v>
      </c>
      <c r="K9">
        <f>+ROUNDUP(J9*(1-$B$15), 0)</f>
        <v>939</v>
      </c>
      <c r="L9" s="11">
        <f>J9-K9</f>
        <v>49</v>
      </c>
      <c r="M9" s="10">
        <f t="shared" si="12"/>
        <v>72190</v>
      </c>
      <c r="N9" s="10">
        <f>+H9*$B$22+I9*$B$24</f>
        <v>2000</v>
      </c>
      <c r="O9" s="10">
        <f>+E9*$B$23</f>
        <v>6917.89</v>
      </c>
      <c r="P9" s="10">
        <f>+F9*$B$25</f>
        <v>14420</v>
      </c>
      <c r="Q9" s="1">
        <f>+B47</f>
        <v>2250</v>
      </c>
      <c r="R9" s="10">
        <f t="shared" si="5"/>
        <v>0</v>
      </c>
      <c r="S9" s="10">
        <f>SUM(M9:R9)</f>
        <v>97777.89</v>
      </c>
      <c r="T9" s="13">
        <f t="shared" si="2"/>
        <v>0</v>
      </c>
      <c r="U9" s="10">
        <f>+J9*$B$18*12</f>
        <v>224315.52000000002</v>
      </c>
      <c r="V9" s="14">
        <f>SUM(T9:U9)</f>
        <v>224315.52000000002</v>
      </c>
      <c r="W9" s="10">
        <f>+V9-S9</f>
        <v>126537.63000000002</v>
      </c>
      <c r="X9" s="10">
        <f>+W9+X8</f>
        <v>43775.380000000048</v>
      </c>
    </row>
    <row r="10" spans="1:24" ht="15">
      <c r="D10">
        <v>5</v>
      </c>
      <c r="E10" s="19">
        <f>+F10-F9</f>
        <v>20</v>
      </c>
      <c r="F10" s="18">
        <f>+ROUNDDOWN(F9*1.05, 0)</f>
        <v>432</v>
      </c>
      <c r="G10" s="18">
        <f>+ROUNDDOWN(E10*$B$8, 0)</f>
        <v>48</v>
      </c>
      <c r="H10" s="18">
        <f>+ROUNDUP(G10*(1-$B$15), 0)</f>
        <v>46</v>
      </c>
      <c r="I10" s="18">
        <f>G10-H10</f>
        <v>2</v>
      </c>
      <c r="J10" s="18">
        <f>+ROUNDDOWN(F10*$B$8, 0)</f>
        <v>1036</v>
      </c>
      <c r="K10" s="18">
        <f>+ROUNDUP(J10*(1-$B$15), 0)</f>
        <v>985</v>
      </c>
      <c r="L10" s="20">
        <f>J10-K10</f>
        <v>51</v>
      </c>
      <c r="M10" s="21">
        <f t="shared" si="12"/>
        <v>72190</v>
      </c>
      <c r="N10" s="21">
        <f>+H10*$B$22+I10*$B$24</f>
        <v>1000</v>
      </c>
      <c r="O10" s="21">
        <f>+E10*$B$23</f>
        <v>3739.4</v>
      </c>
      <c r="P10" s="21">
        <f>+F10*$B$25</f>
        <v>15120</v>
      </c>
      <c r="Q10" s="21">
        <f>+$B$55</f>
        <v>0</v>
      </c>
      <c r="R10" s="21">
        <f t="shared" si="5"/>
        <v>0</v>
      </c>
      <c r="S10" s="21">
        <f>SUM(M10:R10)</f>
        <v>92049.4</v>
      </c>
      <c r="T10" s="22">
        <f t="shared" si="2"/>
        <v>0</v>
      </c>
      <c r="U10" s="21">
        <f>+J10*$B$18*12</f>
        <v>235213.44000000003</v>
      </c>
      <c r="V10" s="23">
        <f>SUM(T10:U10)</f>
        <v>235213.44000000003</v>
      </c>
      <c r="W10" s="21">
        <f>+V10-S10</f>
        <v>143164.04000000004</v>
      </c>
      <c r="X10" s="21">
        <f>+W10+X9</f>
        <v>186939.4200000001</v>
      </c>
    </row>
    <row r="11" spans="1:24" ht="15">
      <c r="A11" s="42" t="s">
        <v>55</v>
      </c>
      <c r="B11" s="43"/>
      <c r="D11">
        <v>6</v>
      </c>
      <c r="E11" s="12">
        <f>+F11-F10</f>
        <v>10</v>
      </c>
      <c r="F11">
        <f>+ROUNDDOWN(F10*1.025, 0)</f>
        <v>442</v>
      </c>
      <c r="G11">
        <f>+ROUNDDOWN(E11*$B$8, 0)</f>
        <v>24</v>
      </c>
      <c r="H11">
        <f>+ROUNDUP(G11*(1-$B$15), 0)</f>
        <v>23</v>
      </c>
      <c r="I11">
        <f>G11-H11</f>
        <v>1</v>
      </c>
      <c r="J11">
        <f>+ROUNDDOWN(F11*$B$8, 0)</f>
        <v>1060</v>
      </c>
      <c r="K11">
        <f>+ROUNDUP(J11*(1-$B$15), 0)</f>
        <v>1007</v>
      </c>
      <c r="L11" s="11">
        <f>J11-K11</f>
        <v>53</v>
      </c>
      <c r="M11" s="10">
        <f t="shared" si="12"/>
        <v>72190</v>
      </c>
      <c r="N11" s="10">
        <f>+H11*$B$22+I11*$B$24</f>
        <v>500</v>
      </c>
      <c r="O11" s="10">
        <f>+E11*$B$23</f>
        <v>1869.7</v>
      </c>
      <c r="P11" s="10">
        <f>+F11*$B$25</f>
        <v>15470</v>
      </c>
      <c r="Q11" s="10">
        <f t="shared" ref="Q10:Q15" si="20">+$B$55</f>
        <v>0</v>
      </c>
      <c r="R11" s="10">
        <f t="shared" si="5"/>
        <v>0</v>
      </c>
      <c r="S11" s="10">
        <f>SUM(M11:R11)</f>
        <v>90029.7</v>
      </c>
      <c r="T11" s="13">
        <f t="shared" si="2"/>
        <v>0</v>
      </c>
      <c r="U11" s="10">
        <f>+J11*$B$18*12</f>
        <v>240662.40000000002</v>
      </c>
      <c r="V11" s="14">
        <f>SUM(T11:U11)</f>
        <v>240662.40000000002</v>
      </c>
      <c r="W11" s="10">
        <f>+V11-S11</f>
        <v>150632.70000000001</v>
      </c>
      <c r="X11" s="10">
        <f>+W11+X10</f>
        <v>337572.12000000011</v>
      </c>
    </row>
    <row r="12" spans="1:24" ht="15">
      <c r="A12" s="37" t="s">
        <v>56</v>
      </c>
      <c r="B12" s="38">
        <v>40</v>
      </c>
      <c r="D12">
        <v>7</v>
      </c>
      <c r="E12" s="12">
        <f>+F12-F11</f>
        <v>4</v>
      </c>
      <c r="F12">
        <f>+ROUNDDOWN(F11*1.01, 0)</f>
        <v>446</v>
      </c>
      <c r="G12">
        <f>+ROUNDDOWN(E12*$B$8, 0)</f>
        <v>9</v>
      </c>
      <c r="H12">
        <f>+ROUNDUP(G12*(1-$B$15), 0)</f>
        <v>9</v>
      </c>
      <c r="I12">
        <f>G12-H12</f>
        <v>0</v>
      </c>
      <c r="J12">
        <f>+ROUNDDOWN(F12*$B$8, 0)</f>
        <v>1070</v>
      </c>
      <c r="K12">
        <f>+ROUNDUP(J12*(1-$B$15), 0)</f>
        <v>1017</v>
      </c>
      <c r="L12" s="11">
        <f>J12-K12</f>
        <v>53</v>
      </c>
      <c r="M12" s="10">
        <f t="shared" si="12"/>
        <v>72190</v>
      </c>
      <c r="N12" s="10">
        <f>+H12*$B$22+I12*$B$24</f>
        <v>0</v>
      </c>
      <c r="O12" s="10">
        <f>+E12*$B$23</f>
        <v>747.88</v>
      </c>
      <c r="P12" s="10">
        <f>+F12*$B$25</f>
        <v>15610</v>
      </c>
      <c r="Q12" s="10">
        <f t="shared" si="20"/>
        <v>0</v>
      </c>
      <c r="R12" s="10">
        <f t="shared" si="5"/>
        <v>0</v>
      </c>
      <c r="S12" s="10">
        <f>SUM(M12:R12)</f>
        <v>88547.88</v>
      </c>
      <c r="T12" s="13">
        <f t="shared" si="2"/>
        <v>0</v>
      </c>
      <c r="U12" s="10">
        <f>+J12*$B$18*12</f>
        <v>242932.80000000002</v>
      </c>
      <c r="V12" s="14">
        <f>SUM(T12:U12)</f>
        <v>242932.80000000002</v>
      </c>
      <c r="W12" s="10">
        <f>+V12-S12</f>
        <v>154384.92000000001</v>
      </c>
      <c r="X12" s="10">
        <f>+W12+X11</f>
        <v>491957.04000000015</v>
      </c>
    </row>
    <row r="13" spans="1:24" ht="15">
      <c r="A13" s="39" t="s">
        <v>57</v>
      </c>
      <c r="B13" s="41">
        <v>1.7</v>
      </c>
      <c r="D13">
        <v>8</v>
      </c>
      <c r="E13" s="12">
        <f t="shared" ref="E13:E15" si="21">+F13-F12</f>
        <v>4</v>
      </c>
      <c r="F13">
        <f t="shared" ref="F13:F17" si="22">+ROUNDDOWN(F12*1.01, 0)</f>
        <v>450</v>
      </c>
      <c r="G13">
        <f>+ROUNDDOWN(E13*$B$8, 0)</f>
        <v>9</v>
      </c>
      <c r="H13">
        <f>+ROUNDUP(G13*(1-$B$15), 0)</f>
        <v>9</v>
      </c>
      <c r="I13">
        <f>G13-H13</f>
        <v>0</v>
      </c>
      <c r="J13">
        <f>+ROUNDDOWN(F13*$B$8, 0)</f>
        <v>1080</v>
      </c>
      <c r="K13">
        <f>+ROUNDUP(J13*(1-$B$15), 0)</f>
        <v>1026</v>
      </c>
      <c r="L13" s="11">
        <f>J13-K13</f>
        <v>54</v>
      </c>
      <c r="M13" s="10">
        <f t="shared" si="12"/>
        <v>72190</v>
      </c>
      <c r="N13" s="10">
        <f>+H13*$B$22+I13*$B$24</f>
        <v>0</v>
      </c>
      <c r="O13" s="10">
        <f>+E13*$B$23</f>
        <v>747.88</v>
      </c>
      <c r="P13" s="10">
        <f>+F13*$B$25</f>
        <v>15750</v>
      </c>
      <c r="Q13" s="10">
        <f t="shared" si="20"/>
        <v>0</v>
      </c>
      <c r="R13" s="10">
        <f t="shared" si="5"/>
        <v>0</v>
      </c>
      <c r="S13" s="10">
        <f>SUM(M13:R13)</f>
        <v>88687.88</v>
      </c>
      <c r="T13" s="13">
        <f t="shared" si="2"/>
        <v>0</v>
      </c>
      <c r="U13" s="10">
        <f>+J13*$B$18*12</f>
        <v>245203.20000000001</v>
      </c>
      <c r="V13" s="14">
        <f>SUM(T13:U13)</f>
        <v>245203.20000000001</v>
      </c>
      <c r="W13" s="10">
        <f t="shared" ref="W13:W15" si="23">+V13-S13</f>
        <v>156515.32</v>
      </c>
      <c r="X13" s="10">
        <f t="shared" ref="X13:X15" si="24">+W13+X12</f>
        <v>648472.3600000001</v>
      </c>
    </row>
    <row r="14" spans="1:24" ht="15">
      <c r="A14" s="2" t="s">
        <v>58</v>
      </c>
      <c r="B14" s="30">
        <v>15</v>
      </c>
      <c r="D14">
        <v>9</v>
      </c>
      <c r="E14" s="12">
        <f t="shared" si="21"/>
        <v>4</v>
      </c>
      <c r="F14">
        <f t="shared" si="22"/>
        <v>454</v>
      </c>
      <c r="G14">
        <f>+ROUNDDOWN(E14*$B$8, 0)</f>
        <v>9</v>
      </c>
      <c r="H14">
        <f>+ROUNDUP(G14*(1-$B$15), 0)</f>
        <v>9</v>
      </c>
      <c r="I14">
        <f>G14-H14</f>
        <v>0</v>
      </c>
      <c r="J14">
        <f>+ROUNDDOWN(F14*$B$8, 0)</f>
        <v>1089</v>
      </c>
      <c r="K14">
        <f>+ROUNDUP(J14*(1-$B$15), 0)</f>
        <v>1035</v>
      </c>
      <c r="L14" s="11">
        <f>J14-K14</f>
        <v>54</v>
      </c>
      <c r="M14" s="10">
        <f t="shared" si="12"/>
        <v>72190</v>
      </c>
      <c r="N14" s="10">
        <f>+H14*$B$22+I14*$B$24</f>
        <v>0</v>
      </c>
      <c r="O14" s="10">
        <f>+E14*$B$23</f>
        <v>747.88</v>
      </c>
      <c r="P14" s="10">
        <f>+F14*$B$25</f>
        <v>15890</v>
      </c>
      <c r="Q14" s="10">
        <f t="shared" si="20"/>
        <v>0</v>
      </c>
      <c r="R14" s="10">
        <f t="shared" si="5"/>
        <v>0</v>
      </c>
      <c r="S14" s="10">
        <f>SUM(M14:R14)</f>
        <v>88827.88</v>
      </c>
      <c r="T14" s="13">
        <f t="shared" si="2"/>
        <v>0</v>
      </c>
      <c r="U14" s="10">
        <f>+J14*$B$18*12</f>
        <v>247246.56</v>
      </c>
      <c r="V14" s="14">
        <f>SUM(T14:U14)</f>
        <v>247246.56</v>
      </c>
      <c r="W14" s="10">
        <f t="shared" si="23"/>
        <v>158418.68</v>
      </c>
      <c r="X14" s="10">
        <f t="shared" si="24"/>
        <v>806891.04</v>
      </c>
    </row>
    <row r="15" spans="1:24" ht="15">
      <c r="A15" s="35" t="s">
        <v>59</v>
      </c>
      <c r="B15" s="36">
        <v>0.05</v>
      </c>
      <c r="D15">
        <v>10</v>
      </c>
      <c r="E15" s="12">
        <f t="shared" si="21"/>
        <v>4</v>
      </c>
      <c r="F15">
        <f t="shared" si="22"/>
        <v>458</v>
      </c>
      <c r="G15">
        <f>+ROUNDDOWN(E15*$B$8, 0)</f>
        <v>9</v>
      </c>
      <c r="H15">
        <f>+ROUNDUP(G15*(1-$B$15), 0)</f>
        <v>9</v>
      </c>
      <c r="I15">
        <f>G15-H15</f>
        <v>0</v>
      </c>
      <c r="J15">
        <f>+ROUNDDOWN(F15*$B$8, 0)</f>
        <v>1099</v>
      </c>
      <c r="K15">
        <f>+ROUNDUP(J15*(1-$B$15), 0)</f>
        <v>1045</v>
      </c>
      <c r="L15" s="11">
        <f>J15-K15</f>
        <v>54</v>
      </c>
      <c r="M15" s="10">
        <f t="shared" si="12"/>
        <v>72190</v>
      </c>
      <c r="N15" s="10">
        <f>+H15*$B$22+I15*$B$24</f>
        <v>0</v>
      </c>
      <c r="O15" s="10">
        <f>+E15*$B$23</f>
        <v>747.88</v>
      </c>
      <c r="P15" s="10">
        <f>+F15*$B$25</f>
        <v>16030</v>
      </c>
      <c r="Q15" s="10">
        <f t="shared" si="20"/>
        <v>0</v>
      </c>
      <c r="R15" s="10">
        <f t="shared" si="5"/>
        <v>0</v>
      </c>
      <c r="S15" s="10">
        <f>SUM(M15:R15)</f>
        <v>88967.88</v>
      </c>
      <c r="T15" s="13">
        <f t="shared" si="2"/>
        <v>0</v>
      </c>
      <c r="U15" s="10">
        <f>+J15*$B$18*12</f>
        <v>249516.96000000002</v>
      </c>
      <c r="V15" s="14">
        <f>SUM(T15:U15)</f>
        <v>249516.96000000002</v>
      </c>
      <c r="W15" s="10">
        <f t="shared" si="23"/>
        <v>160549.08000000002</v>
      </c>
      <c r="X15" s="10">
        <f t="shared" si="24"/>
        <v>967440.12000000011</v>
      </c>
    </row>
    <row r="16" spans="1:24" ht="15">
      <c r="A16" s="2" t="s">
        <v>60</v>
      </c>
      <c r="B16" s="30">
        <f>B14*B15+B13*(1-B15)</f>
        <v>2.3650000000000002</v>
      </c>
    </row>
    <row r="17" spans="1:23" ht="15">
      <c r="A17" s="2" t="s">
        <v>61</v>
      </c>
      <c r="B17" s="25">
        <v>0.2</v>
      </c>
    </row>
    <row r="18" spans="1:23">
      <c r="A18" s="2" t="s">
        <v>62</v>
      </c>
      <c r="B18" s="31">
        <f>B16*B17*B12</f>
        <v>18.920000000000002</v>
      </c>
      <c r="W18" s="17"/>
    </row>
    <row r="19" spans="1:23">
      <c r="W19" s="17"/>
    </row>
    <row r="20" spans="1:23" ht="15">
      <c r="A20" s="42" t="s">
        <v>63</v>
      </c>
      <c r="B20" s="43"/>
      <c r="W20" s="10"/>
    </row>
    <row r="21" spans="1:23">
      <c r="A21" s="4" t="s">
        <v>18</v>
      </c>
      <c r="B21" s="32">
        <v>100</v>
      </c>
    </row>
    <row r="22" spans="1:23">
      <c r="A22" s="4" t="s">
        <v>64</v>
      </c>
      <c r="B22" s="32">
        <v>0</v>
      </c>
    </row>
    <row r="23" spans="1:23">
      <c r="A23" s="2" t="s">
        <v>65</v>
      </c>
      <c r="B23" s="30">
        <f>+SUM(Presupuesto!F14:F16)+B21</f>
        <v>186.97</v>
      </c>
    </row>
    <row r="24" spans="1:23">
      <c r="A24" s="2" t="s">
        <v>66</v>
      </c>
      <c r="B24" s="30">
        <f>400+B21</f>
        <v>500</v>
      </c>
    </row>
    <row r="25" spans="1:23">
      <c r="A25" s="2" t="s">
        <v>67</v>
      </c>
      <c r="B25" s="30">
        <v>35</v>
      </c>
    </row>
    <row r="27" spans="1:23" ht="15">
      <c r="A27" s="42" t="s">
        <v>68</v>
      </c>
      <c r="B27" s="43"/>
    </row>
    <row r="28" spans="1:23">
      <c r="A28" s="44" t="s">
        <v>69</v>
      </c>
      <c r="B28" s="45"/>
    </row>
    <row r="29" spans="1:23">
      <c r="A29" s="4" t="s">
        <v>70</v>
      </c>
      <c r="B29" s="32">
        <f>+Presupuesto!F13</f>
        <v>0.125</v>
      </c>
    </row>
    <row r="30" spans="1:23">
      <c r="A30" s="2" t="s">
        <v>71</v>
      </c>
      <c r="B30" s="30">
        <v>2</v>
      </c>
    </row>
    <row r="31" spans="1:23">
      <c r="A31" s="2" t="s">
        <v>72</v>
      </c>
      <c r="B31" s="30">
        <f>365*24</f>
        <v>8760</v>
      </c>
    </row>
    <row r="32" spans="1:23">
      <c r="A32" s="2" t="s">
        <v>4</v>
      </c>
      <c r="B32" s="30">
        <f>+B31*B30*B29</f>
        <v>2190</v>
      </c>
    </row>
    <row r="33" spans="1:18">
      <c r="A33" s="44" t="s">
        <v>73</v>
      </c>
      <c r="B33" s="45"/>
    </row>
    <row r="34" spans="1:18">
      <c r="A34" s="4" t="s">
        <v>4</v>
      </c>
      <c r="B34" s="32">
        <v>50000</v>
      </c>
      <c r="R34" s="17"/>
    </row>
    <row r="35" spans="1:18">
      <c r="A35" s="44" t="s">
        <v>74</v>
      </c>
      <c r="B35" s="45"/>
    </row>
    <row r="36" spans="1:18">
      <c r="A36" s="4" t="s">
        <v>4</v>
      </c>
      <c r="B36" s="32">
        <v>20000</v>
      </c>
    </row>
    <row r="37" spans="1:18">
      <c r="A37" s="4" t="s">
        <v>4</v>
      </c>
      <c r="B37" s="32">
        <f>B36+B34+B32</f>
        <v>72190</v>
      </c>
    </row>
    <row r="39" spans="1:18" ht="15">
      <c r="A39" s="42" t="s">
        <v>75</v>
      </c>
      <c r="B39" s="43"/>
    </row>
    <row r="40" spans="1:18">
      <c r="A40" s="4" t="s">
        <v>2</v>
      </c>
      <c r="B40" s="32">
        <v>300000</v>
      </c>
    </row>
    <row r="41" spans="1:18">
      <c r="A41" s="4" t="s">
        <v>76</v>
      </c>
      <c r="B41" s="27">
        <v>0.03</v>
      </c>
    </row>
    <row r="42" spans="1:18">
      <c r="A42" s="2" t="s">
        <v>77</v>
      </c>
      <c r="B42" s="26">
        <v>4</v>
      </c>
    </row>
    <row r="43" spans="1:18" ht="15">
      <c r="A43" s="4" t="s">
        <v>78</v>
      </c>
      <c r="B43" s="32">
        <f>+B40/B42</f>
        <v>75000</v>
      </c>
    </row>
    <row r="44" spans="1:18">
      <c r="A44" s="2" t="s">
        <v>79</v>
      </c>
      <c r="B44" s="30">
        <f>+$B$41*$B$40</f>
        <v>9000</v>
      </c>
    </row>
    <row r="45" spans="1:18">
      <c r="A45" s="2" t="s">
        <v>80</v>
      </c>
      <c r="B45" s="30">
        <f>+($B$40-$B$43*1)*$B$41</f>
        <v>6750</v>
      </c>
    </row>
    <row r="46" spans="1:18">
      <c r="A46" s="2" t="s">
        <v>81</v>
      </c>
      <c r="B46" s="30">
        <f>+($B$40-$B$43*2)*$B$41</f>
        <v>4500</v>
      </c>
    </row>
    <row r="47" spans="1:18" ht="15">
      <c r="A47" s="4" t="s">
        <v>82</v>
      </c>
      <c r="B47" s="32">
        <f>+($B$40-$B$43*3)*$B$41</f>
        <v>2250</v>
      </c>
    </row>
    <row r="49" spans="1:2" ht="15">
      <c r="A49" s="42" t="s">
        <v>83</v>
      </c>
      <c r="B49" s="43"/>
    </row>
    <row r="50" spans="1:2">
      <c r="A50" s="4" t="s">
        <v>84</v>
      </c>
      <c r="B50" s="32">
        <f>+Presupuesto!G11</f>
        <v>177340</v>
      </c>
    </row>
    <row r="51" spans="1:2">
      <c r="A51" s="4" t="s">
        <v>85</v>
      </c>
      <c r="B51" s="33">
        <f>23932.5-$B$32</f>
        <v>21742.5</v>
      </c>
    </row>
    <row r="52" spans="1:2">
      <c r="A52" s="2" t="s">
        <v>86</v>
      </c>
      <c r="B52" s="32">
        <v>405</v>
      </c>
    </row>
    <row r="53" spans="1:2">
      <c r="B53" s="52"/>
    </row>
    <row r="54" spans="1:2" ht="15">
      <c r="A54" s="42" t="s">
        <v>87</v>
      </c>
      <c r="B54" s="43"/>
    </row>
    <row r="55" spans="1:2">
      <c r="A55" s="4" t="s">
        <v>88</v>
      </c>
      <c r="B55" s="32">
        <v>0</v>
      </c>
    </row>
    <row r="57" spans="1:2" ht="15">
      <c r="A57" s="42" t="s">
        <v>89</v>
      </c>
      <c r="B57" s="43"/>
    </row>
    <row r="58" spans="1:2">
      <c r="A58" s="4" t="s">
        <v>90</v>
      </c>
      <c r="B58" s="27">
        <v>0.1</v>
      </c>
    </row>
    <row r="59" spans="1:2" ht="15">
      <c r="A59" s="2" t="s">
        <v>91</v>
      </c>
      <c r="B59" s="30">
        <f>NPV(B58,W6:W10)+W5</f>
        <v>62723.634125214943</v>
      </c>
    </row>
    <row r="60" spans="1:2" ht="15">
      <c r="A60" s="2" t="s">
        <v>92</v>
      </c>
      <c r="B60" s="34">
        <f>IRR(W5:W10)</f>
        <v>0.17701392853182685</v>
      </c>
    </row>
    <row r="61" spans="1:2" ht="15">
      <c r="A61" s="2" t="s">
        <v>93</v>
      </c>
      <c r="B61" s="26">
        <f>3+ABS(X9)/ABS(X8)</f>
        <v>3.5289293125791055</v>
      </c>
    </row>
  </sheetData>
  <mergeCells count="35">
    <mergeCell ref="A1:B1"/>
    <mergeCell ref="D1:D4"/>
    <mergeCell ref="E1:L1"/>
    <mergeCell ref="M1:S1"/>
    <mergeCell ref="T1:V1"/>
    <mergeCell ref="E3:E4"/>
    <mergeCell ref="F3:F4"/>
    <mergeCell ref="Q3:Q4"/>
    <mergeCell ref="E2:F2"/>
    <mergeCell ref="G2:L2"/>
    <mergeCell ref="M2:M4"/>
    <mergeCell ref="N2:Q2"/>
    <mergeCell ref="R2:R4"/>
    <mergeCell ref="S2:S4"/>
    <mergeCell ref="T2:T4"/>
    <mergeCell ref="U2:U4"/>
    <mergeCell ref="V2:V4"/>
    <mergeCell ref="W1:X1"/>
    <mergeCell ref="W2:W4"/>
    <mergeCell ref="X2:X4"/>
    <mergeCell ref="G3:I3"/>
    <mergeCell ref="J3:L3"/>
    <mergeCell ref="N3:N4"/>
    <mergeCell ref="O3:O4"/>
    <mergeCell ref="P3:P4"/>
    <mergeCell ref="A39:B39"/>
    <mergeCell ref="A49:B49"/>
    <mergeCell ref="A54:B54"/>
    <mergeCell ref="A57:B57"/>
    <mergeCell ref="A11:B11"/>
    <mergeCell ref="A20:B20"/>
    <mergeCell ref="A27:B27"/>
    <mergeCell ref="A28:B28"/>
    <mergeCell ref="A33:B33"/>
    <mergeCell ref="A35:B35"/>
  </mergeCells>
  <conditionalFormatting sqref="W2:X2 W1 W61:X1048576 W17:X59 W5:X15">
    <cfRule type="colorScale" priority="1">
      <colorScale>
        <cfvo type="num" val="0"/>
        <cfvo type="num" val="0"/>
        <color rgb="FFFF0000"/>
        <color theme="9"/>
      </colorScale>
    </cfRule>
  </conditionalFormatting>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4c77c7d1-2bb2-481b-aefe-101f32e9588a" xsi:nil="true"/>
    <lcf76f155ced4ddcb4097134ff3c332f xmlns="101eaf33-1701-464d-baef-164c6127d51f">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83760B57A9050A41B8ECD167852D12BD" ma:contentTypeVersion="13" ma:contentTypeDescription="Crear nuevo documento." ma:contentTypeScope="" ma:versionID="eac238aecdab541038108c888c49e31e">
  <xsd:schema xmlns:xsd="http://www.w3.org/2001/XMLSchema" xmlns:xs="http://www.w3.org/2001/XMLSchema" xmlns:p="http://schemas.microsoft.com/office/2006/metadata/properties" xmlns:ns2="101eaf33-1701-464d-baef-164c6127d51f" xmlns:ns3="4c77c7d1-2bb2-481b-aefe-101f32e9588a" targetNamespace="http://schemas.microsoft.com/office/2006/metadata/properties" ma:root="true" ma:fieldsID="efe92b1ac631852ba9ae12b231089a75" ns2:_="" ns3:_="">
    <xsd:import namespace="101eaf33-1701-464d-baef-164c6127d51f"/>
    <xsd:import namespace="4c77c7d1-2bb2-481b-aefe-101f32e958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01eaf33-1701-464d-baef-164c6127d51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efd49586-4e9d-4401-97cc-84a6e35ca03c"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c77c7d1-2bb2-481b-aefe-101f32e958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7ce39c9-688e-4411-9501-255c93ef6400}" ma:internalName="TaxCatchAll" ma:showField="CatchAllData" ma:web="4c77c7d1-2bb2-481b-aefe-101f32e9588a">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76B673B-D3A6-4140-BCA7-BB68D279E5E5}"/>
</file>

<file path=customXml/itemProps2.xml><?xml version="1.0" encoding="utf-8"?>
<ds:datastoreItem xmlns:ds="http://schemas.openxmlformats.org/officeDocument/2006/customXml" ds:itemID="{EA2ADB75-6814-4B16-9DD3-A644CE2D97A4}"/>
</file>

<file path=customXml/itemProps3.xml><?xml version="1.0" encoding="utf-8"?>
<ds:datastoreItem xmlns:ds="http://schemas.openxmlformats.org/officeDocument/2006/customXml" ds:itemID="{27002EE9-020F-4C8A-BD4A-A4DFD950581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Alejandro Rodríguez López</dc:creator>
  <cp:keywords/>
  <dc:description/>
  <cp:lastModifiedBy>Alejandro Rodríguez López</cp:lastModifiedBy>
  <cp:revision/>
  <dcterms:created xsi:type="dcterms:W3CDTF">2006-09-16T00:00:00Z</dcterms:created>
  <dcterms:modified xsi:type="dcterms:W3CDTF">2024-05-02T17:37:46Z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0x01010083760B57A9050A41B8ECD167852D12BD</vt:lpwstr>
  </property>
  <property fmtid="{D5CDD505-2E9C-101B-9397-08002B2CF9AE}" pid="3" name="MediaServiceImageTags">
    <vt:lpwstr/>
  </property>
</Properties>
</file>