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 activeTab="3"/>
  </bookViews>
  <sheets>
    <sheet name="Financial Plan" sheetId="5" r:id="rId1"/>
    <sheet name="P&amp;L Breakdown" sheetId="6" r:id="rId2"/>
    <sheet name="Amort Koc Mobility 7 years" sheetId="7" r:id="rId3"/>
    <sheet name="Amort Tofas 30 years" sheetId="8" r:id="rId4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/>
  <c r="J38" i="5"/>
  <c r="J41"/>
  <c r="L35"/>
  <c r="H38"/>
  <c r="F38"/>
  <c r="H41"/>
  <c r="F41"/>
  <c r="D41"/>
  <c r="D38"/>
  <c r="D55"/>
  <c r="H55"/>
  <c r="F55"/>
  <c r="J55"/>
  <c r="L55"/>
  <c r="L47"/>
  <c r="D52"/>
  <c r="F52"/>
  <c r="H52"/>
  <c r="J52"/>
  <c r="L52"/>
  <c r="D30"/>
  <c r="F30"/>
  <c r="H30"/>
  <c r="J30"/>
  <c r="L30"/>
  <c r="D17"/>
  <c r="D83" s="1"/>
  <c r="D12"/>
  <c r="D10"/>
  <c r="D8"/>
  <c r="D6"/>
  <c r="D5"/>
  <c r="F17"/>
  <c r="F83" s="1"/>
  <c r="F12"/>
  <c r="F10"/>
  <c r="F8"/>
  <c r="F6"/>
  <c r="F5"/>
  <c r="H12"/>
  <c r="H10"/>
  <c r="H8"/>
  <c r="H6"/>
  <c r="H5"/>
  <c r="J17"/>
  <c r="J87" s="1"/>
  <c r="J12"/>
  <c r="J10"/>
  <c r="J8"/>
  <c r="J6"/>
  <c r="J5"/>
  <c r="L15"/>
  <c r="L12"/>
  <c r="L11"/>
  <c r="L10"/>
  <c r="L8"/>
  <c r="L6"/>
  <c r="L5"/>
  <c r="K26" i="6"/>
  <c r="K25"/>
  <c r="I26"/>
  <c r="I25"/>
  <c r="G26"/>
  <c r="G25"/>
  <c r="E26"/>
  <c r="E25"/>
  <c r="K23"/>
  <c r="I23"/>
  <c r="G23"/>
  <c r="E23"/>
  <c r="J10"/>
  <c r="J9"/>
  <c r="J8"/>
  <c r="J7"/>
  <c r="J6"/>
  <c r="H10"/>
  <c r="H9"/>
  <c r="H8"/>
  <c r="H7"/>
  <c r="H6"/>
  <c r="F10"/>
  <c r="F9"/>
  <c r="F8"/>
  <c r="F7"/>
  <c r="F6"/>
  <c r="D10"/>
  <c r="D9"/>
  <c r="D8"/>
  <c r="D7"/>
  <c r="D6"/>
  <c r="D4"/>
  <c r="E34"/>
  <c r="G34" s="1"/>
  <c r="I34" s="1"/>
  <c r="K34" s="1"/>
  <c r="E35"/>
  <c r="G35" s="1"/>
  <c r="I35" s="1"/>
  <c r="K35" s="1"/>
  <c r="E36"/>
  <c r="G36" s="1"/>
  <c r="I36" s="1"/>
  <c r="K36" s="1"/>
  <c r="E37"/>
  <c r="G37" s="1"/>
  <c r="I37" s="1"/>
  <c r="K37" s="1"/>
  <c r="E38"/>
  <c r="G38" s="1"/>
  <c r="I38" s="1"/>
  <c r="K38" s="1"/>
  <c r="E33"/>
  <c r="G33" s="1"/>
  <c r="I33" s="1"/>
  <c r="K33" s="1"/>
  <c r="E28"/>
  <c r="G28" s="1"/>
  <c r="I28" s="1"/>
  <c r="K28" s="1"/>
  <c r="E29"/>
  <c r="G29" s="1"/>
  <c r="I29" s="1"/>
  <c r="K29" s="1"/>
  <c r="E30"/>
  <c r="G30" s="1"/>
  <c r="I30" s="1"/>
  <c r="K30" s="1"/>
  <c r="E27"/>
  <c r="G27" s="1"/>
  <c r="I27" s="1"/>
  <c r="K27" s="1"/>
  <c r="D12"/>
  <c r="F12" s="1"/>
  <c r="H12" s="1"/>
  <c r="J12" s="1"/>
  <c r="D13"/>
  <c r="F13" s="1"/>
  <c r="H13" s="1"/>
  <c r="J13" s="1"/>
  <c r="D14"/>
  <c r="F14" s="1"/>
  <c r="H14" s="1"/>
  <c r="J14" s="1"/>
  <c r="D15"/>
  <c r="F15" s="1"/>
  <c r="H15" s="1"/>
  <c r="J15" s="1"/>
  <c r="D16"/>
  <c r="F16" s="1"/>
  <c r="H16" s="1"/>
  <c r="J16" s="1"/>
  <c r="D17"/>
  <c r="F17" s="1"/>
  <c r="H17" s="1"/>
  <c r="J17" s="1"/>
  <c r="D18"/>
  <c r="F18" s="1"/>
  <c r="H18" s="1"/>
  <c r="J18" s="1"/>
  <c r="D19"/>
  <c r="F19" s="1"/>
  <c r="H19" s="1"/>
  <c r="J19" s="1"/>
  <c r="D11"/>
  <c r="F11" s="1"/>
  <c r="H11" s="1"/>
  <c r="J11" s="1"/>
  <c r="J49"/>
  <c r="J43"/>
  <c r="J44"/>
  <c r="J34"/>
  <c r="J35"/>
  <c r="J36"/>
  <c r="J37"/>
  <c r="J38"/>
  <c r="J48"/>
  <c r="J47" s="1"/>
  <c r="J42"/>
  <c r="J33"/>
  <c r="J25"/>
  <c r="J26"/>
  <c r="J27"/>
  <c r="J28"/>
  <c r="J29"/>
  <c r="J30"/>
  <c r="J31"/>
  <c r="J24"/>
  <c r="K7"/>
  <c r="K8"/>
  <c r="K9"/>
  <c r="K10"/>
  <c r="K11"/>
  <c r="K12"/>
  <c r="K13"/>
  <c r="K14"/>
  <c r="K15"/>
  <c r="K16"/>
  <c r="K17"/>
  <c r="K18"/>
  <c r="K19"/>
  <c r="K6"/>
  <c r="K47"/>
  <c r="J41"/>
  <c r="K41"/>
  <c r="J32"/>
  <c r="K32"/>
  <c r="J5"/>
  <c r="H49"/>
  <c r="H47" s="1"/>
  <c r="H43"/>
  <c r="H44"/>
  <c r="H34"/>
  <c r="H35"/>
  <c r="H36"/>
  <c r="H37"/>
  <c r="H38"/>
  <c r="H48"/>
  <c r="H42"/>
  <c r="H33"/>
  <c r="H24"/>
  <c r="H25"/>
  <c r="H26"/>
  <c r="H27"/>
  <c r="H28"/>
  <c r="H29"/>
  <c r="H30"/>
  <c r="H31"/>
  <c r="I47"/>
  <c r="H41"/>
  <c r="I41"/>
  <c r="H32"/>
  <c r="I32"/>
  <c r="I7"/>
  <c r="I8"/>
  <c r="I9"/>
  <c r="I10"/>
  <c r="I11"/>
  <c r="I12"/>
  <c r="I13"/>
  <c r="I14"/>
  <c r="I15"/>
  <c r="I16"/>
  <c r="I17"/>
  <c r="I18"/>
  <c r="I19"/>
  <c r="I6"/>
  <c r="H5"/>
  <c r="I5"/>
  <c r="F49"/>
  <c r="F43"/>
  <c r="F44"/>
  <c r="F34"/>
  <c r="F35"/>
  <c r="F36"/>
  <c r="F37"/>
  <c r="F38"/>
  <c r="F24"/>
  <c r="F25"/>
  <c r="F26"/>
  <c r="F27"/>
  <c r="F28"/>
  <c r="F29"/>
  <c r="F30"/>
  <c r="F31"/>
  <c r="F48"/>
  <c r="F42"/>
  <c r="F33"/>
  <c r="F47"/>
  <c r="G47"/>
  <c r="H17" i="5" s="1"/>
  <c r="F41" i="6"/>
  <c r="G41"/>
  <c r="F32"/>
  <c r="G32"/>
  <c r="G7"/>
  <c r="G8"/>
  <c r="G9"/>
  <c r="G10"/>
  <c r="G11"/>
  <c r="G12"/>
  <c r="G13"/>
  <c r="G14"/>
  <c r="G15"/>
  <c r="G16"/>
  <c r="G17"/>
  <c r="G18"/>
  <c r="G19"/>
  <c r="G6"/>
  <c r="F5"/>
  <c r="G5"/>
  <c r="D49"/>
  <c r="D43"/>
  <c r="D44"/>
  <c r="D34"/>
  <c r="D35"/>
  <c r="D36"/>
  <c r="D37"/>
  <c r="D38"/>
  <c r="D48"/>
  <c r="D42"/>
  <c r="D33"/>
  <c r="D24"/>
  <c r="D25"/>
  <c r="D26"/>
  <c r="D27"/>
  <c r="D28"/>
  <c r="D29"/>
  <c r="D30"/>
  <c r="D31"/>
  <c r="B23"/>
  <c r="D47"/>
  <c r="E47"/>
  <c r="D41"/>
  <c r="E41"/>
  <c r="D32"/>
  <c r="E32"/>
  <c r="E22"/>
  <c r="E4"/>
  <c r="D5"/>
  <c r="E19"/>
  <c r="E7"/>
  <c r="E8"/>
  <c r="E9"/>
  <c r="E10"/>
  <c r="E11"/>
  <c r="E12"/>
  <c r="E13"/>
  <c r="E14"/>
  <c r="E15"/>
  <c r="E16"/>
  <c r="E17"/>
  <c r="E18"/>
  <c r="E6"/>
  <c r="C7"/>
  <c r="C8"/>
  <c r="C9"/>
  <c r="C10"/>
  <c r="C11"/>
  <c r="C12"/>
  <c r="C13"/>
  <c r="C14"/>
  <c r="C15"/>
  <c r="C16"/>
  <c r="C17"/>
  <c r="C18"/>
  <c r="C19"/>
  <c r="C22"/>
  <c r="C6"/>
  <c r="C5"/>
  <c r="C4"/>
  <c r="C20" s="1"/>
  <c r="C21" s="1"/>
  <c r="B49"/>
  <c r="B43"/>
  <c r="B44"/>
  <c r="B34"/>
  <c r="B35"/>
  <c r="B36"/>
  <c r="B37"/>
  <c r="B38"/>
  <c r="B48"/>
  <c r="B47" s="1"/>
  <c r="B42"/>
  <c r="B33"/>
  <c r="B26"/>
  <c r="B27"/>
  <c r="B28"/>
  <c r="B29"/>
  <c r="B30"/>
  <c r="B31"/>
  <c r="C47"/>
  <c r="L17" i="5" s="1"/>
  <c r="C41" i="6"/>
  <c r="C32"/>
  <c r="B41"/>
  <c r="B32"/>
  <c r="B5"/>
  <c r="B20" s="1"/>
  <c r="L7" i="5"/>
  <c r="J184"/>
  <c r="H184"/>
  <c r="F184"/>
  <c r="D184"/>
  <c r="J173"/>
  <c r="H173"/>
  <c r="F173"/>
  <c r="D173"/>
  <c r="J169"/>
  <c r="H169"/>
  <c r="F169"/>
  <c r="D169"/>
  <c r="J165"/>
  <c r="H165"/>
  <c r="F165"/>
  <c r="D165"/>
  <c r="J156"/>
  <c r="J160" s="1"/>
  <c r="H156"/>
  <c r="H160" s="1"/>
  <c r="F156"/>
  <c r="F160" s="1"/>
  <c r="D156"/>
  <c r="D160" s="1"/>
  <c r="H148"/>
  <c r="F148"/>
  <c r="D148"/>
  <c r="J142"/>
  <c r="H142"/>
  <c r="F142"/>
  <c r="D142"/>
  <c r="J138"/>
  <c r="H138"/>
  <c r="F138"/>
  <c r="D138"/>
  <c r="L115"/>
  <c r="J115"/>
  <c r="H115"/>
  <c r="F115"/>
  <c r="D115"/>
  <c r="J107"/>
  <c r="H107"/>
  <c r="F107"/>
  <c r="D107"/>
  <c r="F87"/>
  <c r="D87"/>
  <c r="L79"/>
  <c r="J79"/>
  <c r="H79"/>
  <c r="F79"/>
  <c r="D79"/>
  <c r="L64"/>
  <c r="J64"/>
  <c r="H64"/>
  <c r="F64"/>
  <c r="D64"/>
  <c r="L53"/>
  <c r="J53"/>
  <c r="H53"/>
  <c r="F53"/>
  <c r="W5" s="1"/>
  <c r="D53"/>
  <c r="L49"/>
  <c r="L48" s="1"/>
  <c r="L43" s="1"/>
  <c r="AI9" s="1"/>
  <c r="J49"/>
  <c r="J48" s="1"/>
  <c r="J43" s="1"/>
  <c r="AE9" s="1"/>
  <c r="H49"/>
  <c r="F49"/>
  <c r="D49"/>
  <c r="D48" s="1"/>
  <c r="L44"/>
  <c r="J44"/>
  <c r="X30" s="1"/>
  <c r="X42" s="1"/>
  <c r="H44"/>
  <c r="V30" s="1"/>
  <c r="V42" s="1"/>
  <c r="F44"/>
  <c r="T30" s="1"/>
  <c r="T42" s="1"/>
  <c r="D44"/>
  <c r="R30" s="1"/>
  <c r="R42" s="1"/>
  <c r="Z39"/>
  <c r="X39"/>
  <c r="V39"/>
  <c r="T39"/>
  <c r="R39"/>
  <c r="Z38"/>
  <c r="X38"/>
  <c r="V38"/>
  <c r="T38"/>
  <c r="R38"/>
  <c r="Z37"/>
  <c r="X37"/>
  <c r="V37"/>
  <c r="T37"/>
  <c r="R37"/>
  <c r="Z34"/>
  <c r="X34"/>
  <c r="V34"/>
  <c r="T34"/>
  <c r="R34"/>
  <c r="L34"/>
  <c r="L97" s="1"/>
  <c r="J34"/>
  <c r="J97" s="1"/>
  <c r="H34"/>
  <c r="H97" s="1"/>
  <c r="F34"/>
  <c r="D34"/>
  <c r="D97" s="1"/>
  <c r="Z33"/>
  <c r="X33"/>
  <c r="V33"/>
  <c r="T33"/>
  <c r="R33"/>
  <c r="H32"/>
  <c r="H27" s="1"/>
  <c r="F32"/>
  <c r="F27" s="1"/>
  <c r="D32"/>
  <c r="R5" s="1"/>
  <c r="Z30"/>
  <c r="Z42" s="1"/>
  <c r="L28"/>
  <c r="J28"/>
  <c r="J126" s="1"/>
  <c r="H28"/>
  <c r="H126" s="1"/>
  <c r="F28"/>
  <c r="F126" s="1"/>
  <c r="D28"/>
  <c r="Z23"/>
  <c r="X23"/>
  <c r="V23"/>
  <c r="T23"/>
  <c r="R23"/>
  <c r="T22"/>
  <c r="R22"/>
  <c r="Z21"/>
  <c r="X21"/>
  <c r="V21"/>
  <c r="T21"/>
  <c r="R21"/>
  <c r="Z18"/>
  <c r="X18"/>
  <c r="V18"/>
  <c r="T18"/>
  <c r="R18"/>
  <c r="Z17"/>
  <c r="X17"/>
  <c r="V17"/>
  <c r="T17"/>
  <c r="R17"/>
  <c r="Z16"/>
  <c r="X16"/>
  <c r="V16"/>
  <c r="T16"/>
  <c r="R16"/>
  <c r="AH9"/>
  <c r="AD9"/>
  <c r="Z9"/>
  <c r="AI7"/>
  <c r="AI5" s="1"/>
  <c r="Z7"/>
  <c r="V7"/>
  <c r="R7"/>
  <c r="J7"/>
  <c r="J11" s="1"/>
  <c r="J15" s="1"/>
  <c r="H7"/>
  <c r="H11" s="1"/>
  <c r="H15" s="1"/>
  <c r="F7"/>
  <c r="F11" s="1"/>
  <c r="F15" s="1"/>
  <c r="D7"/>
  <c r="D11" s="1"/>
  <c r="D15" s="1"/>
  <c r="D18" s="1"/>
  <c r="AE5"/>
  <c r="AE7" s="1"/>
  <c r="AA5"/>
  <c r="AA7" s="1"/>
  <c r="S5"/>
  <c r="S7" s="1"/>
  <c r="AD7" l="1"/>
  <c r="V22"/>
  <c r="J32"/>
  <c r="L32"/>
  <c r="L27" s="1"/>
  <c r="AH7"/>
  <c r="AH5"/>
  <c r="Z22"/>
  <c r="Z27" s="1"/>
  <c r="X22"/>
  <c r="X27" s="1"/>
  <c r="T27"/>
  <c r="Z5"/>
  <c r="V27"/>
  <c r="V5"/>
  <c r="R27"/>
  <c r="R9"/>
  <c r="V9"/>
  <c r="W7"/>
  <c r="F48"/>
  <c r="F43" s="1"/>
  <c r="W9" s="1"/>
  <c r="F97"/>
  <c r="H48"/>
  <c r="H43" s="1"/>
  <c r="AA9" s="1"/>
  <c r="D43"/>
  <c r="S9" s="1"/>
  <c r="L83"/>
  <c r="F18"/>
  <c r="H87"/>
  <c r="H83"/>
  <c r="H18"/>
  <c r="J83"/>
  <c r="J18"/>
  <c r="D126"/>
  <c r="D27"/>
  <c r="E29" s="1"/>
  <c r="B21" i="6"/>
  <c r="C39"/>
  <c r="F4"/>
  <c r="D20"/>
  <c r="D21" s="1"/>
  <c r="D23"/>
  <c r="D22"/>
  <c r="K5"/>
  <c r="E5"/>
  <c r="E20" s="1"/>
  <c r="L184" i="5"/>
  <c r="L148"/>
  <c r="J148"/>
  <c r="L134"/>
  <c r="L130"/>
  <c r="L126"/>
  <c r="L107"/>
  <c r="L87"/>
  <c r="L18"/>
  <c r="L169"/>
  <c r="L165"/>
  <c r="L142"/>
  <c r="L138"/>
  <c r="D19"/>
  <c r="D20" s="1"/>
  <c r="F19"/>
  <c r="F20" s="1"/>
  <c r="H19"/>
  <c r="H20" s="1"/>
  <c r="J19"/>
  <c r="J20" s="1"/>
  <c r="L173"/>
  <c r="L156"/>
  <c r="L160" s="1"/>
  <c r="F134"/>
  <c r="G41"/>
  <c r="G40"/>
  <c r="G38"/>
  <c r="G37"/>
  <c r="G36"/>
  <c r="G35"/>
  <c r="G33"/>
  <c r="G31"/>
  <c r="G30"/>
  <c r="G29"/>
  <c r="H134"/>
  <c r="I41"/>
  <c r="I40"/>
  <c r="I38"/>
  <c r="I37"/>
  <c r="I36"/>
  <c r="I35"/>
  <c r="I33"/>
  <c r="I31"/>
  <c r="I30"/>
  <c r="I29"/>
  <c r="M41"/>
  <c r="M40"/>
  <c r="M39" s="1"/>
  <c r="M38"/>
  <c r="M37"/>
  <c r="M36"/>
  <c r="M35"/>
  <c r="M34" s="1"/>
  <c r="M33"/>
  <c r="M31"/>
  <c r="M30"/>
  <c r="M29"/>
  <c r="M28" s="1"/>
  <c r="D130"/>
  <c r="D93"/>
  <c r="D63"/>
  <c r="D65" s="1"/>
  <c r="F130"/>
  <c r="F93"/>
  <c r="F63"/>
  <c r="F65" s="1"/>
  <c r="H130"/>
  <c r="H93"/>
  <c r="H63"/>
  <c r="H65" s="1"/>
  <c r="J130"/>
  <c r="J93"/>
  <c r="J63"/>
  <c r="J65" s="1"/>
  <c r="L93"/>
  <c r="L63"/>
  <c r="L65" s="1"/>
  <c r="E55"/>
  <c r="I58"/>
  <c r="I57"/>
  <c r="I56"/>
  <c r="I55"/>
  <c r="I54"/>
  <c r="I52"/>
  <c r="I51"/>
  <c r="I50"/>
  <c r="I49" s="1"/>
  <c r="I47"/>
  <c r="I46"/>
  <c r="I45"/>
  <c r="K58"/>
  <c r="K57"/>
  <c r="K56"/>
  <c r="K55"/>
  <c r="K54"/>
  <c r="K52"/>
  <c r="K51"/>
  <c r="K50"/>
  <c r="K47"/>
  <c r="K46"/>
  <c r="K45"/>
  <c r="M58"/>
  <c r="M57"/>
  <c r="M56"/>
  <c r="M55"/>
  <c r="M54"/>
  <c r="M52"/>
  <c r="M51"/>
  <c r="M50"/>
  <c r="M47"/>
  <c r="M46"/>
  <c r="M45"/>
  <c r="D180"/>
  <c r="F188"/>
  <c r="F180"/>
  <c r="H188"/>
  <c r="H180"/>
  <c r="I44"/>
  <c r="J180"/>
  <c r="K44"/>
  <c r="L188"/>
  <c r="L180"/>
  <c r="M44"/>
  <c r="F71"/>
  <c r="H71"/>
  <c r="I48"/>
  <c r="K48"/>
  <c r="L71"/>
  <c r="M48"/>
  <c r="D101"/>
  <c r="D75"/>
  <c r="F101"/>
  <c r="F75"/>
  <c r="H101"/>
  <c r="H75"/>
  <c r="J101"/>
  <c r="J75"/>
  <c r="L101"/>
  <c r="L75"/>
  <c r="J27" l="1"/>
  <c r="AD5"/>
  <c r="M32"/>
  <c r="M27" s="1"/>
  <c r="I28"/>
  <c r="G34"/>
  <c r="G32" s="1"/>
  <c r="G28"/>
  <c r="G39"/>
  <c r="I34"/>
  <c r="I32" s="1"/>
  <c r="I27" s="1"/>
  <c r="I39"/>
  <c r="E33"/>
  <c r="E36"/>
  <c r="E37"/>
  <c r="D71"/>
  <c r="E40"/>
  <c r="E41"/>
  <c r="E30"/>
  <c r="E28" s="1"/>
  <c r="D134"/>
  <c r="E31"/>
  <c r="D188"/>
  <c r="E35"/>
  <c r="E57"/>
  <c r="G58"/>
  <c r="G48"/>
  <c r="G50"/>
  <c r="G45"/>
  <c r="G47"/>
  <c r="G51"/>
  <c r="G49" s="1"/>
  <c r="G52"/>
  <c r="G54"/>
  <c r="E58"/>
  <c r="E56"/>
  <c r="E45"/>
  <c r="E46"/>
  <c r="E48"/>
  <c r="E47"/>
  <c r="E51"/>
  <c r="E52"/>
  <c r="E50"/>
  <c r="E44"/>
  <c r="E54"/>
  <c r="G55"/>
  <c r="G56"/>
  <c r="G44"/>
  <c r="G43" s="1"/>
  <c r="G46"/>
  <c r="G57"/>
  <c r="K49"/>
  <c r="M53"/>
  <c r="E53"/>
  <c r="I53"/>
  <c r="K53"/>
  <c r="M49"/>
  <c r="C40" i="6"/>
  <c r="C45"/>
  <c r="E39"/>
  <c r="E21"/>
  <c r="D39"/>
  <c r="H4"/>
  <c r="F20"/>
  <c r="F21" s="1"/>
  <c r="G4"/>
  <c r="G20" s="1"/>
  <c r="G21" s="1"/>
  <c r="F23"/>
  <c r="F22" s="1"/>
  <c r="G22"/>
  <c r="M43" i="5"/>
  <c r="K43"/>
  <c r="I43"/>
  <c r="L19"/>
  <c r="L20" s="1"/>
  <c r="K40" l="1"/>
  <c r="K29"/>
  <c r="J188"/>
  <c r="J71"/>
  <c r="K33"/>
  <c r="K38"/>
  <c r="K30"/>
  <c r="K37"/>
  <c r="K36"/>
  <c r="K41"/>
  <c r="K35"/>
  <c r="K31"/>
  <c r="J134"/>
  <c r="G27"/>
  <c r="E39"/>
  <c r="E38" s="1"/>
  <c r="E34"/>
  <c r="E32" s="1"/>
  <c r="E27" s="1"/>
  <c r="G53"/>
  <c r="E49"/>
  <c r="E43"/>
  <c r="C46" i="6"/>
  <c r="C50"/>
  <c r="C52" s="1"/>
  <c r="D40"/>
  <c r="D45"/>
  <c r="E40"/>
  <c r="E45"/>
  <c r="G39"/>
  <c r="F39"/>
  <c r="J4"/>
  <c r="H20"/>
  <c r="H21" s="1"/>
  <c r="I4"/>
  <c r="I20" s="1"/>
  <c r="I21" s="1"/>
  <c r="H23"/>
  <c r="H22" s="1"/>
  <c r="I22"/>
  <c r="K34" i="5" l="1"/>
  <c r="K32" s="1"/>
  <c r="K28"/>
  <c r="K39"/>
  <c r="E46" i="6"/>
  <c r="E50"/>
  <c r="D46"/>
  <c r="D50"/>
  <c r="C53"/>
  <c r="C54" s="1"/>
  <c r="C51"/>
  <c r="F40"/>
  <c r="F45"/>
  <c r="G40"/>
  <c r="G45"/>
  <c r="I39"/>
  <c r="H39"/>
  <c r="J20"/>
  <c r="J21" s="1"/>
  <c r="K4"/>
  <c r="K20" s="1"/>
  <c r="K21" s="1"/>
  <c r="J23"/>
  <c r="J22" s="1"/>
  <c r="K22"/>
  <c r="K27" i="5" l="1"/>
  <c r="G46" i="6"/>
  <c r="G50"/>
  <c r="F46"/>
  <c r="F50"/>
  <c r="D52"/>
  <c r="D53" s="1"/>
  <c r="D54" s="1"/>
  <c r="D51"/>
  <c r="E52"/>
  <c r="E53" s="1"/>
  <c r="E54" s="1"/>
  <c r="E51"/>
  <c r="H40"/>
  <c r="H45"/>
  <c r="I40"/>
  <c r="I45"/>
  <c r="K39"/>
  <c r="J39"/>
  <c r="B25"/>
  <c r="B24"/>
  <c r="B22"/>
  <c r="I46" l="1"/>
  <c r="I50"/>
  <c r="H46"/>
  <c r="H50"/>
  <c r="F52"/>
  <c r="F53" s="1"/>
  <c r="F54" s="1"/>
  <c r="F51"/>
  <c r="G52"/>
  <c r="G53" s="1"/>
  <c r="G54" s="1"/>
  <c r="G51"/>
  <c r="B39"/>
  <c r="J40"/>
  <c r="J45"/>
  <c r="K40"/>
  <c r="K45"/>
  <c r="K46" l="1"/>
  <c r="K50"/>
  <c r="J46"/>
  <c r="J50"/>
  <c r="H52"/>
  <c r="H53" s="1"/>
  <c r="H54" s="1"/>
  <c r="H51"/>
  <c r="I52"/>
  <c r="I53" s="1"/>
  <c r="I54" s="1"/>
  <c r="I51"/>
  <c r="B45"/>
  <c r="B40"/>
  <c r="B46" l="1"/>
  <c r="B50"/>
  <c r="J52"/>
  <c r="J53" s="1"/>
  <c r="J54" s="1"/>
  <c r="J51"/>
  <c r="K52"/>
  <c r="K53" s="1"/>
  <c r="K54" s="1"/>
  <c r="K51"/>
  <c r="B52" l="1"/>
  <c r="B53" s="1"/>
  <c r="B54" s="1"/>
  <c r="B51"/>
</calcChain>
</file>

<file path=xl/sharedStrings.xml><?xml version="1.0" encoding="utf-8"?>
<sst xmlns="http://schemas.openxmlformats.org/spreadsheetml/2006/main" count="1059" uniqueCount="603">
  <si>
    <t>INCOME STATEMENT</t>
  </si>
  <si>
    <t>Year 5</t>
  </si>
  <si>
    <t>%</t>
  </si>
  <si>
    <t>Year 4</t>
  </si>
  <si>
    <t>Year 3</t>
  </si>
  <si>
    <t>Year 2</t>
  </si>
  <si>
    <t>Year 1</t>
  </si>
  <si>
    <t>SALES</t>
  </si>
  <si>
    <t>AC casi el doble que el PC, CORRECTO, AC bastante menor que el doble del PC, PRECAUCIÓN, AC bastante mayor que el doble del PC</t>
  </si>
  <si>
    <t>CURRENT ASSET</t>
  </si>
  <si>
    <t>CURRENT LIABILITIES</t>
  </si>
  <si>
    <t>Operating income</t>
  </si>
  <si>
    <t>(-)Variable Costs</t>
  </si>
  <si>
    <t>PRINCIPLES</t>
  </si>
  <si>
    <t>Realizable más dispo=PC, CORRECTO. Realizable más dispo menor que PC, PRECAUCIÓN. Realizable más dispo mayor que PC, ATENCIÓN</t>
  </si>
  <si>
    <t>REALIZABLE + AVAILABLE</t>
  </si>
  <si>
    <t>(=)Gross Margin</t>
  </si>
  <si>
    <t>(-) Fixed Costs</t>
  </si>
  <si>
    <t>FP= 40 o 50% del pasivo, CORRECTO.  FP menor del 40 o 50% del pasivo, PRECAUCIÓN. FP mayor al 50% del pasivo, ATENCIÓN</t>
  </si>
  <si>
    <t>EQUITY</t>
  </si>
  <si>
    <t>EQUITY + LIABILITIES</t>
  </si>
  <si>
    <t>(+) Other Operating Income</t>
  </si>
  <si>
    <t>(-) Other Operating Expenses</t>
  </si>
  <si>
    <t>(=) EBITDA</t>
  </si>
  <si>
    <t>(-) Amortizations</t>
  </si>
  <si>
    <t>Years 4 to 5</t>
  </si>
  <si>
    <t>Years 3 to 4</t>
  </si>
  <si>
    <t>Years 2 to 3</t>
  </si>
  <si>
    <t>Years 1 to 2</t>
  </si>
  <si>
    <t>Years 1 to 4</t>
  </si>
  <si>
    <t>(+) Extraordinary Income</t>
  </si>
  <si>
    <t>(-) Extraordinary Expenses</t>
  </si>
  <si>
    <t>ASSET</t>
  </si>
  <si>
    <t>(=) EBIT</t>
  </si>
  <si>
    <t>FIXED ASSET</t>
  </si>
  <si>
    <t>(+) Financial Income</t>
  </si>
  <si>
    <t>Intangible Fixed Asset</t>
  </si>
  <si>
    <t>(-) Financial Expenses</t>
  </si>
  <si>
    <t>Property, plant and equipment</t>
  </si>
  <si>
    <t>(=) EBT</t>
  </si>
  <si>
    <t>Financial Fixed Asset</t>
  </si>
  <si>
    <t xml:space="preserve">(-) Corporate Tax </t>
  </si>
  <si>
    <t>(=) Net Profit</t>
  </si>
  <si>
    <t>Inventory</t>
  </si>
  <si>
    <t>Realizable</t>
  </si>
  <si>
    <t>Available</t>
  </si>
  <si>
    <t>BALANCE SHEET</t>
  </si>
  <si>
    <t>ASSETS</t>
  </si>
  <si>
    <t>TOTAL</t>
  </si>
  <si>
    <t>NON-CURRENT ASSETS</t>
  </si>
  <si>
    <t>EQUITY + TOTAL LIABILITIES</t>
  </si>
  <si>
    <t>Intangible Fixed Assets</t>
  </si>
  <si>
    <t>Tangible Fixed Assets</t>
  </si>
  <si>
    <t>Equity</t>
  </si>
  <si>
    <t>Financial Fixed Assets</t>
  </si>
  <si>
    <t>LIABILITIES</t>
  </si>
  <si>
    <t>CURRENT ASSETS</t>
  </si>
  <si>
    <t>NON-CURRENT LIABILITIES</t>
  </si>
  <si>
    <t>Stock</t>
  </si>
  <si>
    <t>Long-term Debts with cost</t>
  </si>
  <si>
    <t>Realizable Assets</t>
  </si>
  <si>
    <t>Long-term Debts without cost</t>
  </si>
  <si>
    <t>Accounts Receivable (Customers)</t>
  </si>
  <si>
    <t>Public Administration Receivables</t>
  </si>
  <si>
    <t>Other Short-Term  Financial investments</t>
  </si>
  <si>
    <t>Short-term Debts with cost</t>
  </si>
  <si>
    <t>Cash and Cash Equivalents</t>
  </si>
  <si>
    <t>Suppliers</t>
  </si>
  <si>
    <t>Treasury</t>
  </si>
  <si>
    <t>Other creditors</t>
  </si>
  <si>
    <t>Cash on Hand</t>
  </si>
  <si>
    <t>Cash at Banks</t>
  </si>
  <si>
    <t>EQUITY AND LIABILITIES</t>
  </si>
  <si>
    <t>EQUITY/NET WORTH</t>
  </si>
  <si>
    <t>Share Capital</t>
  </si>
  <si>
    <t>APLICATION</t>
  </si>
  <si>
    <t>Reserves</t>
  </si>
  <si>
    <t>Net Income</t>
  </si>
  <si>
    <t>ASSET INCREASE AND LIABILITIES REDUCTION</t>
  </si>
  <si>
    <t>Long-Term Interest-Bearing Liabilities</t>
  </si>
  <si>
    <t>Long-Term Non-Interest-Bearing Liabilities</t>
  </si>
  <si>
    <t>Long-Term Bank Loans</t>
  </si>
  <si>
    <t>SOAF</t>
  </si>
  <si>
    <t>ORIGIN</t>
  </si>
  <si>
    <t>Statement of Origin and
Application of Funds</t>
  </si>
  <si>
    <t>Short-Term Interest-Bearing Liabilities</t>
  </si>
  <si>
    <t>LIABILITIES INCREASE AND ASSET REDUCTION</t>
  </si>
  <si>
    <t>Short-Term Bank Loans</t>
  </si>
  <si>
    <t>Accounts Payable (Suppliers)</t>
  </si>
  <si>
    <t>Other Creditors</t>
  </si>
  <si>
    <t>Public Administration Payables</t>
  </si>
  <si>
    <t>Working Capital / Operating Funding Requirements</t>
  </si>
  <si>
    <t>Required Short-Term Credit or Cash Surplus</t>
  </si>
  <si>
    <t>LEVERAGE RATIOS</t>
  </si>
  <si>
    <t>DEBT RATIO</t>
  </si>
  <si>
    <t>total liabilities / total asset</t>
  </si>
  <si>
    <t>DEBT QUALITY</t>
  </si>
  <si>
    <t>current liabilities / total liabilities</t>
  </si>
  <si>
    <t>DEBT REPAYMENT CAPACITY</t>
  </si>
  <si>
    <t>Resultado del ejc / Deudas con ent.cred a c/p y l/p</t>
  </si>
  <si>
    <t>COST OF DEBT</t>
  </si>
  <si>
    <t>gastos financieros / deudas con coste (LAS QUE GENERAN INTERÉS, deudas con ent d credito y arrendamientos financieros)</t>
  </si>
  <si>
    <t>FINANCIAL EXPENSES</t>
  </si>
  <si>
    <t>Gastos financieros / (ventas, QUE SON EL IMPORTE NETO DE LA CIFRA DE NEGOCIOS) el resultado se multiplica x100</t>
  </si>
  <si>
    <t>SOLVENCY AND LIQUIDITY RATIOS</t>
  </si>
  <si>
    <t>LIQUIDITY</t>
  </si>
  <si>
    <t>activo corriente/pasivo corriente</t>
  </si>
  <si>
    <t>ACID-TEST RATIO</t>
  </si>
  <si>
    <t>(realizable+disponible)/pasivo corriente</t>
  </si>
  <si>
    <t>TREASURY</t>
  </si>
  <si>
    <t>tesorería/pasivo corriente</t>
  </si>
  <si>
    <t>RECEIVABLES AND PAYABLE MANAGEMENT RATIOS</t>
  </si>
  <si>
    <t>COLLECTION PERIOD</t>
  </si>
  <si>
    <t>clientes/ventas diarias</t>
  </si>
  <si>
    <t>DELINQUENCY/BAD DEBT</t>
  </si>
  <si>
    <t>deterioro clientes/ventas</t>
  </si>
  <si>
    <t>CUSTOMER FINANCING BY SUPPLIERS</t>
  </si>
  <si>
    <t>proveedores/clientes</t>
  </si>
  <si>
    <t>PAYMENT PERIOD</t>
  </si>
  <si>
    <t>proveedores/compras diarias</t>
  </si>
  <si>
    <t>ASSET MANAGEMENT RATIOS</t>
  </si>
  <si>
    <t>FIXED ASSET TURNOVER</t>
  </si>
  <si>
    <t>ventas/activo no corriente</t>
  </si>
  <si>
    <t>CURRENT ASSET TURNOVER</t>
  </si>
  <si>
    <t>ventas/activo corriente</t>
  </si>
  <si>
    <t>TOTAL ASSET TURNOVER</t>
  </si>
  <si>
    <t>ventas/activo total</t>
  </si>
  <si>
    <t>INVENTORY TURNOVER</t>
  </si>
  <si>
    <t>coste de ventas/existencias</t>
  </si>
  <si>
    <t>INVENTORY HOLDING PERIOD</t>
  </si>
  <si>
    <t>existencias/coste ventas diarias</t>
  </si>
  <si>
    <t>INCOME STATEMENT ANALYSIS</t>
  </si>
  <si>
    <t>SALES GROWTH</t>
  </si>
  <si>
    <t>vtas último año/vtas año anterior</t>
  </si>
  <si>
    <t>SALES PER EMPLOYEE</t>
  </si>
  <si>
    <t>ventas/número de empleados</t>
  </si>
  <si>
    <t>BREAK-EVEN POINT</t>
  </si>
  <si>
    <t>gastos fijos/1-gastos variables sobre vtas</t>
  </si>
  <si>
    <t>BREAK-EVEN COVERAGE</t>
  </si>
  <si>
    <t>ventas/punto de equilibrio</t>
  </si>
  <si>
    <t>EXPENSES/COSTS</t>
  </si>
  <si>
    <t>TREND IN X EXPENSES</t>
  </si>
  <si>
    <t>gasto X/ventas</t>
  </si>
  <si>
    <t>VARIABLE COSTS</t>
  </si>
  <si>
    <t>Gastos variables/ventas</t>
  </si>
  <si>
    <t>FIXED COSTS</t>
  </si>
  <si>
    <t>gastos fijos/ventas</t>
  </si>
  <si>
    <t>PROFITABILITY</t>
  </si>
  <si>
    <t>PROFITABILITY OF EQUITY</t>
  </si>
  <si>
    <t>RESULT / EQUITY</t>
  </si>
  <si>
    <t>MARGIN</t>
  </si>
  <si>
    <t>RESULT / SALES</t>
  </si>
  <si>
    <t>SOLVENCY</t>
  </si>
  <si>
    <t>EQUITY / TOTAL ASSET</t>
  </si>
  <si>
    <t>units sold =</t>
  </si>
  <si>
    <t>per unit</t>
  </si>
  <si>
    <t>total</t>
  </si>
  <si>
    <t>Variable Costs</t>
  </si>
  <si>
    <t xml:space="preserve">    ∟ (TUR) Material &amp; battery</t>
  </si>
  <si>
    <t xml:space="preserve">    ∟ (TUR) Purchase transport</t>
  </si>
  <si>
    <t xml:space="preserve">    ∟ (TUR) Factory energy</t>
  </si>
  <si>
    <t xml:space="preserve">    ∟ (TUR) Land Transport Bursa-Pendik</t>
  </si>
  <si>
    <t xml:space="preserve">    ∟ (TUR) Insurance</t>
  </si>
  <si>
    <t xml:space="preserve">    ∟ (GER) Freight Pendik-Trieste</t>
  </si>
  <si>
    <t xml:space="preserve">    ∟ (GER) Land Transport Trieste-Munchen</t>
  </si>
  <si>
    <t xml:space="preserve">    ∟ (GER) Storage cost per month</t>
  </si>
  <si>
    <t xml:space="preserve">    ∟ (GER) Wrapping</t>
  </si>
  <si>
    <t xml:space="preserve">    ∟ (GER) Vehicle registration fee</t>
  </si>
  <si>
    <t xml:space="preserve">    ∟ (GER) License plates</t>
  </si>
  <si>
    <t xml:space="preserve">    ∟ (GER) Emissions sticker (environmental badge)</t>
  </si>
  <si>
    <t xml:space="preserve">    ∟ (GER) Initial technical inspection (TÜV/ITV)</t>
  </si>
  <si>
    <t xml:space="preserve">    ∟ (GER) First‑year insurance (eVB confirmation)</t>
  </si>
  <si>
    <t>Gross margin</t>
  </si>
  <si>
    <t>% income</t>
  </si>
  <si>
    <t>Fixed costs</t>
  </si>
  <si>
    <t xml:space="preserve">    ∟ (TUR) Energy costs (electricity, natural gas, water)</t>
  </si>
  <si>
    <t xml:space="preserve">    ∟ (TUR) Salaries</t>
  </si>
  <si>
    <t xml:space="preserve">    ∟ (TUR) Software licenses</t>
  </si>
  <si>
    <t xml:space="preserve">    ∟ (TUR) Business insurances</t>
  </si>
  <si>
    <t xml:space="preserve">    ∟ (GER) Office rent</t>
  </si>
  <si>
    <t xml:space="preserve">    ∟ (GER) Energy costs and maintenance</t>
  </si>
  <si>
    <t xml:space="preserve">    ∟ (GER) Software licenses</t>
  </si>
  <si>
    <t xml:space="preserve">    ∟ (GER) Business insurances</t>
  </si>
  <si>
    <t xml:space="preserve">    ∟ (GER) Salaries</t>
  </si>
  <si>
    <t>Other operating expenses</t>
  </si>
  <si>
    <t xml:space="preserve">    ∟ (GER) Marketing</t>
  </si>
  <si>
    <t xml:space="preserve">    ∟ (GER) Open space rent</t>
  </si>
  <si>
    <t xml:space="preserve">    ∟ (GER) Other business insurances</t>
  </si>
  <si>
    <t xml:space="preserve">    ∟ (GER) Licenses, registrations, etc</t>
  </si>
  <si>
    <t xml:space="preserve">    ∟ (GER) Legal services and auditories</t>
  </si>
  <si>
    <t xml:space="preserve">    ∟ (GER) Other technological costs</t>
  </si>
  <si>
    <t>EBITDA</t>
  </si>
  <si>
    <t>Amortizations</t>
  </si>
  <si>
    <t xml:space="preserve">    ∟ (TUR) Total amortizations associated with this project</t>
  </si>
  <si>
    <t xml:space="preserve">    ∟ (GER) Office furniture</t>
  </si>
  <si>
    <t xml:space="preserve">    ∟ (GER) IT equipment</t>
  </si>
  <si>
    <t>EBIT</t>
  </si>
  <si>
    <t>Financial expenses</t>
  </si>
  <si>
    <t xml:space="preserve">    ∟ (TUR) Interest (30-year loan)</t>
  </si>
  <si>
    <t xml:space="preserve">    ∟ (GER) Interest (7-year loan)</t>
  </si>
  <si>
    <t>EBT</t>
  </si>
  <si>
    <t>Corporate tax (29.83%)</t>
  </si>
  <si>
    <t>Net profit</t>
  </si>
  <si>
    <t>CAGR German inflation (2009-2024)</t>
  </si>
  <si>
    <t>CAGR Turkish inflation (2009-2024)</t>
  </si>
  <si>
    <t>CAGR EUR/TRY ex rate variation (2009-2024)</t>
  </si>
  <si>
    <t>Tabla de amortizaciones de préstamos Koç Mobility</t>
  </si>
  <si>
    <t> </t>
  </si>
  <si>
    <t>Datos iniciales</t>
  </si>
  <si>
    <t>PRÉSTAMO</t>
  </si>
  <si>
    <t>Principal:</t>
  </si>
  <si>
    <t>DATOS DE LA TABLA</t>
  </si>
  <si>
    <t>Tasa de interés anual:</t>
  </si>
  <si>
    <t>La tabla empieza en la fecha:</t>
  </si>
  <si>
    <t>31/01/2028</t>
  </si>
  <si>
    <t>Tipo de interés efectivo</t>
  </si>
  <si>
    <t>o en el pago número:</t>
  </si>
  <si>
    <t>Plazo, en años:</t>
  </si>
  <si>
    <t>Pagos por año:</t>
  </si>
  <si>
    <t>Número total de pagos</t>
  </si>
  <si>
    <t>Vencimiento primer pago:</t>
  </si>
  <si>
    <t>PAGO POR PERÍODO</t>
  </si>
  <si>
    <t>La tabla usa el monto calculado del pago por período a</t>
  </si>
  <si>
    <t>menos que se introduzca un valor en "Pago introducido".</t>
  </si>
  <si>
    <t>CÁLCULOS</t>
  </si>
  <si>
    <t>Usar el pago:</t>
  </si>
  <si>
    <t>Saldo inicial antes del pago: 1:</t>
  </si>
  <si>
    <t>Primer pago en la tabla:</t>
  </si>
  <si>
    <t>Interés acumulado antes del pago: 1:</t>
  </si>
  <si>
    <t>TABLA</t>
  </si>
  <si>
    <t>ANUALIZACIÓN ESTÁNDAR DEL PLAN DE AMORTIZACIÓN</t>
  </si>
  <si>
    <t>Capital</t>
  </si>
  <si>
    <t>Interés</t>
  </si>
  <si>
    <t>Nº</t>
  </si>
  <si>
    <t>Año</t>
  </si>
  <si>
    <t>Anualidad</t>
  </si>
  <si>
    <t>Amortización</t>
  </si>
  <si>
    <t>Vivo</t>
  </si>
  <si>
    <t>Amortizado</t>
  </si>
  <si>
    <t>Acumulado</t>
  </si>
  <si>
    <t>Fecha del</t>
  </si>
  <si>
    <t>Pago</t>
  </si>
  <si>
    <t>Mensualidad</t>
  </si>
  <si>
    <t>28/02/2028</t>
  </si>
  <si>
    <t>31/03/2028</t>
  </si>
  <si>
    <t>30/04/2028</t>
  </si>
  <si>
    <t>31/05/2028</t>
  </si>
  <si>
    <t>30/06/2028</t>
  </si>
  <si>
    <t>31/07/2028</t>
  </si>
  <si>
    <t>31/08/2028</t>
  </si>
  <si>
    <t>30/09/2028</t>
  </si>
  <si>
    <t>31/10/2028</t>
  </si>
  <si>
    <t>30/11/2028</t>
  </si>
  <si>
    <t>31/12/2028</t>
  </si>
  <si>
    <t>31/01/2029</t>
  </si>
  <si>
    <t>28/02/2029</t>
  </si>
  <si>
    <t>31/03/2029</t>
  </si>
  <si>
    <t>30/04/2029</t>
  </si>
  <si>
    <t>31/05/2029</t>
  </si>
  <si>
    <t>30/06/2029</t>
  </si>
  <si>
    <t>31/07/2029</t>
  </si>
  <si>
    <t>31/08/2029</t>
  </si>
  <si>
    <t>30/09/2029</t>
  </si>
  <si>
    <t>31/10/2029</t>
  </si>
  <si>
    <t>30/11/2029</t>
  </si>
  <si>
    <t>31/12/2029</t>
  </si>
  <si>
    <t>31/01/2030</t>
  </si>
  <si>
    <t>28/02/2030</t>
  </si>
  <si>
    <t>31/03/2030</t>
  </si>
  <si>
    <t>30/04/2030</t>
  </si>
  <si>
    <t>31/05/2030</t>
  </si>
  <si>
    <t>30/06/2030</t>
  </si>
  <si>
    <t>31/07/2030</t>
  </si>
  <si>
    <t>31/08/2030</t>
  </si>
  <si>
    <t>30/09/2030</t>
  </si>
  <si>
    <t>31/10/2030</t>
  </si>
  <si>
    <t>30/11/2030</t>
  </si>
  <si>
    <t>31/12/2030</t>
  </si>
  <si>
    <t>31/01/2031</t>
  </si>
  <si>
    <t>28/02/2031</t>
  </si>
  <si>
    <t>31/03/2031</t>
  </si>
  <si>
    <t>30/04/2031</t>
  </si>
  <si>
    <t>31/05/2031</t>
  </si>
  <si>
    <t>30/06/2031</t>
  </si>
  <si>
    <t>31/07/2031</t>
  </si>
  <si>
    <t>31/08/2031</t>
  </si>
  <si>
    <t>30/09/2031</t>
  </si>
  <si>
    <t>31/10/2031</t>
  </si>
  <si>
    <t>30/11/2031</t>
  </si>
  <si>
    <t>31/12/2031</t>
  </si>
  <si>
    <t>31/01/2032</t>
  </si>
  <si>
    <t>28/02/2032</t>
  </si>
  <si>
    <t>31/03/2032</t>
  </si>
  <si>
    <t>30/04/2032</t>
  </si>
  <si>
    <t>31/05/2032</t>
  </si>
  <si>
    <t>30/06/2032</t>
  </si>
  <si>
    <t>31/07/2032</t>
  </si>
  <si>
    <t>31/08/2032</t>
  </si>
  <si>
    <t>30/09/2032</t>
  </si>
  <si>
    <t>31/10/2032</t>
  </si>
  <si>
    <t>30/11/2032</t>
  </si>
  <si>
    <t>31/12/2032</t>
  </si>
  <si>
    <t>31/01/2033</t>
  </si>
  <si>
    <t>28/02/2033</t>
  </si>
  <si>
    <t>31/03/2033</t>
  </si>
  <si>
    <t>30/04/2033</t>
  </si>
  <si>
    <t>31/05/2033</t>
  </si>
  <si>
    <t>30/06/2033</t>
  </si>
  <si>
    <t>31/07/2033</t>
  </si>
  <si>
    <t>31/08/2033</t>
  </si>
  <si>
    <t>30/09/2033</t>
  </si>
  <si>
    <t>31/10/2033</t>
  </si>
  <si>
    <t>30/11/2033</t>
  </si>
  <si>
    <t>31/12/2033</t>
  </si>
  <si>
    <t>31/01/2034</t>
  </si>
  <si>
    <t>28/02/2034</t>
  </si>
  <si>
    <t>31/03/2034</t>
  </si>
  <si>
    <t>30/04/2034</t>
  </si>
  <si>
    <t>31/05/2034</t>
  </si>
  <si>
    <t>30/06/2034</t>
  </si>
  <si>
    <t>31/07/2034</t>
  </si>
  <si>
    <t>31/08/2034</t>
  </si>
  <si>
    <t>30/09/2034</t>
  </si>
  <si>
    <t>31/10/2034</t>
  </si>
  <si>
    <t>30/11/2034</t>
  </si>
  <si>
    <t>31/12/2034</t>
  </si>
  <si>
    <t>Tabla de amortizaciones de préstamos Tofas</t>
  </si>
  <si>
    <t>31/01/2035</t>
  </si>
  <si>
    <t>28/02/2035</t>
  </si>
  <si>
    <t>31/03/2035</t>
  </si>
  <si>
    <t>30/04/2035</t>
  </si>
  <si>
    <t>31/05/2035</t>
  </si>
  <si>
    <t>30/06/2035</t>
  </si>
  <si>
    <t>31/07/2035</t>
  </si>
  <si>
    <t>31/08/2035</t>
  </si>
  <si>
    <t>30/09/2035</t>
  </si>
  <si>
    <t>31/10/2035</t>
  </si>
  <si>
    <t>30/11/2035</t>
  </si>
  <si>
    <t>31/12/2035</t>
  </si>
  <si>
    <t>31/01/2036</t>
  </si>
  <si>
    <t>29/02/2036</t>
  </si>
  <si>
    <t>31/03/2036</t>
  </si>
  <si>
    <t>30/04/2036</t>
  </si>
  <si>
    <t>31/05/2036</t>
  </si>
  <si>
    <t>30/06/2036</t>
  </si>
  <si>
    <t>31/07/2036</t>
  </si>
  <si>
    <t>31/08/2036</t>
  </si>
  <si>
    <t>30/09/2036</t>
  </si>
  <si>
    <t>31/10/2036</t>
  </si>
  <si>
    <t>30/11/2036</t>
  </si>
  <si>
    <t>31/12/2036</t>
  </si>
  <si>
    <t>31/01/2037</t>
  </si>
  <si>
    <t>28/02/2037</t>
  </si>
  <si>
    <t>31/03/2037</t>
  </si>
  <si>
    <t>30/04/2037</t>
  </si>
  <si>
    <t>31/05/2037</t>
  </si>
  <si>
    <t>30/06/2037</t>
  </si>
  <si>
    <t>31/07/2037</t>
  </si>
  <si>
    <t>31/08/2037</t>
  </si>
  <si>
    <t>30/09/2037</t>
  </si>
  <si>
    <t>31/10/2037</t>
  </si>
  <si>
    <t>30/11/2037</t>
  </si>
  <si>
    <t>31/12/2037</t>
  </si>
  <si>
    <t>31/01/2038</t>
  </si>
  <si>
    <t>28/02/2038</t>
  </si>
  <si>
    <t>31/03/2038</t>
  </si>
  <si>
    <t>30/04/2038</t>
  </si>
  <si>
    <t>31/05/2038</t>
  </si>
  <si>
    <t>30/06/2038</t>
  </si>
  <si>
    <t>31/07/2038</t>
  </si>
  <si>
    <t>31/08/2038</t>
  </si>
  <si>
    <t>30/09/2038</t>
  </si>
  <si>
    <t>31/10/2038</t>
  </si>
  <si>
    <t>30/11/2038</t>
  </si>
  <si>
    <t>31/12/2038</t>
  </si>
  <si>
    <t>31/01/2039</t>
  </si>
  <si>
    <t>28/02/2039</t>
  </si>
  <si>
    <t>31/03/2039</t>
  </si>
  <si>
    <t>30/04/2039</t>
  </si>
  <si>
    <t>31/05/2039</t>
  </si>
  <si>
    <t>30/06/2039</t>
  </si>
  <si>
    <t>31/07/2039</t>
  </si>
  <si>
    <t>31/08/2039</t>
  </si>
  <si>
    <t>30/09/2039</t>
  </si>
  <si>
    <t>31/10/2039</t>
  </si>
  <si>
    <t>30/11/2039</t>
  </si>
  <si>
    <t>31/12/2039</t>
  </si>
  <si>
    <t>31/01/2040</t>
  </si>
  <si>
    <t>29/02/2040</t>
  </si>
  <si>
    <t>31/03/2040</t>
  </si>
  <si>
    <t>30/04/2040</t>
  </si>
  <si>
    <t>31/05/2040</t>
  </si>
  <si>
    <t>30/06/2040</t>
  </si>
  <si>
    <t>31/07/2040</t>
  </si>
  <si>
    <t>31/08/2040</t>
  </si>
  <si>
    <t>30/09/2040</t>
  </si>
  <si>
    <t>31/10/2040</t>
  </si>
  <si>
    <t>30/11/2040</t>
  </si>
  <si>
    <t>31/12/2040</t>
  </si>
  <si>
    <t>31/01/2041</t>
  </si>
  <si>
    <t>28/02/2041</t>
  </si>
  <si>
    <t>31/03/2041</t>
  </si>
  <si>
    <t>30/04/2041</t>
  </si>
  <si>
    <t>31/05/2041</t>
  </si>
  <si>
    <t>30/06/2041</t>
  </si>
  <si>
    <t>31/07/2041</t>
  </si>
  <si>
    <t>31/08/2041</t>
  </si>
  <si>
    <t>30/09/2041</t>
  </si>
  <si>
    <t>31/10/2041</t>
  </si>
  <si>
    <t>30/11/2041</t>
  </si>
  <si>
    <t>31/12/2041</t>
  </si>
  <si>
    <t>31/01/2042</t>
  </si>
  <si>
    <t>28/02/2042</t>
  </si>
  <si>
    <t>31/03/2042</t>
  </si>
  <si>
    <t>30/04/2042</t>
  </si>
  <si>
    <t>31/05/2042</t>
  </si>
  <si>
    <t>30/06/2042</t>
  </si>
  <si>
    <t>31/07/2042</t>
  </si>
  <si>
    <t>31/08/2042</t>
  </si>
  <si>
    <t>30/09/2042</t>
  </si>
  <si>
    <t>31/10/2042</t>
  </si>
  <si>
    <t>30/11/2042</t>
  </si>
  <si>
    <t>31/12/2042</t>
  </si>
  <si>
    <t>31/01/2043</t>
  </si>
  <si>
    <t>28/02/2043</t>
  </si>
  <si>
    <t>31/03/2043</t>
  </si>
  <si>
    <t>30/04/2043</t>
  </si>
  <si>
    <t>31/05/2043</t>
  </si>
  <si>
    <t>30/06/2043</t>
  </si>
  <si>
    <t>31/07/2043</t>
  </si>
  <si>
    <t>31/08/2043</t>
  </si>
  <si>
    <t>30/09/2043</t>
  </si>
  <si>
    <t>31/10/2043</t>
  </si>
  <si>
    <t>30/11/2043</t>
  </si>
  <si>
    <t>31/12/2043</t>
  </si>
  <si>
    <t>31/01/2044</t>
  </si>
  <si>
    <t>29/02/2044</t>
  </si>
  <si>
    <t>31/03/2044</t>
  </si>
  <si>
    <t>30/04/2044</t>
  </si>
  <si>
    <t>31/05/2044</t>
  </si>
  <si>
    <t>30/06/2044</t>
  </si>
  <si>
    <t>31/07/2044</t>
  </si>
  <si>
    <t>31/08/2044</t>
  </si>
  <si>
    <t>30/09/2044</t>
  </si>
  <si>
    <t>31/10/2044</t>
  </si>
  <si>
    <t>30/11/2044</t>
  </si>
  <si>
    <t>31/12/2044</t>
  </si>
  <si>
    <t>31/01/2045</t>
  </si>
  <si>
    <t>28/02/2045</t>
  </si>
  <si>
    <t>31/03/2045</t>
  </si>
  <si>
    <t>30/04/2045</t>
  </si>
  <si>
    <t>31/05/2045</t>
  </si>
  <si>
    <t>30/06/2045</t>
  </si>
  <si>
    <t>31/07/2045</t>
  </si>
  <si>
    <t>31/08/2045</t>
  </si>
  <si>
    <t>30/09/2045</t>
  </si>
  <si>
    <t>31/10/2045</t>
  </si>
  <si>
    <t>30/11/2045</t>
  </si>
  <si>
    <t>31/12/2045</t>
  </si>
  <si>
    <t>31/01/2046</t>
  </si>
  <si>
    <t>28/02/2046</t>
  </si>
  <si>
    <t>31/03/2046</t>
  </si>
  <si>
    <t>30/04/2046</t>
  </si>
  <si>
    <t>31/05/2046</t>
  </si>
  <si>
    <t>30/06/2046</t>
  </si>
  <si>
    <t>31/07/2046</t>
  </si>
  <si>
    <t>31/08/2046</t>
  </si>
  <si>
    <t>30/09/2046</t>
  </si>
  <si>
    <t>31/10/2046</t>
  </si>
  <si>
    <t>30/11/2046</t>
  </si>
  <si>
    <t>31/12/2046</t>
  </si>
  <si>
    <t>31/01/2047</t>
  </si>
  <si>
    <t>28/02/2047</t>
  </si>
  <si>
    <t>31/03/2047</t>
  </si>
  <si>
    <t>30/04/2047</t>
  </si>
  <si>
    <t>31/05/2047</t>
  </si>
  <si>
    <t>30/06/2047</t>
  </si>
  <si>
    <t>31/07/2047</t>
  </si>
  <si>
    <t>31/08/2047</t>
  </si>
  <si>
    <t>30/09/2047</t>
  </si>
  <si>
    <t>31/10/2047</t>
  </si>
  <si>
    <t>30/11/2047</t>
  </si>
  <si>
    <t>31/12/2047</t>
  </si>
  <si>
    <t>31/01/2048</t>
  </si>
  <si>
    <t>29/02/2048</t>
  </si>
  <si>
    <t>31/03/2048</t>
  </si>
  <si>
    <t>30/04/2048</t>
  </si>
  <si>
    <t>31/05/2048</t>
  </si>
  <si>
    <t>30/06/2048</t>
  </si>
  <si>
    <t>31/07/2048</t>
  </si>
  <si>
    <t>31/08/2048</t>
  </si>
  <si>
    <t>30/09/2048</t>
  </si>
  <si>
    <t>31/10/2048</t>
  </si>
  <si>
    <t>30/11/2048</t>
  </si>
  <si>
    <t>31/12/2048</t>
  </si>
  <si>
    <t>31/01/2049</t>
  </si>
  <si>
    <t>28/02/2049</t>
  </si>
  <si>
    <t>31/03/2049</t>
  </si>
  <si>
    <t>30/04/2049</t>
  </si>
  <si>
    <t>31/05/2049</t>
  </si>
  <si>
    <t>30/06/2049</t>
  </si>
  <si>
    <t>31/07/2049</t>
  </si>
  <si>
    <t>31/08/2049</t>
  </si>
  <si>
    <t>30/09/2049</t>
  </si>
  <si>
    <t>31/10/2049</t>
  </si>
  <si>
    <t>30/11/2049</t>
  </si>
  <si>
    <t>31/12/2049</t>
  </si>
  <si>
    <t>31/01/2050</t>
  </si>
  <si>
    <t>28/02/2050</t>
  </si>
  <si>
    <t>31/03/2050</t>
  </si>
  <si>
    <t>30/04/2050</t>
  </si>
  <si>
    <t>31/05/2050</t>
  </si>
  <si>
    <t>30/06/2050</t>
  </si>
  <si>
    <t>31/07/2050</t>
  </si>
  <si>
    <t>31/08/2050</t>
  </si>
  <si>
    <t>30/09/2050</t>
  </si>
  <si>
    <t>31/10/2050</t>
  </si>
  <si>
    <t>30/11/2050</t>
  </si>
  <si>
    <t>31/12/2050</t>
  </si>
  <si>
    <t>31/01/2051</t>
  </si>
  <si>
    <t>28/02/2051</t>
  </si>
  <si>
    <t>31/03/2051</t>
  </si>
  <si>
    <t>30/04/2051</t>
  </si>
  <si>
    <t>31/05/2051</t>
  </si>
  <si>
    <t>30/06/2051</t>
  </si>
  <si>
    <t>31/07/2051</t>
  </si>
  <si>
    <t>31/08/2051</t>
  </si>
  <si>
    <t>30/09/2051</t>
  </si>
  <si>
    <t>31/10/2051</t>
  </si>
  <si>
    <t>30/11/2051</t>
  </si>
  <si>
    <t>31/12/2051</t>
  </si>
  <si>
    <t>31/01/2052</t>
  </si>
  <si>
    <t>29/02/2052</t>
  </si>
  <si>
    <t>31/03/2052</t>
  </si>
  <si>
    <t>30/04/2052</t>
  </si>
  <si>
    <t>31/05/2052</t>
  </si>
  <si>
    <t>30/06/2052</t>
  </si>
  <si>
    <t>31/07/2052</t>
  </si>
  <si>
    <t>31/08/2052</t>
  </si>
  <si>
    <t>30/09/2052</t>
  </si>
  <si>
    <t>31/10/2052</t>
  </si>
  <si>
    <t>30/11/2052</t>
  </si>
  <si>
    <t>31/12/2052</t>
  </si>
  <si>
    <t>31/01/2053</t>
  </si>
  <si>
    <t>28/02/2053</t>
  </si>
  <si>
    <t>31/03/2053</t>
  </si>
  <si>
    <t>30/04/2053</t>
  </si>
  <si>
    <t>31/05/2053</t>
  </si>
  <si>
    <t>30/06/2053</t>
  </si>
  <si>
    <t>31/07/2053</t>
  </si>
  <si>
    <t>31/08/2053</t>
  </si>
  <si>
    <t>30/09/2053</t>
  </si>
  <si>
    <t>31/10/2053</t>
  </si>
  <si>
    <t>30/11/2053</t>
  </si>
  <si>
    <t>31/12/2053</t>
  </si>
  <si>
    <t>31/01/2054</t>
  </si>
  <si>
    <t>28/02/2054</t>
  </si>
  <si>
    <t>31/03/2054</t>
  </si>
  <si>
    <t>30/04/2054</t>
  </si>
  <si>
    <t>31/05/2054</t>
  </si>
  <si>
    <t>30/06/2054</t>
  </si>
  <si>
    <t>31/07/2054</t>
  </si>
  <si>
    <t>31/08/2054</t>
  </si>
  <si>
    <t>30/09/2054</t>
  </si>
  <si>
    <t>31/10/2054</t>
  </si>
  <si>
    <t>30/11/2054</t>
  </si>
  <si>
    <t>31/12/2054</t>
  </si>
  <si>
    <t>31/01/2055</t>
  </si>
  <si>
    <t>28/02/2055</t>
  </si>
  <si>
    <t>31/03/2055</t>
  </si>
  <si>
    <t>30/04/2055</t>
  </si>
  <si>
    <t>31/05/2055</t>
  </si>
  <si>
    <t>30/06/2055</t>
  </si>
  <si>
    <t>31/07/2055</t>
  </si>
  <si>
    <t>31/08/2055</t>
  </si>
  <si>
    <t>30/09/2055</t>
  </si>
  <si>
    <t>31/10/2055</t>
  </si>
  <si>
    <t>30/11/2055</t>
  </si>
  <si>
    <t>31/12/2055</t>
  </si>
  <si>
    <t>31/01/2056</t>
  </si>
  <si>
    <t>29/02/2056</t>
  </si>
  <si>
    <t>31/03/2056</t>
  </si>
  <si>
    <t>30/04/2056</t>
  </si>
  <si>
    <t>31/05/2056</t>
  </si>
  <si>
    <t>30/06/2056</t>
  </si>
  <si>
    <t>31/07/2056</t>
  </si>
  <si>
    <t>31/08/2056</t>
  </si>
  <si>
    <t>30/09/2056</t>
  </si>
  <si>
    <t>31/10/2056</t>
  </si>
  <si>
    <t>30/11/2056</t>
  </si>
  <si>
    <t>31/12/2056</t>
  </si>
  <si>
    <t>31/01/2057</t>
  </si>
  <si>
    <t>28/02/2057</t>
  </si>
  <si>
    <t>31/03/2057</t>
  </si>
  <si>
    <t>30/04/2057</t>
  </si>
  <si>
    <t>31/05/2057</t>
  </si>
  <si>
    <t>30/06/2057</t>
  </si>
  <si>
    <t>31/07/2057</t>
  </si>
  <si>
    <t>31/08/2057</t>
  </si>
  <si>
    <t>30/09/2057</t>
  </si>
  <si>
    <t>31/10/2057</t>
  </si>
  <si>
    <t>30/11/2057</t>
  </si>
  <si>
    <t>31/12/2057</t>
  </si>
</sst>
</file>

<file path=xl/styles.xml><?xml version="1.0" encoding="utf-8"?>
<styleSheet xmlns="http://schemas.openxmlformats.org/spreadsheetml/2006/main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#,##0.00\ &quot;€&quot;"/>
    <numFmt numFmtId="166" formatCode="#,##0.000000000"/>
    <numFmt numFmtId="167" formatCode="0.0%"/>
  </numFmts>
  <fonts count="3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1"/>
      <color rgb="FF00133F"/>
      <name val="Arial"/>
      <family val="2"/>
    </font>
    <font>
      <b/>
      <sz val="11"/>
      <color theme="6" tint="0.39997558519241921"/>
      <name val="Aptos Narrow"/>
      <family val="2"/>
      <scheme val="minor"/>
    </font>
    <font>
      <sz val="11"/>
      <color rgb="FF000000"/>
      <name val="Calibri"/>
      <family val="2"/>
    </font>
    <font>
      <b/>
      <sz val="18"/>
      <name val="Geneva"/>
      <family val="2"/>
    </font>
    <font>
      <sz val="10"/>
      <name val="Geneva"/>
      <family val="2"/>
    </font>
    <font>
      <b/>
      <sz val="10"/>
      <name val="Geneva"/>
      <family val="2"/>
    </font>
    <font>
      <b/>
      <sz val="11"/>
      <name val="Geneva"/>
      <family val="2"/>
    </font>
    <font>
      <b/>
      <sz val="10"/>
      <color rgb="FFFFFFFF"/>
      <name val="Geneva"/>
      <family val="2"/>
    </font>
    <font>
      <b/>
      <sz val="8"/>
      <color rgb="FFFFFFFF"/>
      <name val="Geneva"/>
      <family val="2"/>
    </font>
    <font>
      <i/>
      <sz val="10"/>
      <name val="Geneva"/>
      <family val="2"/>
    </font>
    <font>
      <sz val="10"/>
      <name val="Arial"/>
      <family val="2"/>
    </font>
    <font>
      <b/>
      <sz val="16"/>
      <name val="Calibri"/>
      <family val="2"/>
    </font>
    <font>
      <sz val="10"/>
      <color rgb="FFFFFFFF"/>
      <name val="Geneva"/>
      <family val="2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FF99"/>
        <bgColor rgb="FF000000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rgb="FF000000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rgb="FF000000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9">
    <xf numFmtId="0" fontId="0" fillId="0" borderId="0" xfId="0"/>
    <xf numFmtId="0" fontId="1" fillId="0" borderId="0" xfId="1"/>
    <xf numFmtId="0" fontId="3" fillId="2" borderId="0" xfId="1" applyFont="1" applyFill="1" applyAlignment="1">
      <alignment horizontal="center"/>
    </xf>
    <xf numFmtId="0" fontId="6" fillId="3" borderId="7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1" fillId="4" borderId="8" xfId="1" applyFill="1" applyBorder="1"/>
    <xf numFmtId="0" fontId="4" fillId="3" borderId="11" xfId="1" applyFont="1" applyFill="1" applyBorder="1"/>
    <xf numFmtId="0" fontId="7" fillId="3" borderId="13" xfId="1" applyFont="1" applyFill="1" applyBorder="1"/>
    <xf numFmtId="0" fontId="8" fillId="3" borderId="11" xfId="1" applyFont="1" applyFill="1" applyBorder="1"/>
    <xf numFmtId="0" fontId="2" fillId="3" borderId="12" xfId="1" applyFont="1" applyFill="1" applyBorder="1"/>
    <xf numFmtId="0" fontId="8" fillId="3" borderId="13" xfId="1" applyFont="1" applyFill="1" applyBorder="1"/>
    <xf numFmtId="0" fontId="2" fillId="3" borderId="11" xfId="1" applyFont="1" applyFill="1" applyBorder="1"/>
    <xf numFmtId="0" fontId="2" fillId="3" borderId="13" xfId="1" applyFont="1" applyFill="1" applyBorder="1"/>
    <xf numFmtId="0" fontId="1" fillId="0" borderId="14" xfId="1" applyBorder="1"/>
    <xf numFmtId="0" fontId="1" fillId="5" borderId="15" xfId="1" applyFill="1" applyBorder="1"/>
    <xf numFmtId="44" fontId="0" fillId="0" borderId="0" xfId="2" applyFont="1"/>
    <xf numFmtId="0" fontId="1" fillId="4" borderId="15" xfId="1" applyFill="1" applyBorder="1"/>
    <xf numFmtId="0" fontId="3" fillId="4" borderId="17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1" fillId="0" borderId="15" xfId="1" applyBorder="1"/>
    <xf numFmtId="44" fontId="0" fillId="0" borderId="14" xfId="2" applyFont="1" applyBorder="1"/>
    <xf numFmtId="0" fontId="1" fillId="5" borderId="18" xfId="1" applyFill="1" applyBorder="1"/>
    <xf numFmtId="44" fontId="10" fillId="0" borderId="0" xfId="2" applyFont="1" applyAlignment="1">
      <alignment vertical="center"/>
    </xf>
    <xf numFmtId="44" fontId="0" fillId="5" borderId="15" xfId="2" applyFont="1" applyFill="1" applyBorder="1"/>
    <xf numFmtId="44" fontId="1" fillId="0" borderId="15" xfId="1" applyNumberFormat="1" applyBorder="1"/>
    <xf numFmtId="44" fontId="1" fillId="0" borderId="17" xfId="1" applyNumberFormat="1" applyBorder="1"/>
    <xf numFmtId="44" fontId="1" fillId="0" borderId="14" xfId="1" applyNumberFormat="1" applyBorder="1"/>
    <xf numFmtId="44" fontId="7" fillId="0" borderId="8" xfId="1" applyNumberFormat="1" applyFont="1" applyBorder="1"/>
    <xf numFmtId="44" fontId="7" fillId="0" borderId="14" xfId="1" applyNumberFormat="1" applyFont="1" applyBorder="1"/>
    <xf numFmtId="44" fontId="7" fillId="0" borderId="15" xfId="1" applyNumberFormat="1" applyFont="1" applyBorder="1"/>
    <xf numFmtId="0" fontId="11" fillId="4" borderId="19" xfId="1" applyFont="1" applyFill="1" applyBorder="1"/>
    <xf numFmtId="0" fontId="12" fillId="4" borderId="9" xfId="1" applyFont="1" applyFill="1" applyBorder="1"/>
    <xf numFmtId="44" fontId="10" fillId="4" borderId="7" xfId="2" applyFont="1" applyFill="1" applyBorder="1"/>
    <xf numFmtId="9" fontId="0" fillId="0" borderId="0" xfId="3" applyFont="1" applyAlignment="1">
      <alignment horizontal="center"/>
    </xf>
    <xf numFmtId="44" fontId="10" fillId="4" borderId="9" xfId="2" applyFont="1" applyFill="1" applyBorder="1"/>
    <xf numFmtId="0" fontId="1" fillId="0" borderId="18" xfId="1" applyBorder="1"/>
    <xf numFmtId="44" fontId="10" fillId="4" borderId="9" xfId="2" applyFont="1" applyFill="1" applyBorder="1" applyAlignment="1">
      <alignment vertical="center"/>
    </xf>
    <xf numFmtId="0" fontId="13" fillId="4" borderId="15" xfId="1" applyFont="1" applyFill="1" applyBorder="1" applyAlignment="1">
      <alignment horizontal="center"/>
    </xf>
    <xf numFmtId="0" fontId="6" fillId="3" borderId="15" xfId="1" applyFont="1" applyFill="1" applyBorder="1"/>
    <xf numFmtId="0" fontId="6" fillId="3" borderId="0" xfId="1" applyFont="1" applyFill="1"/>
    <xf numFmtId="44" fontId="6" fillId="3" borderId="14" xfId="2" applyFont="1" applyFill="1" applyBorder="1"/>
    <xf numFmtId="9" fontId="0" fillId="0" borderId="15" xfId="3" applyFont="1" applyBorder="1" applyAlignment="1"/>
    <xf numFmtId="44" fontId="6" fillId="3" borderId="0" xfId="2" applyFont="1" applyFill="1"/>
    <xf numFmtId="44" fontId="6" fillId="3" borderId="0" xfId="2" applyFont="1" applyFill="1" applyAlignment="1">
      <alignment vertical="center"/>
    </xf>
    <xf numFmtId="44" fontId="1" fillId="0" borderId="15" xfId="1" applyNumberFormat="1" applyBorder="1" applyAlignment="1">
      <alignment horizontal="center"/>
    </xf>
    <xf numFmtId="0" fontId="1" fillId="4" borderId="0" xfId="1" applyFill="1"/>
    <xf numFmtId="44" fontId="0" fillId="4" borderId="14" xfId="2" applyFont="1" applyFill="1" applyBorder="1"/>
    <xf numFmtId="44" fontId="0" fillId="4" borderId="0" xfId="2" applyFont="1" applyFill="1"/>
    <xf numFmtId="44" fontId="10" fillId="4" borderId="0" xfId="2" applyFont="1" applyFill="1" applyAlignment="1">
      <alignment vertical="center"/>
    </xf>
    <xf numFmtId="0" fontId="3" fillId="0" borderId="0" xfId="1" applyFont="1"/>
    <xf numFmtId="0" fontId="1" fillId="4" borderId="19" xfId="1" applyFill="1" applyBorder="1"/>
    <xf numFmtId="44" fontId="1" fillId="0" borderId="19" xfId="1" applyNumberFormat="1" applyBorder="1" applyAlignment="1">
      <alignment horizontal="center"/>
    </xf>
    <xf numFmtId="44" fontId="1" fillId="0" borderId="7" xfId="1" applyNumberFormat="1" applyBorder="1"/>
    <xf numFmtId="44" fontId="1" fillId="0" borderId="19" xfId="1" applyNumberFormat="1" applyBorder="1"/>
    <xf numFmtId="0" fontId="1" fillId="4" borderId="9" xfId="1" applyFill="1" applyBorder="1"/>
    <xf numFmtId="44" fontId="0" fillId="4" borderId="7" xfId="2" applyFont="1" applyFill="1" applyBorder="1"/>
    <xf numFmtId="44" fontId="0" fillId="4" borderId="9" xfId="2" applyFont="1" applyFill="1" applyBorder="1"/>
    <xf numFmtId="0" fontId="3" fillId="6" borderId="17" xfId="1" applyFont="1" applyFill="1" applyBorder="1" applyAlignment="1">
      <alignment horizontal="center"/>
    </xf>
    <xf numFmtId="0" fontId="1" fillId="0" borderId="8" xfId="1" applyBorder="1"/>
    <xf numFmtId="0" fontId="2" fillId="3" borderId="17" xfId="1" applyFont="1" applyFill="1" applyBorder="1"/>
    <xf numFmtId="0" fontId="1" fillId="4" borderId="17" xfId="1" applyFill="1" applyBorder="1"/>
    <xf numFmtId="6" fontId="1" fillId="0" borderId="19" xfId="1" applyNumberFormat="1" applyBorder="1"/>
    <xf numFmtId="0" fontId="1" fillId="0" borderId="19" xfId="1" applyBorder="1"/>
    <xf numFmtId="44" fontId="1" fillId="7" borderId="15" xfId="1" applyNumberFormat="1" applyFill="1" applyBorder="1"/>
    <xf numFmtId="0" fontId="1" fillId="7" borderId="0" xfId="1" applyFill="1"/>
    <xf numFmtId="0" fontId="1" fillId="7" borderId="15" xfId="1" applyFill="1" applyBorder="1"/>
    <xf numFmtId="0" fontId="6" fillId="3" borderId="17" xfId="1" applyFont="1" applyFill="1" applyBorder="1"/>
    <xf numFmtId="0" fontId="6" fillId="3" borderId="10" xfId="1" applyFont="1" applyFill="1" applyBorder="1"/>
    <xf numFmtId="44" fontId="6" fillId="3" borderId="5" xfId="2" applyFont="1" applyFill="1" applyBorder="1"/>
    <xf numFmtId="9" fontId="0" fillId="0" borderId="19" xfId="3" applyFont="1" applyBorder="1" applyAlignment="1"/>
    <xf numFmtId="44" fontId="6" fillId="3" borderId="5" xfId="2" applyFont="1" applyFill="1" applyBorder="1" applyAlignment="1">
      <alignment vertical="center"/>
    </xf>
    <xf numFmtId="0" fontId="1" fillId="7" borderId="17" xfId="1" applyFill="1" applyBorder="1"/>
    <xf numFmtId="0" fontId="6" fillId="3" borderId="5" xfId="1" applyFont="1" applyFill="1" applyBorder="1"/>
    <xf numFmtId="0" fontId="6" fillId="3" borderId="12" xfId="1" applyFont="1" applyFill="1" applyBorder="1" applyAlignment="1">
      <alignment horizontal="center"/>
    </xf>
    <xf numFmtId="0" fontId="6" fillId="3" borderId="13" xfId="1" applyFont="1" applyFill="1" applyBorder="1" applyAlignment="1">
      <alignment horizontal="center"/>
    </xf>
    <xf numFmtId="44" fontId="6" fillId="8" borderId="17" xfId="2" applyFont="1" applyFill="1" applyBorder="1" applyAlignment="1">
      <alignment horizontal="right"/>
    </xf>
    <xf numFmtId="9" fontId="6" fillId="8" borderId="10" xfId="3" applyFont="1" applyFill="1" applyBorder="1" applyAlignment="1">
      <alignment horizontal="right"/>
    </xf>
    <xf numFmtId="0" fontId="3" fillId="6" borderId="17" xfId="1" applyFont="1" applyFill="1" applyBorder="1"/>
    <xf numFmtId="44" fontId="1" fillId="6" borderId="17" xfId="1" applyNumberFormat="1" applyFill="1" applyBorder="1"/>
    <xf numFmtId="44" fontId="0" fillId="4" borderId="17" xfId="2" applyFont="1" applyFill="1" applyBorder="1"/>
    <xf numFmtId="9" fontId="0" fillId="7" borderId="10" xfId="3" applyFont="1" applyFill="1" applyBorder="1"/>
    <xf numFmtId="9" fontId="0" fillId="7" borderId="17" xfId="3" applyFont="1" applyFill="1" applyBorder="1"/>
    <xf numFmtId="0" fontId="1" fillId="6" borderId="14" xfId="1" applyFill="1" applyBorder="1" applyAlignment="1">
      <alignment horizontal="left"/>
    </xf>
    <xf numFmtId="0" fontId="14" fillId="0" borderId="0" xfId="1" applyFont="1" applyAlignment="1">
      <alignment horizontal="center"/>
    </xf>
    <xf numFmtId="44" fontId="0" fillId="6" borderId="15" xfId="2" applyFont="1" applyFill="1" applyBorder="1"/>
    <xf numFmtId="9" fontId="0" fillId="0" borderId="0" xfId="3" applyFont="1" applyBorder="1"/>
    <xf numFmtId="9" fontId="0" fillId="0" borderId="15" xfId="3" applyFont="1" applyBorder="1"/>
    <xf numFmtId="0" fontId="1" fillId="6" borderId="7" xfId="1" applyFill="1" applyBorder="1" applyAlignment="1">
      <alignment horizontal="left"/>
    </xf>
    <xf numFmtId="0" fontId="14" fillId="0" borderId="9" xfId="1" applyFont="1" applyBorder="1" applyAlignment="1">
      <alignment horizontal="center"/>
    </xf>
    <xf numFmtId="44" fontId="0" fillId="6" borderId="19" xfId="2" applyFont="1" applyFill="1" applyBorder="1"/>
    <xf numFmtId="9" fontId="0" fillId="0" borderId="9" xfId="3" applyFont="1" applyBorder="1"/>
    <xf numFmtId="9" fontId="0" fillId="0" borderId="19" xfId="3" applyFont="1" applyBorder="1"/>
    <xf numFmtId="0" fontId="1" fillId="9" borderId="14" xfId="1" applyFill="1" applyBorder="1" applyAlignment="1">
      <alignment horizontal="left"/>
    </xf>
    <xf numFmtId="44" fontId="0" fillId="9" borderId="15" xfId="2" applyFont="1" applyFill="1" applyBorder="1"/>
    <xf numFmtId="0" fontId="15" fillId="10" borderId="14" xfId="1" applyFont="1" applyFill="1" applyBorder="1" applyAlignment="1">
      <alignment horizontal="right"/>
    </xf>
    <xf numFmtId="44" fontId="0" fillId="10" borderId="15" xfId="2" applyFont="1" applyFill="1" applyBorder="1"/>
    <xf numFmtId="0" fontId="1" fillId="0" borderId="17" xfId="1" applyBorder="1"/>
    <xf numFmtId="0" fontId="15" fillId="6" borderId="14" xfId="1" applyFont="1" applyFill="1" applyBorder="1" applyAlignment="1">
      <alignment horizontal="right"/>
    </xf>
    <xf numFmtId="0" fontId="15" fillId="10" borderId="7" xfId="1" applyFont="1" applyFill="1" applyBorder="1" applyAlignment="1">
      <alignment horizontal="right"/>
    </xf>
    <xf numFmtId="44" fontId="0" fillId="10" borderId="19" xfId="2" applyFont="1" applyFill="1" applyBorder="1"/>
    <xf numFmtId="44" fontId="6" fillId="8" borderId="17" xfId="2" applyFont="1" applyFill="1" applyBorder="1"/>
    <xf numFmtId="9" fontId="6" fillId="8" borderId="10" xfId="3" applyFont="1" applyFill="1" applyBorder="1"/>
    <xf numFmtId="0" fontId="1" fillId="9" borderId="14" xfId="1" applyFill="1" applyBorder="1"/>
    <xf numFmtId="9" fontId="0" fillId="7" borderId="0" xfId="3" applyFont="1" applyFill="1" applyBorder="1"/>
    <xf numFmtId="9" fontId="0" fillId="7" borderId="15" xfId="3" applyFont="1" applyFill="1" applyBorder="1"/>
    <xf numFmtId="0" fontId="4" fillId="3" borderId="8" xfId="1" applyFont="1" applyFill="1" applyBorder="1" applyAlignment="1">
      <alignment horizontal="center"/>
    </xf>
    <xf numFmtId="0" fontId="4" fillId="3" borderId="17" xfId="1" applyFont="1" applyFill="1" applyBorder="1" applyAlignment="1">
      <alignment horizontal="center"/>
    </xf>
    <xf numFmtId="0" fontId="1" fillId="10" borderId="14" xfId="1" applyFill="1" applyBorder="1"/>
    <xf numFmtId="0" fontId="1" fillId="9" borderId="7" xfId="1" applyFill="1" applyBorder="1"/>
    <xf numFmtId="44" fontId="4" fillId="3" borderId="19" xfId="2" applyFont="1" applyFill="1" applyBorder="1"/>
    <xf numFmtId="9" fontId="0" fillId="7" borderId="9" xfId="3" applyFont="1" applyFill="1" applyBorder="1"/>
    <xf numFmtId="9" fontId="0" fillId="7" borderId="19" xfId="3" applyFont="1" applyFill="1" applyBorder="1"/>
    <xf numFmtId="44" fontId="4" fillId="8" borderId="17" xfId="2" applyFont="1" applyFill="1" applyBorder="1"/>
    <xf numFmtId="0" fontId="16" fillId="4" borderId="15" xfId="1" applyFont="1" applyFill="1" applyBorder="1" applyAlignment="1">
      <alignment horizontal="center"/>
    </xf>
    <xf numFmtId="0" fontId="4" fillId="3" borderId="15" xfId="1" applyFont="1" applyFill="1" applyBorder="1" applyAlignment="1">
      <alignment horizontal="center"/>
    </xf>
    <xf numFmtId="44" fontId="0" fillId="9" borderId="19" xfId="2" applyFont="1" applyFill="1" applyBorder="1"/>
    <xf numFmtId="0" fontId="17" fillId="4" borderId="8" xfId="1" applyFont="1" applyFill="1" applyBorder="1"/>
    <xf numFmtId="165" fontId="1" fillId="0" borderId="8" xfId="1" applyNumberFormat="1" applyBorder="1"/>
    <xf numFmtId="44" fontId="0" fillId="0" borderId="8" xfId="2" applyFont="1" applyBorder="1"/>
    <xf numFmtId="165" fontId="0" fillId="0" borderId="15" xfId="2" applyNumberFormat="1" applyFont="1" applyBorder="1"/>
    <xf numFmtId="0" fontId="17" fillId="4" borderId="15" xfId="1" applyFont="1" applyFill="1" applyBorder="1" applyAlignment="1">
      <alignment horizontal="center"/>
    </xf>
    <xf numFmtId="165" fontId="6" fillId="3" borderId="19" xfId="2" applyNumberFormat="1" applyFont="1" applyFill="1" applyBorder="1"/>
    <xf numFmtId="44" fontId="6" fillId="3" borderId="19" xfId="2" applyFont="1" applyFill="1" applyBorder="1"/>
    <xf numFmtId="0" fontId="17" fillId="4" borderId="19" xfId="1" applyFont="1" applyFill="1" applyBorder="1"/>
    <xf numFmtId="0" fontId="1" fillId="0" borderId="0" xfId="1" applyAlignment="1">
      <alignment horizontal="center"/>
    </xf>
    <xf numFmtId="0" fontId="14" fillId="0" borderId="8" xfId="2" applyNumberFormat="1" applyFont="1" applyBorder="1" applyAlignment="1">
      <alignment horizontal="center"/>
    </xf>
    <xf numFmtId="0" fontId="0" fillId="0" borderId="0" xfId="2" applyNumberFormat="1" applyFont="1"/>
    <xf numFmtId="0" fontId="0" fillId="0" borderId="0" xfId="2" applyNumberFormat="1" applyFont="1" applyAlignment="1">
      <alignment horizontal="center"/>
    </xf>
    <xf numFmtId="0" fontId="14" fillId="0" borderId="8" xfId="1" applyFont="1" applyBorder="1" applyAlignment="1">
      <alignment horizontal="center"/>
    </xf>
    <xf numFmtId="2" fontId="1" fillId="0" borderId="19" xfId="1" applyNumberFormat="1" applyBorder="1"/>
    <xf numFmtId="0" fontId="3" fillId="0" borderId="8" xfId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18" fillId="4" borderId="15" xfId="1" applyFont="1" applyFill="1" applyBorder="1" applyAlignment="1">
      <alignment horizontal="center" vertical="center" wrapText="1"/>
    </xf>
    <xf numFmtId="0" fontId="1" fillId="4" borderId="15" xfId="1" applyFill="1" applyBorder="1" applyAlignment="1">
      <alignment horizontal="center" wrapText="1"/>
    </xf>
    <xf numFmtId="0" fontId="20" fillId="3" borderId="12" xfId="1" applyFont="1" applyFill="1" applyBorder="1"/>
    <xf numFmtId="44" fontId="0" fillId="10" borderId="22" xfId="2" applyFont="1" applyFill="1" applyBorder="1"/>
    <xf numFmtId="44" fontId="21" fillId="9" borderId="15" xfId="2" applyFont="1" applyFill="1" applyBorder="1"/>
    <xf numFmtId="0" fontId="7" fillId="11" borderId="16" xfId="1" applyFont="1" applyFill="1" applyBorder="1"/>
    <xf numFmtId="0" fontId="1" fillId="11" borderId="20" xfId="1" applyFill="1" applyBorder="1"/>
    <xf numFmtId="0" fontId="1" fillId="11" borderId="16" xfId="1" applyFill="1" applyBorder="1"/>
    <xf numFmtId="44" fontId="1" fillId="11" borderId="16" xfId="1" applyNumberFormat="1" applyFill="1" applyBorder="1" applyAlignment="1">
      <alignment horizontal="center" vertical="center"/>
    </xf>
    <xf numFmtId="0" fontId="1" fillId="11" borderId="16" xfId="1" applyFill="1" applyBorder="1" applyAlignment="1">
      <alignment horizontal="center" vertical="center"/>
    </xf>
    <xf numFmtId="0" fontId="1" fillId="11" borderId="20" xfId="1" applyFill="1" applyBorder="1" applyAlignment="1">
      <alignment horizontal="center"/>
    </xf>
    <xf numFmtId="164" fontId="1" fillId="0" borderId="0" xfId="1" applyNumberFormat="1"/>
    <xf numFmtId="4" fontId="22" fillId="0" borderId="0" xfId="0" applyNumberFormat="1" applyFont="1"/>
    <xf numFmtId="4" fontId="1" fillId="0" borderId="0" xfId="1" applyNumberFormat="1"/>
    <xf numFmtId="0" fontId="10" fillId="0" borderId="0" xfId="0" applyFont="1"/>
    <xf numFmtId="4" fontId="10" fillId="0" borderId="0" xfId="0" applyNumberFormat="1" applyFont="1"/>
    <xf numFmtId="0" fontId="14" fillId="0" borderId="0" xfId="0" applyFont="1"/>
    <xf numFmtId="4" fontId="14" fillId="0" borderId="0" xfId="0" applyNumberFormat="1" applyFont="1"/>
    <xf numFmtId="1" fontId="10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66" fontId="10" fillId="0" borderId="0" xfId="0" applyNumberFormat="1" applyFont="1"/>
    <xf numFmtId="0" fontId="23" fillId="12" borderId="0" xfId="0" applyFont="1" applyFill="1" applyAlignment="1">
      <alignment horizontal="right"/>
    </xf>
    <xf numFmtId="4" fontId="23" fillId="12" borderId="0" xfId="0" applyNumberFormat="1" applyFont="1" applyFill="1"/>
    <xf numFmtId="167" fontId="23" fillId="12" borderId="0" xfId="0" applyNumberFormat="1" applyFont="1" applyFill="1"/>
    <xf numFmtId="0" fontId="24" fillId="0" borderId="0" xfId="0" applyFont="1"/>
    <xf numFmtId="0" fontId="25" fillId="13" borderId="23" xfId="0" applyFont="1" applyFill="1" applyBorder="1"/>
    <xf numFmtId="0" fontId="25" fillId="13" borderId="0" xfId="0" applyFont="1" applyFill="1"/>
    <xf numFmtId="0" fontId="26" fillId="13" borderId="23" xfId="0" applyFont="1" applyFill="1" applyBorder="1"/>
    <xf numFmtId="0" fontId="26" fillId="14" borderId="0" xfId="0" applyFont="1" applyFill="1"/>
    <xf numFmtId="0" fontId="25" fillId="15" borderId="24" xfId="0" applyFont="1" applyFill="1" applyBorder="1"/>
    <xf numFmtId="0" fontId="25" fillId="15" borderId="0" xfId="0" applyFont="1" applyFill="1"/>
    <xf numFmtId="0" fontId="26" fillId="14" borderId="23" xfId="0" applyFont="1" applyFill="1" applyBorder="1"/>
    <xf numFmtId="0" fontId="27" fillId="16" borderId="25" xfId="0" applyFont="1" applyFill="1" applyBorder="1"/>
    <xf numFmtId="0" fontId="27" fillId="16" borderId="0" xfId="0" applyFont="1" applyFill="1"/>
    <xf numFmtId="0" fontId="27" fillId="16" borderId="26" xfId="0" applyFont="1" applyFill="1" applyBorder="1"/>
    <xf numFmtId="0" fontId="26" fillId="17" borderId="0" xfId="0" applyFont="1" applyFill="1"/>
    <xf numFmtId="0" fontId="28" fillId="18" borderId="27" xfId="0" applyFont="1" applyFill="1" applyBorder="1"/>
    <xf numFmtId="0" fontId="28" fillId="18" borderId="0" xfId="0" applyFont="1" applyFill="1"/>
    <xf numFmtId="0" fontId="27" fillId="19" borderId="28" xfId="0" applyFont="1" applyFill="1" applyBorder="1"/>
    <xf numFmtId="0" fontId="27" fillId="17" borderId="23" xfId="0" applyFont="1" applyFill="1" applyBorder="1"/>
    <xf numFmtId="0" fontId="27" fillId="17" borderId="0" xfId="0" applyFont="1" applyFill="1"/>
    <xf numFmtId="0" fontId="26" fillId="17" borderId="23" xfId="0" applyFont="1" applyFill="1" applyBorder="1"/>
    <xf numFmtId="10" fontId="27" fillId="19" borderId="28" xfId="0" applyNumberFormat="1" applyFont="1" applyFill="1" applyBorder="1"/>
    <xf numFmtId="0" fontId="26" fillId="17" borderId="29" xfId="0" applyFont="1" applyFill="1" applyBorder="1"/>
    <xf numFmtId="0" fontId="29" fillId="20" borderId="0" xfId="0" applyFont="1" applyFill="1"/>
    <xf numFmtId="0" fontId="30" fillId="20" borderId="0" xfId="0" applyFont="1" applyFill="1"/>
    <xf numFmtId="0" fontId="26" fillId="20" borderId="0" xfId="0" applyFont="1" applyFill="1"/>
    <xf numFmtId="0" fontId="26" fillId="16" borderId="26" xfId="0" applyFont="1" applyFill="1" applyBorder="1"/>
    <xf numFmtId="0" fontId="26" fillId="15" borderId="27" xfId="0" applyFont="1" applyFill="1" applyBorder="1"/>
    <xf numFmtId="0" fontId="26" fillId="15" borderId="0" xfId="0" applyFont="1" applyFill="1"/>
    <xf numFmtId="0" fontId="27" fillId="15" borderId="30" xfId="0" applyFont="1" applyFill="1" applyBorder="1"/>
    <xf numFmtId="0" fontId="31" fillId="14" borderId="0" xfId="0" applyFont="1" applyFill="1"/>
    <xf numFmtId="0" fontId="26" fillId="15" borderId="31" xfId="0" applyFont="1" applyFill="1" applyBorder="1"/>
    <xf numFmtId="0" fontId="26" fillId="15" borderId="32" xfId="0" applyFont="1" applyFill="1" applyBorder="1"/>
    <xf numFmtId="0" fontId="27" fillId="15" borderId="33" xfId="0" applyFont="1" applyFill="1" applyBorder="1"/>
    <xf numFmtId="0" fontId="27" fillId="14" borderId="23" xfId="0" applyFont="1" applyFill="1" applyBorder="1"/>
    <xf numFmtId="0" fontId="27" fillId="14" borderId="0" xfId="0" applyFont="1" applyFill="1"/>
    <xf numFmtId="0" fontId="25" fillId="17" borderId="23" xfId="0" applyFont="1" applyFill="1" applyBorder="1"/>
    <xf numFmtId="0" fontId="25" fillId="17" borderId="0" xfId="0" applyFont="1" applyFill="1"/>
    <xf numFmtId="0" fontId="32" fillId="0" borderId="0" xfId="0" applyFont="1"/>
    <xf numFmtId="0" fontId="32" fillId="0" borderId="0" xfId="0" applyFont="1" applyAlignment="1">
      <alignment horizontal="center"/>
    </xf>
    <xf numFmtId="0" fontId="27" fillId="13" borderId="39" xfId="0" applyFont="1" applyFill="1" applyBorder="1" applyAlignment="1">
      <alignment horizontal="center"/>
    </xf>
    <xf numFmtId="0" fontId="27" fillId="13" borderId="42" xfId="0" applyFont="1" applyFill="1" applyBorder="1" applyAlignment="1">
      <alignment horizontal="center"/>
    </xf>
    <xf numFmtId="0" fontId="26" fillId="21" borderId="45" xfId="0" applyFont="1" applyFill="1" applyBorder="1" applyAlignment="1">
      <alignment horizontal="center" wrapText="1"/>
    </xf>
    <xf numFmtId="0" fontId="26" fillId="21" borderId="37" xfId="0" applyFont="1" applyFill="1" applyBorder="1" applyAlignment="1">
      <alignment horizontal="center" wrapText="1"/>
    </xf>
    <xf numFmtId="0" fontId="26" fillId="21" borderId="58" xfId="0" applyFont="1" applyFill="1" applyBorder="1" applyAlignment="1">
      <alignment horizontal="center"/>
    </xf>
    <xf numFmtId="0" fontId="26" fillId="21" borderId="59" xfId="0" applyFont="1" applyFill="1" applyBorder="1" applyAlignment="1">
      <alignment horizontal="center"/>
    </xf>
    <xf numFmtId="0" fontId="26" fillId="21" borderId="60" xfId="0" applyFont="1" applyFill="1" applyBorder="1" applyAlignment="1">
      <alignment horizontal="center"/>
    </xf>
    <xf numFmtId="0" fontId="27" fillId="13" borderId="40" xfId="0" applyFont="1" applyFill="1" applyBorder="1" applyAlignment="1">
      <alignment horizontal="center"/>
    </xf>
    <xf numFmtId="0" fontId="27" fillId="13" borderId="35" xfId="0" applyFont="1" applyFill="1" applyBorder="1" applyAlignment="1">
      <alignment horizontal="center"/>
    </xf>
    <xf numFmtId="0" fontId="27" fillId="13" borderId="41" xfId="0" applyFont="1" applyFill="1" applyBorder="1" applyAlignment="1">
      <alignment horizontal="center"/>
    </xf>
    <xf numFmtId="0" fontId="27" fillId="13" borderId="43" xfId="0" applyFont="1" applyFill="1" applyBorder="1" applyAlignment="1">
      <alignment horizontal="center"/>
    </xf>
    <xf numFmtId="0" fontId="27" fillId="13" borderId="9" xfId="0" applyFont="1" applyFill="1" applyBorder="1" applyAlignment="1">
      <alignment horizontal="center"/>
    </xf>
    <xf numFmtId="0" fontId="27" fillId="13" borderId="44" xfId="0" applyFont="1" applyFill="1" applyBorder="1" applyAlignment="1">
      <alignment horizontal="center"/>
    </xf>
    <xf numFmtId="0" fontId="34" fillId="22" borderId="46" xfId="0" applyFont="1" applyFill="1" applyBorder="1" applyAlignment="1">
      <alignment horizontal="center"/>
    </xf>
    <xf numFmtId="0" fontId="26" fillId="23" borderId="47" xfId="0" applyFont="1" applyFill="1" applyBorder="1" applyAlignment="1">
      <alignment horizontal="center"/>
    </xf>
    <xf numFmtId="0" fontId="26" fillId="19" borderId="47" xfId="0" applyFont="1" applyFill="1" applyBorder="1" applyAlignment="1">
      <alignment horizontal="center"/>
    </xf>
    <xf numFmtId="0" fontId="26" fillId="18" borderId="47" xfId="0" applyFont="1" applyFill="1" applyBorder="1" applyAlignment="1">
      <alignment horizontal="center"/>
    </xf>
    <xf numFmtId="4" fontId="26" fillId="23" borderId="47" xfId="0" applyNumberFormat="1" applyFont="1" applyFill="1" applyBorder="1" applyAlignment="1">
      <alignment horizontal="center"/>
    </xf>
    <xf numFmtId="0" fontId="26" fillId="23" borderId="23" xfId="0" applyFont="1" applyFill="1" applyBorder="1" applyAlignment="1">
      <alignment horizontal="center"/>
    </xf>
    <xf numFmtId="0" fontId="26" fillId="23" borderId="48" xfId="0" applyFont="1" applyFill="1" applyBorder="1" applyAlignment="1">
      <alignment horizontal="center"/>
    </xf>
    <xf numFmtId="4" fontId="26" fillId="19" borderId="47" xfId="0" applyNumberFormat="1" applyFont="1" applyFill="1" applyBorder="1" applyAlignment="1">
      <alignment horizontal="center"/>
    </xf>
    <xf numFmtId="4" fontId="26" fillId="18" borderId="47" xfId="0" applyNumberFormat="1" applyFont="1" applyFill="1" applyBorder="1" applyAlignment="1">
      <alignment horizontal="center"/>
    </xf>
    <xf numFmtId="4" fontId="26" fillId="23" borderId="0" xfId="0" applyNumberFormat="1" applyFont="1" applyFill="1" applyAlignment="1">
      <alignment horizontal="center"/>
    </xf>
    <xf numFmtId="4" fontId="26" fillId="23" borderId="49" xfId="0" applyNumberFormat="1" applyFont="1" applyFill="1" applyBorder="1" applyAlignment="1">
      <alignment horizontal="center"/>
    </xf>
    <xf numFmtId="4" fontId="26" fillId="23" borderId="50" xfId="0" applyNumberFormat="1" applyFont="1" applyFill="1" applyBorder="1" applyAlignment="1">
      <alignment horizontal="center"/>
    </xf>
    <xf numFmtId="4" fontId="26" fillId="23" borderId="51" xfId="0" applyNumberFormat="1" applyFont="1" applyFill="1" applyBorder="1" applyAlignment="1">
      <alignment horizontal="center"/>
    </xf>
    <xf numFmtId="4" fontId="26" fillId="23" borderId="23" xfId="0" applyNumberFormat="1" applyFont="1" applyFill="1" applyBorder="1" applyAlignment="1">
      <alignment horizontal="center"/>
    </xf>
    <xf numFmtId="4" fontId="26" fillId="23" borderId="48" xfId="0" applyNumberFormat="1" applyFont="1" applyFill="1" applyBorder="1" applyAlignment="1">
      <alignment horizontal="center"/>
    </xf>
    <xf numFmtId="4" fontId="26" fillId="23" borderId="52" xfId="0" applyNumberFormat="1" applyFont="1" applyFill="1" applyBorder="1" applyAlignment="1">
      <alignment horizontal="center"/>
    </xf>
    <xf numFmtId="4" fontId="26" fillId="19" borderId="52" xfId="0" applyNumberFormat="1" applyFont="1" applyFill="1" applyBorder="1" applyAlignment="1">
      <alignment horizontal="center"/>
    </xf>
    <xf numFmtId="4" fontId="26" fillId="18" borderId="52" xfId="0" applyNumberFormat="1" applyFont="1" applyFill="1" applyBorder="1" applyAlignment="1">
      <alignment horizontal="center"/>
    </xf>
    <xf numFmtId="4" fontId="27" fillId="23" borderId="55" xfId="0" applyNumberFormat="1" applyFont="1" applyFill="1" applyBorder="1" applyAlignment="1">
      <alignment horizontal="center"/>
    </xf>
    <xf numFmtId="4" fontId="27" fillId="19" borderId="56" xfId="0" applyNumberFormat="1" applyFont="1" applyFill="1" applyBorder="1" applyAlignment="1">
      <alignment horizontal="center"/>
    </xf>
    <xf numFmtId="4" fontId="27" fillId="18" borderId="57" xfId="0" applyNumberFormat="1" applyFont="1" applyFill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34" fillId="22" borderId="47" xfId="0" applyFont="1" applyFill="1" applyBorder="1" applyAlignment="1">
      <alignment horizontal="center"/>
    </xf>
    <xf numFmtId="0" fontId="34" fillId="22" borderId="52" xfId="0" applyFont="1" applyFill="1" applyBorder="1" applyAlignment="1">
      <alignment horizontal="center"/>
    </xf>
    <xf numFmtId="0" fontId="34" fillId="22" borderId="61" xfId="0" applyFont="1" applyFill="1" applyBorder="1" applyAlignment="1">
      <alignment horizontal="center"/>
    </xf>
    <xf numFmtId="4" fontId="26" fillId="23" borderId="61" xfId="0" applyNumberFormat="1" applyFont="1" applyFill="1" applyBorder="1" applyAlignment="1">
      <alignment horizontal="center"/>
    </xf>
    <xf numFmtId="0" fontId="26" fillId="19" borderId="61" xfId="0" applyFont="1" applyFill="1" applyBorder="1" applyAlignment="1">
      <alignment horizontal="center"/>
    </xf>
    <xf numFmtId="4" fontId="26" fillId="18" borderId="61" xfId="0" applyNumberFormat="1" applyFont="1" applyFill="1" applyBorder="1" applyAlignment="1">
      <alignment horizontal="center"/>
    </xf>
    <xf numFmtId="0" fontId="26" fillId="23" borderId="61" xfId="0" applyFont="1" applyFill="1" applyBorder="1" applyAlignment="1">
      <alignment horizontal="center"/>
    </xf>
    <xf numFmtId="4" fontId="26" fillId="23" borderId="62" xfId="0" applyNumberFormat="1" applyFont="1" applyFill="1" applyBorder="1" applyAlignment="1">
      <alignment horizontal="center"/>
    </xf>
    <xf numFmtId="4" fontId="26" fillId="23" borderId="63" xfId="0" applyNumberFormat="1" applyFont="1" applyFill="1" applyBorder="1" applyAlignment="1">
      <alignment horizontal="center"/>
    </xf>
    <xf numFmtId="0" fontId="27" fillId="13" borderId="39" xfId="0" applyFont="1" applyFill="1" applyBorder="1"/>
    <xf numFmtId="0" fontId="27" fillId="13" borderId="40" xfId="0" applyFont="1" applyFill="1" applyBorder="1"/>
    <xf numFmtId="0" fontId="27" fillId="13" borderId="35" xfId="0" applyFont="1" applyFill="1" applyBorder="1"/>
    <xf numFmtId="0" fontId="27" fillId="13" borderId="41" xfId="0" applyFont="1" applyFill="1" applyBorder="1"/>
    <xf numFmtId="0" fontId="27" fillId="13" borderId="42" xfId="0" applyFont="1" applyFill="1" applyBorder="1"/>
    <xf numFmtId="0" fontId="27" fillId="13" borderId="43" xfId="0" applyFont="1" applyFill="1" applyBorder="1"/>
    <xf numFmtId="0" fontId="27" fillId="13" borderId="9" xfId="0" applyFont="1" applyFill="1" applyBorder="1"/>
    <xf numFmtId="0" fontId="27" fillId="13" borderId="44" xfId="0" applyFont="1" applyFill="1" applyBorder="1"/>
    <xf numFmtId="0" fontId="26" fillId="21" borderId="45" xfId="0" applyFont="1" applyFill="1" applyBorder="1" applyAlignment="1">
      <alignment wrapText="1"/>
    </xf>
    <xf numFmtId="0" fontId="34" fillId="22" borderId="46" xfId="0" applyFont="1" applyFill="1" applyBorder="1"/>
    <xf numFmtId="0" fontId="26" fillId="23" borderId="47" xfId="0" applyFont="1" applyFill="1" applyBorder="1"/>
    <xf numFmtId="0" fontId="26" fillId="19" borderId="47" xfId="0" applyFont="1" applyFill="1" applyBorder="1"/>
    <xf numFmtId="0" fontId="26" fillId="18" borderId="47" xfId="0" applyFont="1" applyFill="1" applyBorder="1"/>
    <xf numFmtId="4" fontId="26" fillId="23" borderId="47" xfId="0" applyNumberFormat="1" applyFont="1" applyFill="1" applyBorder="1"/>
    <xf numFmtId="0" fontId="26" fillId="23" borderId="23" xfId="0" applyFont="1" applyFill="1" applyBorder="1"/>
    <xf numFmtId="0" fontId="26" fillId="23" borderId="48" xfId="0" applyFont="1" applyFill="1" applyBorder="1"/>
    <xf numFmtId="4" fontId="26" fillId="19" borderId="47" xfId="0" applyNumberFormat="1" applyFont="1" applyFill="1" applyBorder="1"/>
    <xf numFmtId="4" fontId="26" fillId="18" borderId="47" xfId="0" applyNumberFormat="1" applyFont="1" applyFill="1" applyBorder="1"/>
    <xf numFmtId="4" fontId="26" fillId="23" borderId="0" xfId="0" applyNumberFormat="1" applyFont="1" applyFill="1"/>
    <xf numFmtId="4" fontId="26" fillId="23" borderId="49" xfId="0" applyNumberFormat="1" applyFont="1" applyFill="1" applyBorder="1"/>
    <xf numFmtId="4" fontId="26" fillId="23" borderId="50" xfId="0" applyNumberFormat="1" applyFont="1" applyFill="1" applyBorder="1"/>
    <xf numFmtId="4" fontId="26" fillId="23" borderId="51" xfId="0" applyNumberFormat="1" applyFont="1" applyFill="1" applyBorder="1"/>
    <xf numFmtId="4" fontId="26" fillId="23" borderId="23" xfId="0" applyNumberFormat="1" applyFont="1" applyFill="1" applyBorder="1"/>
    <xf numFmtId="4" fontId="26" fillId="23" borderId="48" xfId="0" applyNumberFormat="1" applyFont="1" applyFill="1" applyBorder="1"/>
    <xf numFmtId="0" fontId="26" fillId="21" borderId="37" xfId="0" applyFont="1" applyFill="1" applyBorder="1" applyAlignment="1">
      <alignment wrapText="1"/>
    </xf>
    <xf numFmtId="0" fontId="26" fillId="23" borderId="52" xfId="0" applyFont="1" applyFill="1" applyBorder="1"/>
    <xf numFmtId="4" fontId="26" fillId="23" borderId="52" xfId="0" applyNumberFormat="1" applyFont="1" applyFill="1" applyBorder="1"/>
    <xf numFmtId="0" fontId="26" fillId="19" borderId="52" xfId="0" applyFont="1" applyFill="1" applyBorder="1"/>
    <xf numFmtId="4" fontId="26" fillId="19" borderId="52" xfId="0" applyNumberFormat="1" applyFont="1" applyFill="1" applyBorder="1"/>
    <xf numFmtId="4" fontId="26" fillId="18" borderId="52" xfId="0" applyNumberFormat="1" applyFont="1" applyFill="1" applyBorder="1"/>
    <xf numFmtId="4" fontId="27" fillId="23" borderId="55" xfId="0" applyNumberFormat="1" applyFont="1" applyFill="1" applyBorder="1"/>
    <xf numFmtId="4" fontId="27" fillId="19" borderId="56" xfId="0" applyNumberFormat="1" applyFont="1" applyFill="1" applyBorder="1"/>
    <xf numFmtId="4" fontId="27" fillId="18" borderId="57" xfId="0" applyNumberFormat="1" applyFont="1" applyFill="1" applyBorder="1"/>
    <xf numFmtId="0" fontId="27" fillId="0" borderId="35" xfId="0" applyFont="1" applyBorder="1"/>
    <xf numFmtId="0" fontId="26" fillId="21" borderId="58" xfId="0" applyFont="1" applyFill="1" applyBorder="1"/>
    <xf numFmtId="0" fontId="34" fillId="22" borderId="47" xfId="0" applyFont="1" applyFill="1" applyBorder="1"/>
    <xf numFmtId="0" fontId="26" fillId="21" borderId="59" xfId="0" applyFont="1" applyFill="1" applyBorder="1"/>
    <xf numFmtId="0" fontId="34" fillId="22" borderId="52" xfId="0" applyFont="1" applyFill="1" applyBorder="1"/>
    <xf numFmtId="0" fontId="26" fillId="21" borderId="60" xfId="0" applyFont="1" applyFill="1" applyBorder="1"/>
    <xf numFmtId="0" fontId="34" fillId="22" borderId="61" xfId="0" applyFont="1" applyFill="1" applyBorder="1"/>
    <xf numFmtId="0" fontId="26" fillId="23" borderId="61" xfId="0" applyFont="1" applyFill="1" applyBorder="1"/>
    <xf numFmtId="4" fontId="26" fillId="23" borderId="61" xfId="0" applyNumberFormat="1" applyFont="1" applyFill="1" applyBorder="1"/>
    <xf numFmtId="0" fontId="26" fillId="19" borderId="61" xfId="0" applyFont="1" applyFill="1" applyBorder="1"/>
    <xf numFmtId="4" fontId="26" fillId="18" borderId="61" xfId="0" applyNumberFormat="1" applyFont="1" applyFill="1" applyBorder="1"/>
    <xf numFmtId="4" fontId="26" fillId="23" borderId="62" xfId="0" applyNumberFormat="1" applyFont="1" applyFill="1" applyBorder="1"/>
    <xf numFmtId="4" fontId="26" fillId="23" borderId="63" xfId="0" applyNumberFormat="1" applyFont="1" applyFill="1" applyBorder="1"/>
    <xf numFmtId="0" fontId="0" fillId="3" borderId="19" xfId="2" applyNumberFormat="1" applyFont="1" applyFill="1" applyBorder="1" applyAlignment="1">
      <alignment horizontal="center"/>
    </xf>
    <xf numFmtId="0" fontId="10" fillId="3" borderId="19" xfId="2" applyNumberFormat="1" applyFont="1" applyFill="1" applyBorder="1" applyAlignment="1">
      <alignment horizontal="center"/>
    </xf>
    <xf numFmtId="0" fontId="0" fillId="3" borderId="19" xfId="2" applyNumberFormat="1" applyFont="1" applyFill="1" applyBorder="1" applyAlignment="1">
      <alignment horizontal="center" wrapText="1"/>
    </xf>
    <xf numFmtId="0" fontId="1" fillId="3" borderId="19" xfId="1" applyFill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19" xfId="1" applyBorder="1" applyAlignment="1">
      <alignment horizontal="center"/>
    </xf>
    <xf numFmtId="0" fontId="19" fillId="4" borderId="5" xfId="1" applyFont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9" fillId="4" borderId="10" xfId="1" applyFont="1" applyFill="1" applyBorder="1" applyAlignment="1">
      <alignment horizontal="center"/>
    </xf>
    <xf numFmtId="0" fontId="19" fillId="4" borderId="6" xfId="1" applyFont="1" applyFill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2" fontId="1" fillId="0" borderId="19" xfId="1" applyNumberFormat="1" applyBorder="1" applyAlignment="1">
      <alignment horizontal="center"/>
    </xf>
    <xf numFmtId="2" fontId="1" fillId="0" borderId="8" xfId="2" applyNumberFormat="1" applyBorder="1" applyAlignment="1">
      <alignment horizontal="center"/>
    </xf>
    <xf numFmtId="2" fontId="1" fillId="0" borderId="19" xfId="2" applyNumberFormat="1" applyBorder="1" applyAlignment="1">
      <alignment horizontal="center"/>
    </xf>
    <xf numFmtId="0" fontId="0" fillId="0" borderId="8" xfId="2" applyNumberFormat="1" applyFont="1" applyBorder="1" applyAlignment="1">
      <alignment horizontal="center"/>
    </xf>
    <xf numFmtId="0" fontId="0" fillId="0" borderId="19" xfId="2" applyNumberFormat="1" applyFont="1" applyBorder="1" applyAlignment="1">
      <alignment horizontal="center"/>
    </xf>
    <xf numFmtId="0" fontId="19" fillId="4" borderId="5" xfId="2" applyNumberFormat="1" applyFont="1" applyFill="1" applyBorder="1" applyAlignment="1">
      <alignment horizontal="center"/>
    </xf>
    <xf numFmtId="0" fontId="19" fillId="4" borderId="10" xfId="2" applyNumberFormat="1" applyFont="1" applyFill="1" applyBorder="1" applyAlignment="1">
      <alignment horizontal="center"/>
    </xf>
    <xf numFmtId="0" fontId="19" fillId="4" borderId="6" xfId="2" applyNumberFormat="1" applyFont="1" applyFill="1" applyBorder="1" applyAlignment="1">
      <alignment horizontal="center"/>
    </xf>
    <xf numFmtId="0" fontId="0" fillId="0" borderId="8" xfId="2" applyNumberFormat="1" applyFont="1" applyBorder="1" applyAlignment="1">
      <alignment horizontal="center" wrapText="1"/>
    </xf>
    <xf numFmtId="0" fontId="0" fillId="0" borderId="19" xfId="2" applyNumberFormat="1" applyFont="1" applyBorder="1" applyAlignment="1">
      <alignment horizontal="center" wrapText="1"/>
    </xf>
    <xf numFmtId="0" fontId="5" fillId="3" borderId="1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10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1" fillId="0" borderId="14" xfId="1" applyBorder="1" applyAlignment="1">
      <alignment horizontal="center" wrapText="1"/>
    </xf>
    <xf numFmtId="0" fontId="1" fillId="0" borderId="16" xfId="1" applyBorder="1" applyAlignment="1">
      <alignment horizontal="center" wrapText="1"/>
    </xf>
    <xf numFmtId="0" fontId="2" fillId="8" borderId="5" xfId="1" applyFont="1" applyFill="1" applyBorder="1" applyAlignment="1">
      <alignment horizontal="center"/>
    </xf>
    <xf numFmtId="0" fontId="2" fillId="8" borderId="10" xfId="1" applyFont="1" applyFill="1" applyBorder="1" applyAlignment="1">
      <alignment horizontal="center"/>
    </xf>
    <xf numFmtId="0" fontId="14" fillId="4" borderId="5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/>
    </xf>
    <xf numFmtId="0" fontId="1" fillId="0" borderId="14" xfId="1" applyBorder="1" applyAlignment="1">
      <alignment horizontal="center" vertical="center" wrapText="1"/>
    </xf>
    <xf numFmtId="0" fontId="1" fillId="0" borderId="16" xfId="1" applyBorder="1" applyAlignment="1">
      <alignment horizontal="center" vertical="center" wrapText="1"/>
    </xf>
    <xf numFmtId="0" fontId="9" fillId="8" borderId="5" xfId="1" applyFont="1" applyFill="1" applyBorder="1" applyAlignment="1">
      <alignment horizontal="center"/>
    </xf>
    <xf numFmtId="0" fontId="9" fillId="8" borderId="10" xfId="1" applyFont="1" applyFill="1" applyBorder="1" applyAlignment="1">
      <alignment horizontal="center"/>
    </xf>
    <xf numFmtId="0" fontId="9" fillId="3" borderId="11" xfId="1" applyFont="1" applyFill="1" applyBorder="1" applyAlignment="1">
      <alignment horizontal="center"/>
    </xf>
    <xf numFmtId="0" fontId="9" fillId="3" borderId="13" xfId="1" applyFont="1" applyFill="1" applyBorder="1" applyAlignment="1">
      <alignment horizontal="center"/>
    </xf>
    <xf numFmtId="0" fontId="1" fillId="3" borderId="14" xfId="1" applyFill="1" applyBorder="1" applyAlignment="1">
      <alignment horizontal="center" vertical="center" wrapText="1"/>
    </xf>
    <xf numFmtId="0" fontId="1" fillId="3" borderId="16" xfId="1" applyFill="1" applyBorder="1" applyAlignment="1">
      <alignment horizontal="center" vertical="center" wrapText="1"/>
    </xf>
    <xf numFmtId="0" fontId="5" fillId="3" borderId="21" xfId="1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33" fillId="17" borderId="34" xfId="0" applyFont="1" applyFill="1" applyBorder="1" applyAlignment="1"/>
    <xf numFmtId="0" fontId="33" fillId="17" borderId="35" xfId="0" applyFont="1" applyFill="1" applyBorder="1" applyAlignment="1"/>
    <xf numFmtId="0" fontId="33" fillId="17" borderId="36" xfId="0" applyFont="1" applyFill="1" applyBorder="1" applyAlignment="1"/>
    <xf numFmtId="0" fontId="33" fillId="17" borderId="37" xfId="0" applyFont="1" applyFill="1" applyBorder="1" applyAlignment="1"/>
    <xf numFmtId="0" fontId="33" fillId="17" borderId="0" xfId="0" applyFont="1" applyFill="1" applyAlignment="1"/>
    <xf numFmtId="0" fontId="33" fillId="17" borderId="38" xfId="0" applyFont="1" applyFill="1" applyBorder="1" applyAlignment="1"/>
    <xf numFmtId="0" fontId="27" fillId="17" borderId="53" xfId="0" applyFont="1" applyFill="1" applyBorder="1" applyAlignment="1"/>
    <xf numFmtId="0" fontId="27" fillId="17" borderId="54" xfId="0" applyFont="1" applyFill="1" applyBorder="1" applyAlignment="1"/>
    <xf numFmtId="0" fontId="33" fillId="17" borderId="34" xfId="0" applyFont="1" applyFill="1" applyBorder="1" applyAlignment="1">
      <alignment horizontal="center"/>
    </xf>
    <xf numFmtId="0" fontId="33" fillId="17" borderId="35" xfId="0" applyFont="1" applyFill="1" applyBorder="1" applyAlignment="1">
      <alignment horizontal="center"/>
    </xf>
    <xf numFmtId="0" fontId="33" fillId="17" borderId="36" xfId="0" applyFont="1" applyFill="1" applyBorder="1" applyAlignment="1">
      <alignment horizontal="center"/>
    </xf>
    <xf numFmtId="0" fontId="33" fillId="17" borderId="37" xfId="0" applyFont="1" applyFill="1" applyBorder="1" applyAlignment="1">
      <alignment horizontal="center"/>
    </xf>
    <xf numFmtId="0" fontId="33" fillId="17" borderId="0" xfId="0" applyFont="1" applyFill="1" applyAlignment="1">
      <alignment horizontal="center"/>
    </xf>
    <xf numFmtId="0" fontId="33" fillId="17" borderId="38" xfId="0" applyFont="1" applyFill="1" applyBorder="1" applyAlignment="1">
      <alignment horizontal="center"/>
    </xf>
    <xf numFmtId="0" fontId="27" fillId="17" borderId="53" xfId="0" applyFont="1" applyFill="1" applyBorder="1" applyAlignment="1">
      <alignment horizontal="center"/>
    </xf>
    <xf numFmtId="0" fontId="27" fillId="17" borderId="54" xfId="0" applyFont="1" applyFill="1" applyBorder="1" applyAlignment="1">
      <alignment horizontal="center"/>
    </xf>
  </cellXfs>
  <cellStyles count="4">
    <cellStyle name="Moneda 2" xfId="2"/>
    <cellStyle name="Normal" xfId="0" builtinId="0"/>
    <cellStyle name="Normal 2" xfId="1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J189"/>
  <sheetViews>
    <sheetView topLeftCell="D1" zoomScale="80" zoomScaleNormal="80" workbookViewId="0">
      <selection activeCell="L5" sqref="L5"/>
    </sheetView>
  </sheetViews>
  <sheetFormatPr baseColWidth="10" defaultColWidth="11.44140625" defaultRowHeight="15"/>
  <cols>
    <col min="1" max="1" width="11.44140625" style="1"/>
    <col min="2" max="2" width="55.33203125" style="1" customWidth="1"/>
    <col min="3" max="3" width="18.6640625" style="1" customWidth="1"/>
    <col min="4" max="4" width="19.44140625" style="1" customWidth="1"/>
    <col min="5" max="5" width="13.88671875" style="1" customWidth="1"/>
    <col min="6" max="6" width="24" style="1" customWidth="1"/>
    <col min="7" max="7" width="9" style="1"/>
    <col min="8" max="8" width="18.88671875" style="1" customWidth="1"/>
    <col min="9" max="9" width="9" style="1"/>
    <col min="10" max="10" width="19.88671875" style="1" customWidth="1"/>
    <col min="11" max="11" width="9" style="1"/>
    <col min="12" max="12" width="18.109375" style="1" customWidth="1"/>
    <col min="13" max="13" width="13.33203125" style="1" customWidth="1"/>
    <col min="14" max="14" width="9" style="1"/>
    <col min="15" max="15" width="29.44140625" style="1" customWidth="1"/>
    <col min="16" max="16" width="9.33203125" style="1" customWidth="1"/>
    <col min="17" max="17" width="17.88671875" style="1" customWidth="1"/>
    <col min="18" max="18" width="40.6640625" style="1" customWidth="1"/>
    <col min="19" max="19" width="27.44140625" style="1" customWidth="1"/>
    <col min="20" max="20" width="21.88671875" style="1" customWidth="1"/>
    <col min="21" max="21" width="9" style="1"/>
    <col min="22" max="22" width="41.109375" style="1" customWidth="1"/>
    <col min="23" max="23" width="30.88671875" style="1" customWidth="1"/>
    <col min="24" max="24" width="22.44140625" style="1" customWidth="1"/>
    <col min="25" max="25" width="9" style="1"/>
    <col min="26" max="26" width="37.6640625" style="1" customWidth="1"/>
    <col min="27" max="27" width="29.88671875" style="1" customWidth="1"/>
    <col min="28" max="28" width="15.44140625" style="1" customWidth="1"/>
    <col min="29" max="29" width="9" style="1"/>
    <col min="30" max="30" width="38.6640625" style="1" customWidth="1"/>
    <col min="31" max="31" width="30.44140625" style="1" customWidth="1"/>
    <col min="32" max="32" width="15.88671875" style="1" customWidth="1"/>
    <col min="33" max="33" width="9" style="1"/>
    <col min="34" max="34" width="39" style="1" customWidth="1"/>
    <col min="35" max="35" width="28.44140625" style="1" customWidth="1"/>
    <col min="36" max="36" width="13.6640625" style="1" customWidth="1"/>
    <col min="37" max="16384" width="11.44140625" style="1"/>
  </cols>
  <sheetData>
    <row r="1" spans="2:36" ht="15.75">
      <c r="D1" s="2">
        <v>32</v>
      </c>
      <c r="F1" s="2">
        <v>31</v>
      </c>
      <c r="H1" s="2">
        <v>30</v>
      </c>
      <c r="J1" s="2">
        <v>29</v>
      </c>
      <c r="L1" s="2">
        <v>28</v>
      </c>
    </row>
    <row r="2" spans="2:36" ht="20.25" customHeight="1">
      <c r="B2" s="308" t="s">
        <v>0</v>
      </c>
      <c r="C2" s="309"/>
      <c r="D2" s="309"/>
      <c r="E2" s="310"/>
      <c r="F2" s="309"/>
      <c r="G2" s="309"/>
      <c r="H2" s="309"/>
      <c r="I2" s="310"/>
      <c r="J2" s="309"/>
      <c r="K2" s="310"/>
      <c r="L2" s="309"/>
      <c r="M2" s="311"/>
    </row>
    <row r="3" spans="2:36" ht="26.25" customHeight="1">
      <c r="B3" s="312"/>
      <c r="C3" s="313"/>
      <c r="D3" s="3" t="s">
        <v>1</v>
      </c>
      <c r="E3" s="4" t="s">
        <v>2</v>
      </c>
      <c r="F3" s="5" t="s">
        <v>3</v>
      </c>
      <c r="G3" s="4" t="s">
        <v>2</v>
      </c>
      <c r="H3" s="5" t="s">
        <v>4</v>
      </c>
      <c r="I3" s="4" t="s">
        <v>2</v>
      </c>
      <c r="J3" s="5" t="s">
        <v>5</v>
      </c>
      <c r="K3" s="4" t="s">
        <v>2</v>
      </c>
      <c r="L3" s="5" t="s">
        <v>6</v>
      </c>
      <c r="M3" s="4" t="s">
        <v>2</v>
      </c>
      <c r="O3" s="6"/>
      <c r="R3" s="314" t="s">
        <v>1</v>
      </c>
      <c r="S3" s="315"/>
      <c r="T3" s="316"/>
      <c r="V3" s="314" t="s">
        <v>3</v>
      </c>
      <c r="W3" s="315"/>
      <c r="X3" s="316"/>
      <c r="Z3" s="7"/>
      <c r="AA3" s="136" t="s">
        <v>4</v>
      </c>
      <c r="AB3" s="8"/>
      <c r="AD3" s="9"/>
      <c r="AE3" s="10" t="s">
        <v>5</v>
      </c>
      <c r="AF3" s="11"/>
      <c r="AH3" s="12"/>
      <c r="AI3" s="10" t="s">
        <v>6</v>
      </c>
      <c r="AJ3" s="13"/>
    </row>
    <row r="4" spans="2:36" ht="21.75" customHeight="1">
      <c r="B4" s="327" t="s">
        <v>7</v>
      </c>
      <c r="C4" s="328"/>
      <c r="D4" s="14"/>
      <c r="E4" s="15"/>
      <c r="G4" s="15"/>
      <c r="I4" s="15"/>
      <c r="K4" s="15"/>
      <c r="L4" s="16"/>
      <c r="M4" s="15"/>
      <c r="O4" s="17"/>
      <c r="P4" s="329" t="s">
        <v>8</v>
      </c>
      <c r="Q4" s="330"/>
      <c r="R4" s="18" t="s">
        <v>9</v>
      </c>
      <c r="S4" s="18" t="s">
        <v>10</v>
      </c>
      <c r="T4" s="18">
        <v>1</v>
      </c>
      <c r="V4" s="19" t="s">
        <v>9</v>
      </c>
      <c r="W4" s="18" t="s">
        <v>10</v>
      </c>
      <c r="X4" s="20">
        <v>1</v>
      </c>
      <c r="Z4" s="19" t="s">
        <v>9</v>
      </c>
      <c r="AA4" s="18" t="s">
        <v>10</v>
      </c>
      <c r="AB4" s="20">
        <v>1</v>
      </c>
      <c r="AD4" s="19" t="s">
        <v>9</v>
      </c>
      <c r="AE4" s="18" t="s">
        <v>10</v>
      </c>
      <c r="AF4" s="20">
        <v>1</v>
      </c>
      <c r="AH4" s="19" t="s">
        <v>9</v>
      </c>
      <c r="AI4" s="18" t="s">
        <v>10</v>
      </c>
      <c r="AJ4" s="20">
        <v>1</v>
      </c>
    </row>
    <row r="5" spans="2:36" ht="27.95" customHeight="1">
      <c r="B5" s="21" t="s">
        <v>11</v>
      </c>
      <c r="D5" s="22">
        <f>'P&amp;L Breakdown'!K4</f>
        <v>195887311.35781842</v>
      </c>
      <c r="E5" s="23"/>
      <c r="F5" s="16">
        <f>'P&amp;L Breakdown'!I4</f>
        <v>182701484.28447768</v>
      </c>
      <c r="G5" s="15"/>
      <c r="H5" s="16">
        <f>'P&amp;L Breakdown'!G4</f>
        <v>162657637.35093555</v>
      </c>
      <c r="I5" s="15"/>
      <c r="J5" s="24">
        <f>'P&amp;L Breakdown'!E4</f>
        <v>139382285.67899999</v>
      </c>
      <c r="K5" s="25"/>
      <c r="L5" s="24">
        <f>'P&amp;L Breakdown'!C4</f>
        <v>97500000</v>
      </c>
      <c r="M5" s="15"/>
      <c r="O5" s="17"/>
      <c r="R5" s="26">
        <f>D32</f>
        <v>40808099.259999998</v>
      </c>
      <c r="S5" s="27">
        <f>D53</f>
        <v>2538799.0088</v>
      </c>
      <c r="T5" s="142"/>
      <c r="V5" s="28">
        <f>F32</f>
        <v>35470107.100000001</v>
      </c>
      <c r="W5" s="26">
        <f>F53</f>
        <v>2444614.4314999999</v>
      </c>
      <c r="X5" s="141"/>
      <c r="Z5" s="28">
        <f>H32</f>
        <v>29468171.48</v>
      </c>
      <c r="AA5" s="29">
        <f>H53</f>
        <v>2372898.4918</v>
      </c>
      <c r="AB5" s="139"/>
      <c r="AD5" s="30">
        <f>J32</f>
        <v>23656405.039999999</v>
      </c>
      <c r="AE5" s="31">
        <f>J53</f>
        <v>2283556.2422000002</v>
      </c>
      <c r="AF5" s="139"/>
      <c r="AH5" s="30">
        <f>L32</f>
        <v>14008064.809999999</v>
      </c>
      <c r="AI5" s="31">
        <f>AI7</f>
        <v>2216496.3866999997</v>
      </c>
      <c r="AJ5" s="139"/>
    </row>
    <row r="6" spans="2:36" ht="24" customHeight="1">
      <c r="B6" s="32" t="s">
        <v>12</v>
      </c>
      <c r="C6" s="33"/>
      <c r="D6" s="34">
        <f>'P&amp;L Breakdown'!K5</f>
        <v>140567424.03925896</v>
      </c>
      <c r="E6" s="35"/>
      <c r="F6" s="36">
        <f>'P&amp;L Breakdown'!I5</f>
        <v>134899379.42299888</v>
      </c>
      <c r="G6" s="37"/>
      <c r="H6" s="36">
        <f>'P&amp;L Breakdown'!G5</f>
        <v>123588636.65592003</v>
      </c>
      <c r="I6" s="37"/>
      <c r="J6" s="38">
        <f>'P&amp;L Breakdown'!E5</f>
        <v>108991700.76436315</v>
      </c>
      <c r="K6" s="37"/>
      <c r="L6" s="38">
        <f>'P&amp;L Breakdown'!C5</f>
        <v>78472350</v>
      </c>
      <c r="M6" s="37"/>
      <c r="N6" s="145"/>
      <c r="O6" s="39" t="s">
        <v>13</v>
      </c>
      <c r="P6" s="329" t="s">
        <v>14</v>
      </c>
      <c r="Q6" s="330"/>
      <c r="R6" s="18" t="s">
        <v>15</v>
      </c>
      <c r="S6" s="18" t="s">
        <v>10</v>
      </c>
      <c r="T6" s="18">
        <v>2</v>
      </c>
      <c r="V6" s="19" t="s">
        <v>15</v>
      </c>
      <c r="W6" s="18" t="s">
        <v>10</v>
      </c>
      <c r="X6" s="20">
        <v>2</v>
      </c>
      <c r="Z6" s="19" t="s">
        <v>15</v>
      </c>
      <c r="AA6" s="18" t="s">
        <v>10</v>
      </c>
      <c r="AB6" s="20">
        <v>2</v>
      </c>
      <c r="AD6" s="19" t="s">
        <v>15</v>
      </c>
      <c r="AE6" s="18" t="s">
        <v>10</v>
      </c>
      <c r="AF6" s="20">
        <v>2</v>
      </c>
      <c r="AH6" s="19" t="s">
        <v>15</v>
      </c>
      <c r="AI6" s="18" t="s">
        <v>10</v>
      </c>
      <c r="AJ6" s="20">
        <v>2</v>
      </c>
    </row>
    <row r="7" spans="2:36" ht="30.95" customHeight="1">
      <c r="B7" s="40" t="s">
        <v>16</v>
      </c>
      <c r="C7" s="41"/>
      <c r="D7" s="42">
        <f>D5-D6</f>
        <v>55319887.318559468</v>
      </c>
      <c r="E7" s="43"/>
      <c r="F7" s="44">
        <f>F5-F6</f>
        <v>47802104.861478806</v>
      </c>
      <c r="G7" s="21"/>
      <c r="H7" s="44">
        <f>H5-H6</f>
        <v>39069000.69501552</v>
      </c>
      <c r="I7" s="21"/>
      <c r="J7" s="45">
        <f>J5-J6</f>
        <v>30390584.914636835</v>
      </c>
      <c r="K7" s="21"/>
      <c r="L7" s="45">
        <f>L5-L6</f>
        <v>19027650</v>
      </c>
      <c r="M7" s="21"/>
      <c r="O7" s="17"/>
      <c r="R7" s="46">
        <f>D34+D38</f>
        <v>34808099.259999998</v>
      </c>
      <c r="S7" s="27">
        <f>S5</f>
        <v>2538799.0088</v>
      </c>
      <c r="T7" s="143"/>
      <c r="V7" s="28">
        <f>F34+F38</f>
        <v>29470107.100000001</v>
      </c>
      <c r="W7" s="26">
        <f>F53</f>
        <v>2444614.4314999999</v>
      </c>
      <c r="X7" s="141"/>
      <c r="Z7" s="30">
        <f>H34+H38</f>
        <v>23468171.48</v>
      </c>
      <c r="AA7" s="31">
        <f>AA5</f>
        <v>2372898.4918</v>
      </c>
      <c r="AB7" s="139"/>
      <c r="AD7" s="30">
        <f>J34+J38</f>
        <v>17656405.039999999</v>
      </c>
      <c r="AE7" s="31">
        <f>AE5</f>
        <v>2283556.2422000002</v>
      </c>
      <c r="AF7" s="139"/>
      <c r="AH7" s="30">
        <f>L34+L38</f>
        <v>8008064.8099999996</v>
      </c>
      <c r="AI7" s="31">
        <f>L53</f>
        <v>2216496.3866999997</v>
      </c>
      <c r="AJ7" s="139"/>
    </row>
    <row r="8" spans="2:36" ht="18.75" customHeight="1">
      <c r="B8" s="17" t="s">
        <v>17</v>
      </c>
      <c r="C8" s="47"/>
      <c r="D8" s="48">
        <f>'P&amp;L Breakdown'!K22</f>
        <v>9935349.4739742298</v>
      </c>
      <c r="E8" s="43"/>
      <c r="F8" s="49">
        <f>'P&amp;L Breakdown'!I22</f>
        <v>9612123.9183800668</v>
      </c>
      <c r="G8" s="21"/>
      <c r="H8" s="49">
        <f>'P&amp;L Breakdown'!G22</f>
        <v>8977157.3137101643</v>
      </c>
      <c r="I8" s="21"/>
      <c r="J8" s="50">
        <f>'P&amp;L Breakdown'!E22</f>
        <v>8153768.2991550062</v>
      </c>
      <c r="K8" s="21"/>
      <c r="L8" s="50">
        <f>'P&amp;L Breakdown'!C22</f>
        <v>6406029.0199999996</v>
      </c>
      <c r="M8" s="21"/>
      <c r="O8" s="17"/>
      <c r="P8" s="329" t="s">
        <v>18</v>
      </c>
      <c r="Q8" s="330"/>
      <c r="R8" s="18" t="s">
        <v>19</v>
      </c>
      <c r="S8" s="18" t="s">
        <v>20</v>
      </c>
      <c r="T8" s="20">
        <v>3</v>
      </c>
      <c r="U8" s="51"/>
      <c r="V8" s="19" t="s">
        <v>19</v>
      </c>
      <c r="W8" s="18" t="s">
        <v>20</v>
      </c>
      <c r="X8" s="20">
        <v>3</v>
      </c>
      <c r="Z8" s="19" t="s">
        <v>19</v>
      </c>
      <c r="AA8" s="18" t="s">
        <v>20</v>
      </c>
      <c r="AB8" s="20">
        <v>3</v>
      </c>
      <c r="AD8" s="19" t="s">
        <v>19</v>
      </c>
      <c r="AE8" s="18" t="s">
        <v>20</v>
      </c>
      <c r="AF8" s="20">
        <v>3</v>
      </c>
      <c r="AH8" s="19" t="s">
        <v>19</v>
      </c>
      <c r="AI8" s="18" t="s">
        <v>20</v>
      </c>
      <c r="AJ8" s="20">
        <v>3</v>
      </c>
    </row>
    <row r="9" spans="2:36" ht="18.95" customHeight="1">
      <c r="B9" s="21" t="s">
        <v>21</v>
      </c>
      <c r="D9" s="22">
        <v>0</v>
      </c>
      <c r="E9" s="43"/>
      <c r="F9" s="16">
        <v>0</v>
      </c>
      <c r="G9" s="21"/>
      <c r="H9" s="16">
        <v>0</v>
      </c>
      <c r="I9" s="21"/>
      <c r="J9" s="24"/>
      <c r="K9" s="21"/>
      <c r="L9" s="24">
        <v>0</v>
      </c>
      <c r="M9" s="21"/>
      <c r="O9" s="52"/>
      <c r="R9" s="53">
        <f>D44</f>
        <v>34996350.810000002</v>
      </c>
      <c r="S9" s="27">
        <f>D43</f>
        <v>79394999.2588</v>
      </c>
      <c r="T9" s="144"/>
      <c r="V9" s="54">
        <f>F44</f>
        <v>29542922.219999999</v>
      </c>
      <c r="W9" s="55">
        <f>F43</f>
        <v>75544757.103500009</v>
      </c>
      <c r="X9" s="140"/>
      <c r="Z9" s="54">
        <f>H44</f>
        <v>23467267.109999999</v>
      </c>
      <c r="AA9" s="55">
        <f>H43</f>
        <v>71030571.476799995</v>
      </c>
      <c r="AB9" s="140"/>
      <c r="AD9" s="54">
        <f>J44</f>
        <v>17661122.43</v>
      </c>
      <c r="AE9" s="55">
        <f>J43</f>
        <v>66706555.0392</v>
      </c>
      <c r="AF9" s="140"/>
      <c r="AH9" s="54">
        <f>L44</f>
        <v>8055464.8164265994</v>
      </c>
      <c r="AI9" s="55">
        <f>L43</f>
        <v>58545964.813126594</v>
      </c>
      <c r="AJ9" s="140"/>
    </row>
    <row r="10" spans="2:36" ht="18.95" customHeight="1">
      <c r="B10" s="52" t="s">
        <v>22</v>
      </c>
      <c r="C10" s="56"/>
      <c r="D10" s="57">
        <f>'P&amp;L Breakdown'!K32</f>
        <v>1549225.3229264696</v>
      </c>
      <c r="E10" s="43"/>
      <c r="F10" s="58">
        <f>'P&amp;L Breakdown'!I32</f>
        <v>1517188.8992155055</v>
      </c>
      <c r="G10" s="37"/>
      <c r="H10" s="58">
        <f>'P&amp;L Breakdown'!G32</f>
        <v>1485814.9565710458</v>
      </c>
      <c r="I10" s="37"/>
      <c r="J10" s="38">
        <f>'P&amp;L Breakdown'!E32</f>
        <v>1455089.7955499999</v>
      </c>
      <c r="K10" s="37"/>
      <c r="L10" s="38">
        <f>'P&amp;L Breakdown'!C32</f>
        <v>1425000</v>
      </c>
      <c r="M10" s="37"/>
    </row>
    <row r="11" spans="2:36" ht="16.5" customHeight="1">
      <c r="B11" s="40" t="s">
        <v>23</v>
      </c>
      <c r="C11" s="41"/>
      <c r="D11" s="42">
        <f>D7-D8+D9-D10</f>
        <v>43835312.521658771</v>
      </c>
      <c r="E11" s="43"/>
      <c r="F11" s="44">
        <f>F7-F8+F9-F10</f>
        <v>36672792.043883234</v>
      </c>
      <c r="G11" s="21"/>
      <c r="H11" s="44">
        <f>H7-H8+H9-H10</f>
        <v>28606028.424734309</v>
      </c>
      <c r="I11" s="21"/>
      <c r="J11" s="45">
        <f>J7-J8+J9-J10</f>
        <v>20781726.819931831</v>
      </c>
      <c r="K11" s="21"/>
      <c r="L11" s="45">
        <f>L7-L8+L9-L10</f>
        <v>11196620.98</v>
      </c>
      <c r="M11" s="21"/>
      <c r="P11" s="146"/>
    </row>
    <row r="12" spans="2:36" ht="16.5" customHeight="1">
      <c r="B12" s="17" t="s">
        <v>24</v>
      </c>
      <c r="C12" s="47"/>
      <c r="D12" s="48">
        <f>'P&amp;L Breakdown'!K41</f>
        <v>1502863</v>
      </c>
      <c r="E12" s="43"/>
      <c r="F12" s="49">
        <f>'P&amp;L Breakdown'!I41</f>
        <v>1502863</v>
      </c>
      <c r="G12" s="21"/>
      <c r="H12" s="49">
        <f>'P&amp;L Breakdown'!G41</f>
        <v>1502863</v>
      </c>
      <c r="I12" s="21"/>
      <c r="J12" s="50">
        <f>'P&amp;L Breakdown'!E41</f>
        <v>1502863</v>
      </c>
      <c r="K12" s="21"/>
      <c r="L12" s="50">
        <f>'P&amp;L Breakdown'!C41</f>
        <v>1502863</v>
      </c>
      <c r="M12" s="21"/>
      <c r="P12" s="147"/>
      <c r="R12" s="59" t="s">
        <v>25</v>
      </c>
      <c r="S12" s="51"/>
      <c r="T12" s="59" t="s">
        <v>26</v>
      </c>
      <c r="U12" s="51"/>
      <c r="V12" s="59" t="s">
        <v>27</v>
      </c>
      <c r="W12" s="51"/>
      <c r="X12" s="59" t="s">
        <v>28</v>
      </c>
      <c r="Y12" s="51"/>
      <c r="Z12" s="59" t="s">
        <v>29</v>
      </c>
    </row>
    <row r="13" spans="2:36" ht="21" customHeight="1">
      <c r="B13" s="21" t="s">
        <v>30</v>
      </c>
      <c r="D13" s="22">
        <v>0</v>
      </c>
      <c r="E13" s="43"/>
      <c r="F13" s="16"/>
      <c r="G13" s="21"/>
      <c r="H13" s="16"/>
      <c r="I13" s="21"/>
      <c r="J13" s="24">
        <v>0</v>
      </c>
      <c r="K13" s="21"/>
      <c r="L13" s="24"/>
      <c r="M13" s="21"/>
      <c r="R13" s="60"/>
      <c r="T13" s="60"/>
      <c r="V13" s="60"/>
      <c r="X13" s="60"/>
      <c r="Z13" s="60"/>
    </row>
    <row r="14" spans="2:36" ht="23.1" customHeight="1">
      <c r="B14" s="52" t="s">
        <v>31</v>
      </c>
      <c r="C14" s="56"/>
      <c r="D14" s="57"/>
      <c r="E14" s="43"/>
      <c r="F14" s="58">
        <v>0</v>
      </c>
      <c r="G14" s="37"/>
      <c r="H14" s="58">
        <v>0</v>
      </c>
      <c r="I14" s="37"/>
      <c r="J14" s="38"/>
      <c r="K14" s="37"/>
      <c r="L14" s="38"/>
      <c r="M14" s="37"/>
      <c r="O14" s="61" t="s">
        <v>32</v>
      </c>
      <c r="R14" s="21"/>
      <c r="T14" s="21"/>
      <c r="V14" s="21"/>
      <c r="X14" s="21"/>
      <c r="Z14" s="21"/>
    </row>
    <row r="15" spans="2:36" ht="23.1" customHeight="1">
      <c r="B15" s="40" t="s">
        <v>33</v>
      </c>
      <c r="C15" s="41"/>
      <c r="D15" s="42">
        <f>D11-D12+D13-D14</f>
        <v>42332449.521658771</v>
      </c>
      <c r="E15" s="43"/>
      <c r="F15" s="44">
        <f>F11-F12+F13-F14</f>
        <v>35169929.043883234</v>
      </c>
      <c r="G15" s="21"/>
      <c r="H15" s="44">
        <f>H11-H12+H13-H14</f>
        <v>27103165.424734309</v>
      </c>
      <c r="I15" s="21"/>
      <c r="J15" s="45">
        <f>J11-J12+J13-J14</f>
        <v>19278863.819931831</v>
      </c>
      <c r="K15" s="21"/>
      <c r="L15" s="45">
        <f>L11-L12</f>
        <v>9693757.9800000004</v>
      </c>
      <c r="M15" s="21"/>
      <c r="O15" s="62" t="s">
        <v>34</v>
      </c>
      <c r="R15" s="63"/>
      <c r="T15" s="63"/>
      <c r="V15" s="63"/>
      <c r="X15" s="64"/>
      <c r="Z15" s="64"/>
    </row>
    <row r="16" spans="2:36" ht="21" customHeight="1">
      <c r="B16" s="21" t="s">
        <v>35</v>
      </c>
      <c r="D16" s="22">
        <v>0</v>
      </c>
      <c r="E16" s="43"/>
      <c r="F16" s="16">
        <v>0</v>
      </c>
      <c r="G16" s="21"/>
      <c r="H16" s="16"/>
      <c r="I16" s="21"/>
      <c r="J16" s="24">
        <v>0</v>
      </c>
      <c r="K16" s="21"/>
      <c r="L16" s="24">
        <v>0</v>
      </c>
      <c r="M16" s="21"/>
      <c r="O16" s="21" t="s">
        <v>36</v>
      </c>
      <c r="R16" s="26">
        <f>D29-F29</f>
        <v>-3000</v>
      </c>
      <c r="T16" s="26">
        <f>F29-H29</f>
        <v>-3000</v>
      </c>
      <c r="V16" s="26">
        <f>H29-J29</f>
        <v>-3000</v>
      </c>
      <c r="X16" s="26">
        <f>J29-L29</f>
        <v>-3000</v>
      </c>
      <c r="Z16" s="26">
        <f>F29-L29</f>
        <v>-9000</v>
      </c>
    </row>
    <row r="17" spans="2:26" ht="21" customHeight="1">
      <c r="B17" s="52" t="s">
        <v>37</v>
      </c>
      <c r="C17" s="56"/>
      <c r="D17" s="57">
        <f>'P&amp;L Breakdown'!K47</f>
        <v>1676815.4504000002</v>
      </c>
      <c r="E17" s="43"/>
      <c r="F17" s="58">
        <f>'P&amp;L Breakdown'!I47</f>
        <v>1741000.0290000001</v>
      </c>
      <c r="G17" s="37"/>
      <c r="H17" s="58">
        <f>'P&amp;L Breakdown'!G47</f>
        <v>1802715.9709999999</v>
      </c>
      <c r="I17" s="37"/>
      <c r="J17" s="38">
        <f>'P&amp;L Breakdown'!E47</f>
        <v>1862058.22</v>
      </c>
      <c r="K17" s="37"/>
      <c r="L17" s="38">
        <f>'P&amp;L Breakdown'!C47</f>
        <v>1919118.0820000002</v>
      </c>
      <c r="M17" s="37"/>
      <c r="O17" s="21" t="s">
        <v>38</v>
      </c>
      <c r="R17" s="65">
        <f>D30-F30</f>
        <v>-1484750</v>
      </c>
      <c r="S17" s="66"/>
      <c r="T17" s="65">
        <f>F30-H30</f>
        <v>-1484750</v>
      </c>
      <c r="U17" s="66"/>
      <c r="V17" s="65">
        <f>H30-J30</f>
        <v>-1484750</v>
      </c>
      <c r="W17" s="66"/>
      <c r="X17" s="65">
        <f>J30-L30</f>
        <v>-1484750</v>
      </c>
      <c r="Y17" s="66"/>
      <c r="Z17" s="65">
        <f>F30-L30</f>
        <v>-4454250</v>
      </c>
    </row>
    <row r="18" spans="2:26" ht="21.95" customHeight="1">
      <c r="B18" s="40" t="s">
        <v>39</v>
      </c>
      <c r="C18" s="41"/>
      <c r="D18" s="42">
        <f>D15+D16-D17</f>
        <v>40655634.071258768</v>
      </c>
      <c r="E18" s="43"/>
      <c r="F18" s="44">
        <f>F15+F16-F17</f>
        <v>33428929.014883235</v>
      </c>
      <c r="G18" s="21"/>
      <c r="H18" s="44">
        <f>H15+H16-H17</f>
        <v>25300449.453734308</v>
      </c>
      <c r="I18" s="21"/>
      <c r="J18" s="45">
        <f>J15+J16-J17</f>
        <v>17416805.599931832</v>
      </c>
      <c r="K18" s="21"/>
      <c r="L18" s="45">
        <f>L15+L16-L17</f>
        <v>7774639.898</v>
      </c>
      <c r="M18" s="21"/>
      <c r="O18" s="21" t="s">
        <v>40</v>
      </c>
      <c r="R18" s="65">
        <f>D31-F31</f>
        <v>0</v>
      </c>
      <c r="S18" s="66"/>
      <c r="T18" s="65">
        <f>F31-H31</f>
        <v>0</v>
      </c>
      <c r="U18" s="66"/>
      <c r="V18" s="65">
        <f>H31-J31</f>
        <v>0</v>
      </c>
      <c r="W18" s="66"/>
      <c r="X18" s="65">
        <f>J31-L31</f>
        <v>0</v>
      </c>
      <c r="Y18" s="66"/>
      <c r="Z18" s="65">
        <f>F31-L31</f>
        <v>0</v>
      </c>
    </row>
    <row r="19" spans="2:26" ht="21" customHeight="1">
      <c r="B19" s="52" t="s">
        <v>41</v>
      </c>
      <c r="C19" s="56"/>
      <c r="D19" s="57">
        <f>D18*0.2983</f>
        <v>12127575.643456491</v>
      </c>
      <c r="E19" s="43"/>
      <c r="F19" s="58">
        <f>F18*0.2983</f>
        <v>9971849.525139669</v>
      </c>
      <c r="G19" s="37"/>
      <c r="H19" s="58">
        <f>H18*0.2983</f>
        <v>7547124.0720489444</v>
      </c>
      <c r="I19" s="37"/>
      <c r="J19" s="38">
        <f>J18*0.2983</f>
        <v>5195433.1104596658</v>
      </c>
      <c r="K19" s="37"/>
      <c r="L19" s="38">
        <f>L18*0.2983</f>
        <v>2319175.0815734002</v>
      </c>
      <c r="M19" s="37"/>
      <c r="O19" s="21"/>
      <c r="R19" s="67"/>
      <c r="S19" s="66"/>
      <c r="T19" s="67"/>
      <c r="U19" s="66"/>
      <c r="V19" s="67"/>
      <c r="W19" s="66"/>
      <c r="X19" s="67"/>
      <c r="Y19" s="66"/>
      <c r="Z19" s="67"/>
    </row>
    <row r="20" spans="2:26" ht="21.95" customHeight="1">
      <c r="B20" s="68" t="s">
        <v>42</v>
      </c>
      <c r="C20" s="69"/>
      <c r="D20" s="70">
        <f>D18-D19</f>
        <v>28528058.42780228</v>
      </c>
      <c r="E20" s="71"/>
      <c r="F20" s="70">
        <f>F18-F19</f>
        <v>23457079.489743568</v>
      </c>
      <c r="G20" s="64"/>
      <c r="H20" s="70">
        <f>H18-H19</f>
        <v>17753325.381685365</v>
      </c>
      <c r="I20" s="64"/>
      <c r="J20" s="72">
        <f>J18-J19</f>
        <v>12221372.489472166</v>
      </c>
      <c r="K20" s="64"/>
      <c r="L20" s="72">
        <f>L18-L19</f>
        <v>5455464.8164265994</v>
      </c>
      <c r="M20" s="64"/>
      <c r="O20" s="62" t="s">
        <v>9</v>
      </c>
      <c r="R20" s="73"/>
      <c r="S20" s="66"/>
      <c r="T20" s="73"/>
      <c r="U20" s="66"/>
      <c r="V20" s="73"/>
      <c r="W20" s="66"/>
      <c r="X20" s="73"/>
      <c r="Y20" s="66"/>
      <c r="Z20" s="73"/>
    </row>
    <row r="21" spans="2:26">
      <c r="O21" s="21" t="s">
        <v>43</v>
      </c>
      <c r="R21" s="65">
        <f>D33-F33</f>
        <v>0</v>
      </c>
      <c r="S21" s="66"/>
      <c r="T21" s="65">
        <f>F33-H33</f>
        <v>0</v>
      </c>
      <c r="U21" s="66"/>
      <c r="V21" s="65">
        <f>H33-J33</f>
        <v>0</v>
      </c>
      <c r="W21" s="66"/>
      <c r="X21" s="65">
        <f>J33-L33</f>
        <v>0</v>
      </c>
      <c r="Y21" s="66"/>
      <c r="Z21" s="65">
        <f>F33-L33</f>
        <v>0</v>
      </c>
    </row>
    <row r="22" spans="2:26">
      <c r="O22" s="21" t="s">
        <v>44</v>
      </c>
      <c r="R22" s="65">
        <f>D34-F34</f>
        <v>1100000</v>
      </c>
      <c r="S22" s="66"/>
      <c r="T22" s="65">
        <f>F34-H34</f>
        <v>1100000</v>
      </c>
      <c r="U22" s="66"/>
      <c r="V22" s="65">
        <f>H34-J34</f>
        <v>1100000</v>
      </c>
      <c r="W22" s="66"/>
      <c r="X22" s="65">
        <f>J34-L34</f>
        <v>8392435.1900000013</v>
      </c>
      <c r="Y22" s="66"/>
      <c r="Z22" s="65">
        <f>F34-L34</f>
        <v>10592435.190000001</v>
      </c>
    </row>
    <row r="23" spans="2:26">
      <c r="O23" s="21" t="s">
        <v>45</v>
      </c>
      <c r="R23" s="65">
        <f>D38-F38</f>
        <v>4237992.1599999983</v>
      </c>
      <c r="S23" s="66"/>
      <c r="T23" s="65">
        <f>F38-H38</f>
        <v>4901935.6199999992</v>
      </c>
      <c r="U23" s="66"/>
      <c r="V23" s="65">
        <f>H38-J38</f>
        <v>4711766.4400000004</v>
      </c>
      <c r="W23" s="66"/>
      <c r="X23" s="65">
        <f>J38-L38</f>
        <v>1255905.04</v>
      </c>
      <c r="Y23" s="66"/>
      <c r="Z23" s="65">
        <f>F38-L38</f>
        <v>10869607.1</v>
      </c>
    </row>
    <row r="24" spans="2:26" ht="15.75">
      <c r="D24" s="2">
        <v>32</v>
      </c>
      <c r="F24" s="2">
        <v>31</v>
      </c>
      <c r="H24" s="2">
        <v>30</v>
      </c>
      <c r="J24" s="2">
        <v>29</v>
      </c>
      <c r="L24" s="2">
        <v>28</v>
      </c>
      <c r="O24" s="21"/>
      <c r="R24" s="67"/>
      <c r="S24" s="66"/>
      <c r="T24" s="67"/>
      <c r="U24" s="66"/>
      <c r="V24" s="67"/>
      <c r="W24" s="66"/>
      <c r="X24" s="67"/>
      <c r="Y24" s="66"/>
      <c r="Z24" s="67"/>
    </row>
    <row r="25" spans="2:26" ht="16.5">
      <c r="B25" s="308" t="s">
        <v>46</v>
      </c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31"/>
      <c r="O25" s="21"/>
      <c r="R25" s="21"/>
      <c r="T25" s="21"/>
      <c r="V25" s="21"/>
      <c r="X25" s="21"/>
      <c r="Z25" s="21"/>
    </row>
    <row r="26" spans="2:26">
      <c r="B26" s="74"/>
      <c r="C26" s="69"/>
      <c r="D26" s="4" t="s">
        <v>1</v>
      </c>
      <c r="E26" s="75" t="s">
        <v>2</v>
      </c>
      <c r="F26" s="4" t="s">
        <v>3</v>
      </c>
      <c r="G26" s="75" t="s">
        <v>2</v>
      </c>
      <c r="H26" s="4" t="s">
        <v>4</v>
      </c>
      <c r="I26" s="75" t="s">
        <v>2</v>
      </c>
      <c r="J26" s="4" t="s">
        <v>5</v>
      </c>
      <c r="K26" s="75" t="s">
        <v>2</v>
      </c>
      <c r="L26" s="4" t="s">
        <v>6</v>
      </c>
      <c r="M26" s="76" t="s">
        <v>2</v>
      </c>
      <c r="O26" s="21"/>
      <c r="R26" s="21"/>
      <c r="T26" s="21"/>
      <c r="V26" s="21"/>
      <c r="X26" s="21"/>
      <c r="Z26" s="21"/>
    </row>
    <row r="27" spans="2:26" ht="15.75">
      <c r="B27" s="319" t="s">
        <v>47</v>
      </c>
      <c r="C27" s="320"/>
      <c r="D27" s="77">
        <f>D28+D32</f>
        <v>79394999.25999999</v>
      </c>
      <c r="E27" s="78">
        <f t="shared" ref="E27:M27" si="0">E28+E32</f>
        <v>1</v>
      </c>
      <c r="F27" s="77">
        <f t="shared" si="0"/>
        <v>75544757.099999994</v>
      </c>
      <c r="G27" s="78">
        <f t="shared" si="0"/>
        <v>1</v>
      </c>
      <c r="H27" s="77">
        <f t="shared" si="0"/>
        <v>71030571.480000004</v>
      </c>
      <c r="I27" s="78">
        <f t="shared" si="0"/>
        <v>1</v>
      </c>
      <c r="J27" s="77">
        <f t="shared" si="0"/>
        <v>66706555.039999999</v>
      </c>
      <c r="K27" s="78">
        <f t="shared" si="0"/>
        <v>1</v>
      </c>
      <c r="L27" s="77">
        <f t="shared" si="0"/>
        <v>58545964.810000002</v>
      </c>
      <c r="M27" s="78">
        <f t="shared" si="0"/>
        <v>1</v>
      </c>
      <c r="O27" s="79" t="s">
        <v>48</v>
      </c>
      <c r="R27" s="80">
        <f xml:space="preserve"> R16+R17+R18+R21+R22+R23</f>
        <v>3850242.1599999983</v>
      </c>
      <c r="T27" s="80">
        <f xml:space="preserve"> T16+T17+T18+T21+T22+T23</f>
        <v>4514185.6199999992</v>
      </c>
      <c r="V27" s="80">
        <f xml:space="preserve"> V16+V17+V18+V21+V22+V23</f>
        <v>4324016.4400000004</v>
      </c>
      <c r="X27" s="80">
        <f xml:space="preserve"> X16+X17+X18+X21+X22+X23</f>
        <v>8160590.2300000014</v>
      </c>
      <c r="Z27" s="80">
        <f xml:space="preserve"> Z16+Z17+Z18+Z21+Z22+Z23</f>
        <v>16998792.289999999</v>
      </c>
    </row>
    <row r="28" spans="2:26" ht="15.75">
      <c r="B28" s="321" t="s">
        <v>49</v>
      </c>
      <c r="C28" s="322"/>
      <c r="D28" s="81">
        <f t="shared" ref="D28:M28" si="1">SUM(D29:D31)</f>
        <v>38586900</v>
      </c>
      <c r="E28" s="82">
        <f t="shared" si="1"/>
        <v>0.48601171811384442</v>
      </c>
      <c r="F28" s="81">
        <f t="shared" si="1"/>
        <v>40074650</v>
      </c>
      <c r="G28" s="82">
        <f t="shared" si="1"/>
        <v>0.5304755953739112</v>
      </c>
      <c r="H28" s="81">
        <f t="shared" si="1"/>
        <v>41562400</v>
      </c>
      <c r="I28" s="82">
        <f t="shared" si="1"/>
        <v>0.58513396603746426</v>
      </c>
      <c r="J28" s="81">
        <f t="shared" si="1"/>
        <v>43050150</v>
      </c>
      <c r="K28" s="82">
        <f t="shared" si="1"/>
        <v>0.64536611093445551</v>
      </c>
      <c r="L28" s="81">
        <f t="shared" si="1"/>
        <v>44537900</v>
      </c>
      <c r="M28" s="83">
        <f t="shared" si="1"/>
        <v>0.76073389762282406</v>
      </c>
      <c r="O28" s="61" t="s">
        <v>50</v>
      </c>
      <c r="R28" s="21"/>
      <c r="T28" s="21"/>
      <c r="V28" s="21"/>
      <c r="X28" s="21"/>
      <c r="Z28" s="21"/>
    </row>
    <row r="29" spans="2:26" ht="15.75">
      <c r="B29" s="84" t="s">
        <v>51</v>
      </c>
      <c r="C29" s="85">
        <v>20</v>
      </c>
      <c r="D29" s="86">
        <v>3000</v>
      </c>
      <c r="E29" s="87">
        <f>D29/D27</f>
        <v>3.7785755122633156E-5</v>
      </c>
      <c r="F29" s="86">
        <v>6000</v>
      </c>
      <c r="G29" s="87">
        <f>F29/F27</f>
        <v>7.9423115916008429E-5</v>
      </c>
      <c r="H29" s="86">
        <v>9000</v>
      </c>
      <c r="I29" s="87">
        <f>H29/H27</f>
        <v>1.2670600577293847E-4</v>
      </c>
      <c r="J29" s="86">
        <v>12000</v>
      </c>
      <c r="K29" s="87">
        <f>J29/J27</f>
        <v>1.798923657923019E-4</v>
      </c>
      <c r="L29" s="86">
        <v>15000</v>
      </c>
      <c r="M29" s="88">
        <f>L29/L27</f>
        <v>2.5620894708422177E-4</v>
      </c>
      <c r="O29" s="62" t="s">
        <v>19</v>
      </c>
      <c r="R29" s="21"/>
      <c r="T29" s="21"/>
      <c r="V29" s="21"/>
      <c r="X29" s="21"/>
      <c r="Z29" s="21"/>
    </row>
    <row r="30" spans="2:26" ht="15.75">
      <c r="B30" s="84" t="s">
        <v>52</v>
      </c>
      <c r="C30" s="85">
        <v>21</v>
      </c>
      <c r="D30" s="86">
        <f>16800+38567100</f>
        <v>38583900</v>
      </c>
      <c r="E30" s="87">
        <f>D30/D27</f>
        <v>0.48597393235872177</v>
      </c>
      <c r="F30" s="86">
        <f>18200+40050450</f>
        <v>40068650</v>
      </c>
      <c r="G30" s="87">
        <f>F30/F27</f>
        <v>0.53039617225799518</v>
      </c>
      <c r="H30" s="86">
        <f>19600+41533800</f>
        <v>41553400</v>
      </c>
      <c r="I30" s="87">
        <f>H30/H27</f>
        <v>0.58500726003169135</v>
      </c>
      <c r="J30" s="86">
        <f>21000+43017150</f>
        <v>43038150</v>
      </c>
      <c r="K30" s="87">
        <f>J30/J27</f>
        <v>0.64518621856866321</v>
      </c>
      <c r="L30" s="86">
        <f>22400+44500500</f>
        <v>44522900</v>
      </c>
      <c r="M30" s="88">
        <f>L30/L27</f>
        <v>0.76047768867573984</v>
      </c>
      <c r="O30" s="21" t="s">
        <v>53</v>
      </c>
      <c r="R30" s="27">
        <f>D44</f>
        <v>34996350.810000002</v>
      </c>
      <c r="T30" s="27">
        <f>F44</f>
        <v>29542922.219999999</v>
      </c>
      <c r="V30" s="27">
        <f>H44</f>
        <v>23467267.109999999</v>
      </c>
      <c r="X30" s="27">
        <f>J44</f>
        <v>17661122.43</v>
      </c>
      <c r="Z30" s="27">
        <f>L44</f>
        <v>8055464.8164265994</v>
      </c>
    </row>
    <row r="31" spans="2:26" ht="15.75">
      <c r="B31" s="89" t="s">
        <v>54</v>
      </c>
      <c r="C31" s="90">
        <v>25</v>
      </c>
      <c r="D31" s="91">
        <v>0</v>
      </c>
      <c r="E31" s="92">
        <f>D31/D27</f>
        <v>0</v>
      </c>
      <c r="F31" s="91">
        <v>0</v>
      </c>
      <c r="G31" s="92">
        <f>F31/F27</f>
        <v>0</v>
      </c>
      <c r="H31" s="91"/>
      <c r="I31" s="92">
        <f>H31/H27</f>
        <v>0</v>
      </c>
      <c r="J31" s="91"/>
      <c r="K31" s="92">
        <f>J31/J27</f>
        <v>0</v>
      </c>
      <c r="L31" s="91"/>
      <c r="M31" s="93">
        <f>L31/L27</f>
        <v>0</v>
      </c>
      <c r="O31" s="61" t="s">
        <v>55</v>
      </c>
      <c r="R31" s="60"/>
      <c r="T31" s="60"/>
      <c r="V31" s="21"/>
      <c r="X31" s="21"/>
      <c r="Z31" s="21"/>
    </row>
    <row r="32" spans="2:26" ht="15.75">
      <c r="B32" s="321" t="s">
        <v>56</v>
      </c>
      <c r="C32" s="322"/>
      <c r="D32" s="81">
        <f>D33+D34+D38</f>
        <v>40808099.259999998</v>
      </c>
      <c r="E32" s="82">
        <f>SUM(E33+E34+E38)</f>
        <v>0.51398828188615564</v>
      </c>
      <c r="F32" s="81">
        <f>F33+F34+F38</f>
        <v>35470107.100000001</v>
      </c>
      <c r="G32" s="82">
        <f>SUM(G33+G34+G38)</f>
        <v>0.46952440462608885</v>
      </c>
      <c r="H32" s="81">
        <f>H33+H34+H38</f>
        <v>29468171.48</v>
      </c>
      <c r="I32" s="82">
        <f>SUM(I33+I34+I38)</f>
        <v>0.41486603396253569</v>
      </c>
      <c r="J32" s="81">
        <f>J33+J34+J38</f>
        <v>23656405.039999999</v>
      </c>
      <c r="K32" s="82">
        <f>SUM(K33+K34+K38)</f>
        <v>0.35463388906554449</v>
      </c>
      <c r="L32" s="81">
        <f>L33+L34+L38</f>
        <v>14008064.809999999</v>
      </c>
      <c r="M32" s="83">
        <f>SUM(M33+M34+M38)</f>
        <v>0.23926610237717594</v>
      </c>
      <c r="O32" s="62" t="s">
        <v>57</v>
      </c>
      <c r="R32" s="64"/>
      <c r="T32" s="64"/>
      <c r="V32" s="64"/>
      <c r="X32" s="64"/>
      <c r="Z32" s="64"/>
    </row>
    <row r="33" spans="2:26" ht="15.75">
      <c r="B33" s="84" t="s">
        <v>58</v>
      </c>
      <c r="C33" s="85">
        <v>3</v>
      </c>
      <c r="D33" s="86">
        <v>6000000</v>
      </c>
      <c r="E33" s="87">
        <f>D33/D27</f>
        <v>7.5571510245266302E-2</v>
      </c>
      <c r="F33" s="86">
        <v>6000000</v>
      </c>
      <c r="G33" s="87">
        <f>F33/F27</f>
        <v>7.9423115916008424E-2</v>
      </c>
      <c r="H33" s="86">
        <v>6000000</v>
      </c>
      <c r="I33" s="87">
        <f>H33/H27</f>
        <v>8.447067051529232E-2</v>
      </c>
      <c r="J33" s="86">
        <v>6000000</v>
      </c>
      <c r="K33" s="87">
        <f>J33/J27</f>
        <v>8.9946182896150959E-2</v>
      </c>
      <c r="L33" s="86">
        <v>6000000</v>
      </c>
      <c r="M33" s="88">
        <f>L33/L27</f>
        <v>0.10248357883368871</v>
      </c>
      <c r="O33" s="21" t="s">
        <v>59</v>
      </c>
      <c r="R33" s="26">
        <f>D50</f>
        <v>85714</v>
      </c>
      <c r="T33" s="26">
        <f>F50</f>
        <v>114286</v>
      </c>
      <c r="V33" s="26">
        <f>H50</f>
        <v>142857</v>
      </c>
      <c r="X33" s="26">
        <f>J50</f>
        <v>171429</v>
      </c>
      <c r="Z33" s="26">
        <f>F50-L50</f>
        <v>-85714</v>
      </c>
    </row>
    <row r="34" spans="2:26" ht="15.75">
      <c r="B34" s="94" t="s">
        <v>60</v>
      </c>
      <c r="C34" s="85">
        <v>4</v>
      </c>
      <c r="D34" s="95">
        <f>D35+D36+D37</f>
        <v>17700000</v>
      </c>
      <c r="E34" s="87">
        <f>SUM(E35:E37)</f>
        <v>0.2229359552235356</v>
      </c>
      <c r="F34" s="95">
        <f>F35+F36+F37</f>
        <v>16600000</v>
      </c>
      <c r="G34" s="87">
        <f>SUM(G35:G37)</f>
        <v>0.2197372873676233</v>
      </c>
      <c r="H34" s="95">
        <f>H35+H36+H37</f>
        <v>15500000</v>
      </c>
      <c r="I34" s="87">
        <f>SUM(I35:I37)</f>
        <v>0.21821589883117185</v>
      </c>
      <c r="J34" s="95">
        <f>J35+J36+J37</f>
        <v>14400000</v>
      </c>
      <c r="K34" s="87">
        <f>SUM(K35:K37)</f>
        <v>0.21587083895076228</v>
      </c>
      <c r="L34" s="95">
        <f>L35+L36+L37</f>
        <v>6007564.8099999996</v>
      </c>
      <c r="M34" s="88">
        <f>SUM(M35:M37)</f>
        <v>0.10261279030068818</v>
      </c>
      <c r="O34" s="21" t="s">
        <v>61</v>
      </c>
      <c r="R34" s="26">
        <f>D51</f>
        <v>0</v>
      </c>
      <c r="T34" s="26">
        <f>F51</f>
        <v>0</v>
      </c>
      <c r="V34" s="26">
        <f>H51</f>
        <v>0</v>
      </c>
      <c r="X34" s="26">
        <f>J51</f>
        <v>0</v>
      </c>
      <c r="Z34" s="26">
        <f>F51-L51</f>
        <v>0</v>
      </c>
    </row>
    <row r="35" spans="2:26" ht="15.75">
      <c r="B35" s="96" t="s">
        <v>62</v>
      </c>
      <c r="C35" s="85">
        <v>43</v>
      </c>
      <c r="D35" s="97">
        <v>16000000</v>
      </c>
      <c r="E35" s="87">
        <f>D35/D27</f>
        <v>0.20152402732071015</v>
      </c>
      <c r="F35" s="97">
        <v>15000000</v>
      </c>
      <c r="G35" s="87">
        <f>F35/F27</f>
        <v>0.19855778979002106</v>
      </c>
      <c r="H35" s="97">
        <v>14000000</v>
      </c>
      <c r="I35" s="87">
        <f>H35/H27</f>
        <v>0.19709823120234876</v>
      </c>
      <c r="J35" s="97">
        <v>13000000</v>
      </c>
      <c r="K35" s="87">
        <f>J35/J27</f>
        <v>0.19488339627499374</v>
      </c>
      <c r="L35" s="97">
        <f>12000000-7288235.19</f>
        <v>4711764.8099999996</v>
      </c>
      <c r="M35" s="88">
        <f>L35/L27</f>
        <v>8.047975339190587E-2</v>
      </c>
      <c r="O35" s="21"/>
      <c r="R35" s="21"/>
      <c r="T35" s="21"/>
      <c r="V35" s="21"/>
      <c r="X35" s="21"/>
      <c r="Z35" s="21"/>
    </row>
    <row r="36" spans="2:26" ht="15.75">
      <c r="B36" s="96" t="s">
        <v>63</v>
      </c>
      <c r="C36" s="85">
        <v>47</v>
      </c>
      <c r="D36" s="97">
        <v>1700000</v>
      </c>
      <c r="E36" s="87">
        <f>D36/D27</f>
        <v>2.1411927902825454E-2</v>
      </c>
      <c r="F36" s="97">
        <v>1600000</v>
      </c>
      <c r="G36" s="87">
        <f>F36/F27</f>
        <v>2.1179497577602246E-2</v>
      </c>
      <c r="H36" s="97">
        <v>1500000</v>
      </c>
      <c r="I36" s="87">
        <f>H36/H27</f>
        <v>2.111766762882308E-2</v>
      </c>
      <c r="J36" s="97">
        <v>1400000</v>
      </c>
      <c r="K36" s="87">
        <f>J36/J27</f>
        <v>2.0987442675768554E-2</v>
      </c>
      <c r="L36" s="97">
        <v>1295800</v>
      </c>
      <c r="M36" s="88">
        <f>L36/L27</f>
        <v>2.2133036908782305E-2</v>
      </c>
      <c r="O36" s="62" t="s">
        <v>10</v>
      </c>
      <c r="R36" s="98"/>
      <c r="T36" s="98"/>
      <c r="V36" s="98"/>
      <c r="X36" s="98"/>
      <c r="Z36" s="98"/>
    </row>
    <row r="37" spans="2:26" ht="15.75">
      <c r="B37" s="96" t="s">
        <v>64</v>
      </c>
      <c r="C37" s="85">
        <v>54</v>
      </c>
      <c r="D37" s="97"/>
      <c r="E37" s="87">
        <f>D37/D27</f>
        <v>0</v>
      </c>
      <c r="F37" s="97">
        <v>0</v>
      </c>
      <c r="G37" s="87">
        <f>F37/F27</f>
        <v>0</v>
      </c>
      <c r="H37" s="97">
        <v>0</v>
      </c>
      <c r="I37" s="87">
        <f>H37/H27</f>
        <v>0</v>
      </c>
      <c r="J37" s="97">
        <v>0</v>
      </c>
      <c r="K37" s="87">
        <f>J37/J27</f>
        <v>0</v>
      </c>
      <c r="L37" s="97">
        <v>0</v>
      </c>
      <c r="M37" s="88">
        <f>L37/L27</f>
        <v>0</v>
      </c>
      <c r="O37" s="21" t="s">
        <v>65</v>
      </c>
      <c r="R37" s="26">
        <f>D54</f>
        <v>0</v>
      </c>
      <c r="T37" s="26">
        <f>F54</f>
        <v>0</v>
      </c>
      <c r="V37" s="26">
        <f>H54</f>
        <v>0</v>
      </c>
      <c r="X37" s="26">
        <f>J54</f>
        <v>0</v>
      </c>
      <c r="Z37" s="26">
        <f>F54-L54</f>
        <v>0</v>
      </c>
    </row>
    <row r="38" spans="2:26" ht="15.75">
      <c r="B38" s="94" t="s">
        <v>66</v>
      </c>
      <c r="C38" s="85">
        <v>5</v>
      </c>
      <c r="D38" s="95">
        <f>D41+D40</f>
        <v>17108099.259999998</v>
      </c>
      <c r="E38" s="87">
        <f>E39</f>
        <v>0.21548081641735378</v>
      </c>
      <c r="F38" s="95">
        <f>12869307.1+800</f>
        <v>12870107.1</v>
      </c>
      <c r="G38" s="87">
        <f>F38/F27</f>
        <v>0.17036400134245716</v>
      </c>
      <c r="H38" s="95">
        <f>7967371.48+800</f>
        <v>7968171.4800000004</v>
      </c>
      <c r="I38" s="87">
        <f>H38/H27</f>
        <v>0.11217946461607153</v>
      </c>
      <c r="J38" s="95">
        <f>J41+J40</f>
        <v>3256405.04</v>
      </c>
      <c r="K38" s="87">
        <f>J38/J27</f>
        <v>4.8816867218631294E-2</v>
      </c>
      <c r="L38" s="95">
        <v>2000500</v>
      </c>
      <c r="M38" s="88">
        <f>L38/L27</f>
        <v>3.4169733242799046E-2</v>
      </c>
      <c r="O38" s="21" t="s">
        <v>67</v>
      </c>
      <c r="R38" s="26">
        <f>D56</f>
        <v>430000</v>
      </c>
      <c r="T38" s="26">
        <f>F56</f>
        <v>420000</v>
      </c>
      <c r="V38" s="26">
        <f>H56</f>
        <v>410000</v>
      </c>
      <c r="X38" s="26">
        <f>J56</f>
        <v>400000</v>
      </c>
      <c r="Z38" s="26">
        <f>F56-L56</f>
        <v>30000</v>
      </c>
    </row>
    <row r="39" spans="2:26" ht="15.75">
      <c r="B39" s="99" t="s">
        <v>68</v>
      </c>
      <c r="C39" s="85">
        <v>57</v>
      </c>
      <c r="D39" s="86">
        <v>17107299.260000002</v>
      </c>
      <c r="E39" s="87">
        <f>SUM(E40:E41)</f>
        <v>0.21548081641735378</v>
      </c>
      <c r="F39" s="86">
        <v>12869307.1</v>
      </c>
      <c r="G39" s="87">
        <f>SUM(G40:G41)</f>
        <v>0.17036400134245719</v>
      </c>
      <c r="H39" s="86">
        <v>7967371.4800000004</v>
      </c>
      <c r="I39" s="87">
        <f>SUM(I40:I41)</f>
        <v>0.11217946461607153</v>
      </c>
      <c r="J39" s="86">
        <v>3255605.04</v>
      </c>
      <c r="K39" s="87">
        <f>SUM(K40:K41)</f>
        <v>4.8816867218631294E-2</v>
      </c>
      <c r="L39" s="86">
        <v>2000500</v>
      </c>
      <c r="M39" s="88">
        <f>SUM(M40:M41)</f>
        <v>3.4169733242799039E-2</v>
      </c>
      <c r="O39" s="21" t="s">
        <v>69</v>
      </c>
      <c r="R39" s="26">
        <f>D57</f>
        <v>0</v>
      </c>
      <c r="T39" s="26">
        <f>F57</f>
        <v>0</v>
      </c>
      <c r="V39" s="26">
        <f>H57</f>
        <v>0</v>
      </c>
      <c r="X39" s="26">
        <f>J57</f>
        <v>0</v>
      </c>
      <c r="Z39" s="26">
        <f>F57-L57</f>
        <v>0</v>
      </c>
    </row>
    <row r="40" spans="2:26" ht="15.75">
      <c r="B40" s="96" t="s">
        <v>70</v>
      </c>
      <c r="C40" s="85">
        <v>570</v>
      </c>
      <c r="D40" s="97">
        <v>800</v>
      </c>
      <c r="E40" s="87">
        <f>D40/D27</f>
        <v>1.0076201366035508E-5</v>
      </c>
      <c r="F40" s="97">
        <v>800</v>
      </c>
      <c r="G40" s="87">
        <f>F40/F27</f>
        <v>1.0589748788801124E-5</v>
      </c>
      <c r="H40" s="97">
        <v>800</v>
      </c>
      <c r="I40" s="87">
        <f>H40/H27</f>
        <v>1.1262756068705642E-5</v>
      </c>
      <c r="J40" s="97">
        <v>800</v>
      </c>
      <c r="K40" s="87">
        <f>J40/J27</f>
        <v>1.1992824386153459E-5</v>
      </c>
      <c r="L40" s="137">
        <v>500</v>
      </c>
      <c r="M40" s="88">
        <f>L40/L27</f>
        <v>8.5402982361407254E-6</v>
      </c>
      <c r="O40" s="21"/>
      <c r="R40" s="21"/>
      <c r="T40" s="21"/>
      <c r="V40" s="21"/>
      <c r="X40" s="21"/>
      <c r="Z40" s="21"/>
    </row>
    <row r="41" spans="2:26" ht="15.75">
      <c r="B41" s="100" t="s">
        <v>71</v>
      </c>
      <c r="C41" s="90">
        <v>572</v>
      </c>
      <c r="D41" s="101">
        <f>11875000+5232299.26</f>
        <v>17107299.259999998</v>
      </c>
      <c r="E41" s="92">
        <f>D41/D27</f>
        <v>0.21547074021598775</v>
      </c>
      <c r="F41" s="101">
        <f>3264307.1+9605000</f>
        <v>12869307.1</v>
      </c>
      <c r="G41" s="92">
        <f>F41/F27</f>
        <v>0.17035341159366837</v>
      </c>
      <c r="H41" s="101">
        <f>1132371.48+6835000</f>
        <v>7967371.4800000004</v>
      </c>
      <c r="I41" s="92">
        <f>H41/H27</f>
        <v>0.11216820186000283</v>
      </c>
      <c r="J41" s="101">
        <f>4565000-1309394.96</f>
        <v>3255605.04</v>
      </c>
      <c r="K41" s="92">
        <f>J41/J27</f>
        <v>4.8804874394245142E-2</v>
      </c>
      <c r="L41" s="101">
        <v>2000000</v>
      </c>
      <c r="M41" s="93">
        <f>L41/L27</f>
        <v>3.41611929445629E-2</v>
      </c>
      <c r="O41" s="21"/>
      <c r="R41" s="21"/>
      <c r="T41" s="21"/>
      <c r="V41" s="21"/>
      <c r="X41" s="21"/>
      <c r="Z41" s="21"/>
    </row>
    <row r="42" spans="2:26" ht="15.75">
      <c r="D42" s="2">
        <v>32</v>
      </c>
      <c r="F42" s="2">
        <v>31</v>
      </c>
      <c r="H42" s="2">
        <v>30</v>
      </c>
      <c r="J42" s="2">
        <v>29</v>
      </c>
      <c r="L42" s="2">
        <v>28</v>
      </c>
      <c r="M42" s="87"/>
      <c r="O42" s="79" t="s">
        <v>48</v>
      </c>
      <c r="R42" s="80">
        <f>R30+R33+R34+R37+R38+R39</f>
        <v>35512064.810000002</v>
      </c>
      <c r="T42" s="80">
        <f>T30+T33+T34+T37+T38+T39</f>
        <v>30077208.219999999</v>
      </c>
      <c r="V42" s="80">
        <f>V30+V33+V34+V37+V38+V39</f>
        <v>24020124.109999999</v>
      </c>
      <c r="X42" s="80">
        <f>X30+X33+X34+X37+X38+X39</f>
        <v>18232551.43</v>
      </c>
      <c r="Z42" s="80">
        <f>Z30+Z33+Z34+Z37+Z38+Z39</f>
        <v>7999750.8164265994</v>
      </c>
    </row>
    <row r="43" spans="2:26" ht="15.75">
      <c r="B43" s="319" t="s">
        <v>72</v>
      </c>
      <c r="C43" s="320"/>
      <c r="D43" s="102">
        <f t="shared" ref="D43:M43" si="2">D44+D48</f>
        <v>79394999.2588</v>
      </c>
      <c r="E43" s="103">
        <f t="shared" si="2"/>
        <v>1</v>
      </c>
      <c r="F43" s="102">
        <f t="shared" si="2"/>
        <v>75544757.103500009</v>
      </c>
      <c r="G43" s="103">
        <f t="shared" si="2"/>
        <v>0.99999999999999989</v>
      </c>
      <c r="H43" s="102">
        <f t="shared" si="2"/>
        <v>71030571.476799995</v>
      </c>
      <c r="I43" s="103">
        <f t="shared" si="2"/>
        <v>1</v>
      </c>
      <c r="J43" s="102">
        <f t="shared" si="2"/>
        <v>66706555.0392</v>
      </c>
      <c r="K43" s="103">
        <f t="shared" si="2"/>
        <v>1</v>
      </c>
      <c r="L43" s="102">
        <f t="shared" si="2"/>
        <v>58545964.813126594</v>
      </c>
      <c r="M43" s="103">
        <f t="shared" si="2"/>
        <v>1</v>
      </c>
    </row>
    <row r="44" spans="2:26" ht="15.75">
      <c r="B44" s="321" t="s">
        <v>73</v>
      </c>
      <c r="C44" s="322"/>
      <c r="D44" s="81">
        <f>D45+D46+D47</f>
        <v>34996350.810000002</v>
      </c>
      <c r="E44" s="82">
        <f>D44/D43</f>
        <v>0.44078784730413695</v>
      </c>
      <c r="F44" s="81">
        <f>F45+F46+F47</f>
        <v>29542922.219999999</v>
      </c>
      <c r="G44" s="82">
        <f>F44/F43</f>
        <v>0.39106515597799529</v>
      </c>
      <c r="H44" s="81">
        <f>H45+H46+H47</f>
        <v>23467267.109999999</v>
      </c>
      <c r="I44" s="82">
        <f>H44/H43</f>
        <v>0.33038263133874513</v>
      </c>
      <c r="J44" s="81">
        <f>J45+J46+J47</f>
        <v>17661122.43</v>
      </c>
      <c r="K44" s="82">
        <f>J44/J43</f>
        <v>0.2647584247098575</v>
      </c>
      <c r="L44" s="81">
        <f>L45+L46+L47</f>
        <v>8055464.8164265994</v>
      </c>
      <c r="M44" s="83">
        <f>L44/L43</f>
        <v>0.13759214391869554</v>
      </c>
    </row>
    <row r="45" spans="2:26" ht="15.75">
      <c r="B45" s="104" t="s">
        <v>74</v>
      </c>
      <c r="C45" s="85">
        <v>10</v>
      </c>
      <c r="D45" s="95">
        <v>100000</v>
      </c>
      <c r="E45" s="105">
        <f>D45/D43</f>
        <v>1.2595251707734751E-3</v>
      </c>
      <c r="F45" s="95">
        <v>100000</v>
      </c>
      <c r="G45" s="105">
        <f>F45/F43</f>
        <v>1.323718598538812E-3</v>
      </c>
      <c r="H45" s="95">
        <v>100000</v>
      </c>
      <c r="I45" s="105">
        <f>H45/H43</f>
        <v>1.4078445086516305E-3</v>
      </c>
      <c r="J45" s="95">
        <v>100000</v>
      </c>
      <c r="K45" s="105">
        <f>J45/J43</f>
        <v>1.4991030482871611E-3</v>
      </c>
      <c r="L45" s="95">
        <v>100000</v>
      </c>
      <c r="M45" s="106">
        <f>L45/L43</f>
        <v>1.7080596471369279E-3</v>
      </c>
      <c r="O45" s="6"/>
      <c r="R45" s="107" t="s">
        <v>75</v>
      </c>
      <c r="T45" s="108" t="s">
        <v>75</v>
      </c>
      <c r="V45" s="107" t="s">
        <v>75</v>
      </c>
      <c r="X45" s="107" t="s">
        <v>75</v>
      </c>
      <c r="Z45" s="107" t="s">
        <v>75</v>
      </c>
    </row>
    <row r="46" spans="2:26" ht="15.75">
      <c r="B46" s="109" t="s">
        <v>76</v>
      </c>
      <c r="C46" s="85">
        <v>11</v>
      </c>
      <c r="D46" s="97">
        <v>6368292.3799999999</v>
      </c>
      <c r="E46" s="105">
        <f>D46/D43</f>
        <v>8.0210245474549205E-2</v>
      </c>
      <c r="F46" s="97">
        <v>5985842.7300000004</v>
      </c>
      <c r="G46" s="105">
        <f>F46/F43</f>
        <v>7.9235713496293381E-2</v>
      </c>
      <c r="H46" s="97">
        <v>5613941.7300000004</v>
      </c>
      <c r="I46" s="105">
        <f>H46/H43</f>
        <v>7.9035570364707347E-2</v>
      </c>
      <c r="J46" s="97">
        <v>5339749.9400000004</v>
      </c>
      <c r="K46" s="105">
        <f>J46/J43</f>
        <v>8.0048354121451851E-2</v>
      </c>
      <c r="L46" s="97">
        <v>2500000</v>
      </c>
      <c r="M46" s="106">
        <f>L46/L43</f>
        <v>4.2701491178423194E-2</v>
      </c>
      <c r="O46" s="17"/>
      <c r="R46" s="21"/>
      <c r="T46" s="21"/>
      <c r="V46" s="21"/>
      <c r="X46" s="21"/>
      <c r="Z46" s="21"/>
    </row>
    <row r="47" spans="2:26" ht="16.5" thickBot="1">
      <c r="B47" s="110" t="s">
        <v>77</v>
      </c>
      <c r="C47" s="90">
        <v>129</v>
      </c>
      <c r="D47" s="111">
        <v>28528058.43</v>
      </c>
      <c r="E47" s="112">
        <f>D47/D43</f>
        <v>0.35931807665881427</v>
      </c>
      <c r="F47" s="111">
        <v>23457079.489999998</v>
      </c>
      <c r="G47" s="112">
        <f>F47/F43</f>
        <v>0.31050572388316311</v>
      </c>
      <c r="H47" s="111">
        <v>17753325.379999999</v>
      </c>
      <c r="I47" s="112">
        <f>H47/H43</f>
        <v>0.24993921646538617</v>
      </c>
      <c r="J47" s="111">
        <v>12221372.49</v>
      </c>
      <c r="K47" s="112">
        <f>J47/J43</f>
        <v>0.18321096754011851</v>
      </c>
      <c r="L47" s="111">
        <f>L20</f>
        <v>5455464.8164265994</v>
      </c>
      <c r="M47" s="113">
        <f>L47/L43</f>
        <v>9.3182593093135424E-2</v>
      </c>
      <c r="O47" s="17"/>
      <c r="P47" s="323" t="s">
        <v>78</v>
      </c>
      <c r="Q47" s="324"/>
      <c r="R47" s="21"/>
      <c r="T47" s="21"/>
      <c r="V47" s="21"/>
      <c r="X47" s="21"/>
      <c r="Z47" s="21"/>
    </row>
    <row r="48" spans="2:26" ht="16.5" thickBot="1">
      <c r="B48" s="325" t="s">
        <v>55</v>
      </c>
      <c r="C48" s="326"/>
      <c r="D48" s="114">
        <f>D49+D53</f>
        <v>44398648.448799998</v>
      </c>
      <c r="E48" s="82">
        <f>D48/D43</f>
        <v>0.559212152695863</v>
      </c>
      <c r="F48" s="114">
        <f>F49+F53</f>
        <v>46001834.883500002</v>
      </c>
      <c r="G48" s="82">
        <f>F48/F43</f>
        <v>0.6089348440220046</v>
      </c>
      <c r="H48" s="114">
        <f>H49+H53</f>
        <v>47563304.366800003</v>
      </c>
      <c r="I48" s="82">
        <f>H48/H43</f>
        <v>0.66961736866125499</v>
      </c>
      <c r="J48" s="114">
        <f>J49+J53</f>
        <v>49045432.609200001</v>
      </c>
      <c r="K48" s="82">
        <f>J48/J43</f>
        <v>0.73524157529014245</v>
      </c>
      <c r="L48" s="114">
        <f>L49+L53</f>
        <v>50490499.996699996</v>
      </c>
      <c r="M48" s="83">
        <f>L48/L43</f>
        <v>0.86240785608130444</v>
      </c>
      <c r="O48" s="17"/>
      <c r="P48" s="323"/>
      <c r="Q48" s="324"/>
      <c r="R48" s="21"/>
      <c r="T48" s="21"/>
      <c r="V48" s="21"/>
      <c r="X48" s="21"/>
      <c r="Z48" s="21"/>
    </row>
    <row r="49" spans="2:26" ht="15.75">
      <c r="B49" s="321" t="s">
        <v>57</v>
      </c>
      <c r="C49" s="322"/>
      <c r="D49" s="81">
        <f>D50+D51+D52</f>
        <v>41859849.439999998</v>
      </c>
      <c r="E49" s="82">
        <f>SUM(E50:E52)</f>
        <v>0.52723534014467954</v>
      </c>
      <c r="F49" s="81">
        <f>F50+F51+F52</f>
        <v>43557220.452</v>
      </c>
      <c r="G49" s="82">
        <f>SUM(G50:G52)</f>
        <v>0.5765750281296752</v>
      </c>
      <c r="H49" s="81">
        <f>H50+H51+H52</f>
        <v>45190405.875</v>
      </c>
      <c r="I49" s="82">
        <f>SUM(I50:I52)</f>
        <v>0.63621064754857126</v>
      </c>
      <c r="J49" s="81">
        <f>J50+J51+J52</f>
        <v>46761876.366999999</v>
      </c>
      <c r="K49" s="82">
        <f>SUM(K50:K52)</f>
        <v>0.70100871405397047</v>
      </c>
      <c r="L49" s="81">
        <f>L50+L51+L52</f>
        <v>48274003.609999999</v>
      </c>
      <c r="M49" s="83">
        <f>SUM(M50:M52)</f>
        <v>0.82454877571983376</v>
      </c>
      <c r="O49" s="17"/>
      <c r="R49" s="21"/>
      <c r="T49" s="21"/>
      <c r="V49" s="21"/>
      <c r="X49" s="21"/>
      <c r="Z49" s="21"/>
    </row>
    <row r="50" spans="2:26" ht="17.25" customHeight="1">
      <c r="B50" s="104" t="s">
        <v>79</v>
      </c>
      <c r="D50" s="95">
        <v>85714</v>
      </c>
      <c r="E50" s="105">
        <f>D50/D43</f>
        <v>1.0795894048767764E-3</v>
      </c>
      <c r="F50" s="95">
        <v>114286</v>
      </c>
      <c r="G50" s="105">
        <f>F50/F43</f>
        <v>1.5128250375260669E-3</v>
      </c>
      <c r="H50" s="95">
        <v>142857</v>
      </c>
      <c r="I50" s="105">
        <f>H50/H43</f>
        <v>2.0112044297244595E-3</v>
      </c>
      <c r="J50" s="95">
        <v>171429</v>
      </c>
      <c r="K50" s="105">
        <f>J50/J43</f>
        <v>2.5698973646481973E-3</v>
      </c>
      <c r="L50" s="95">
        <v>200000</v>
      </c>
      <c r="M50" s="106">
        <f>L50/L43</f>
        <v>3.4161192942738557E-3</v>
      </c>
      <c r="O50" s="17"/>
      <c r="R50" s="21"/>
      <c r="T50" s="21"/>
      <c r="V50" s="21"/>
      <c r="X50" s="21"/>
      <c r="Z50" s="21"/>
    </row>
    <row r="51" spans="2:26" ht="18" customHeight="1">
      <c r="B51" s="109" t="s">
        <v>80</v>
      </c>
      <c r="D51" s="97"/>
      <c r="E51" s="105">
        <f>D51/D43</f>
        <v>0</v>
      </c>
      <c r="F51" s="97"/>
      <c r="G51" s="105">
        <f>F51/F43</f>
        <v>0</v>
      </c>
      <c r="H51" s="97"/>
      <c r="I51" s="105">
        <f>H51/H43</f>
        <v>0</v>
      </c>
      <c r="J51" s="97"/>
      <c r="K51" s="105">
        <f>J51/J43</f>
        <v>0</v>
      </c>
      <c r="L51" s="97"/>
      <c r="M51" s="106">
        <f>L51/L43</f>
        <v>0</v>
      </c>
      <c r="O51" s="17"/>
      <c r="R51" s="21"/>
      <c r="T51" s="21"/>
      <c r="V51" s="21"/>
      <c r="X51" s="21"/>
      <c r="Z51" s="21"/>
    </row>
    <row r="52" spans="2:26" ht="31.5" customHeight="1">
      <c r="B52" s="104" t="s">
        <v>81</v>
      </c>
      <c r="D52" s="95">
        <f>1571207.51+40202927.93</f>
        <v>41774135.439999998</v>
      </c>
      <c r="E52" s="105">
        <f>D52/D43</f>
        <v>0.52615575073980281</v>
      </c>
      <c r="F52" s="95">
        <f>2311784.202+41131150.25</f>
        <v>43442934.452</v>
      </c>
      <c r="G52" s="105">
        <f>F52/F43</f>
        <v>0.57506220309214917</v>
      </c>
      <c r="H52" s="95">
        <f>3023877.175+42023671.7</f>
        <v>45047548.875</v>
      </c>
      <c r="I52" s="105">
        <f>H52/H43</f>
        <v>0.6341994431188468</v>
      </c>
      <c r="J52" s="95">
        <f>3708581.957+42881865.41</f>
        <v>46590447.366999999</v>
      </c>
      <c r="K52" s="105">
        <f>J52/J43</f>
        <v>0.69843881668932228</v>
      </c>
      <c r="L52" s="95">
        <f>4366951.94+43707051.67</f>
        <v>48074003.609999999</v>
      </c>
      <c r="M52" s="106">
        <f>L52/L43</f>
        <v>0.82113265642555988</v>
      </c>
      <c r="O52" s="115" t="s">
        <v>82</v>
      </c>
      <c r="R52" s="116" t="s">
        <v>83</v>
      </c>
      <c r="T52" s="116" t="s">
        <v>83</v>
      </c>
      <c r="V52" s="116" t="s">
        <v>83</v>
      </c>
      <c r="X52" s="116" t="s">
        <v>83</v>
      </c>
      <c r="Z52" s="116" t="s">
        <v>83</v>
      </c>
    </row>
    <row r="53" spans="2:26" ht="30.75">
      <c r="B53" s="321" t="s">
        <v>10</v>
      </c>
      <c r="C53" s="322"/>
      <c r="D53" s="81">
        <f>D54+D55+D56+D57+D58</f>
        <v>2538799.0088</v>
      </c>
      <c r="E53" s="82">
        <f>SUM(E54:E58)</f>
        <v>3.1976812551183495E-2</v>
      </c>
      <c r="F53" s="81">
        <f>F54+F55+F56+F57+F58</f>
        <v>2444614.4314999999</v>
      </c>
      <c r="G53" s="82">
        <f>SUM(G54:G58)</f>
        <v>3.2359815892329349E-2</v>
      </c>
      <c r="H53" s="81">
        <f>H54+H55+H56+H57+H58</f>
        <v>2372898.4918</v>
      </c>
      <c r="I53" s="82">
        <f>SUM(I54:I58)</f>
        <v>3.3406721112683661E-2</v>
      </c>
      <c r="J53" s="81">
        <f>J54+J55+J56+J57+J58</f>
        <v>2283556.2422000002</v>
      </c>
      <c r="K53" s="82">
        <f>SUM(K54:K58)</f>
        <v>3.4232861236171946E-2</v>
      </c>
      <c r="L53" s="81">
        <f>L54+L55+L56+L57+L58</f>
        <v>2216496.3866999997</v>
      </c>
      <c r="M53" s="83">
        <f>SUM(M54:M58)</f>
        <v>3.7859080361470773E-2</v>
      </c>
      <c r="O53" s="135" t="s">
        <v>84</v>
      </c>
      <c r="R53" s="21"/>
      <c r="T53" s="21"/>
      <c r="V53" s="21"/>
      <c r="X53" s="21"/>
      <c r="Z53" s="21"/>
    </row>
    <row r="54" spans="2:26" ht="21" customHeight="1">
      <c r="B54" s="104" t="s">
        <v>85</v>
      </c>
      <c r="D54" s="95"/>
      <c r="E54" s="87">
        <f>D54/D43</f>
        <v>0</v>
      </c>
      <c r="F54" s="95"/>
      <c r="G54" s="87">
        <f>F54/F43</f>
        <v>0</v>
      </c>
      <c r="H54" s="95"/>
      <c r="I54" s="87">
        <f>H54/H43</f>
        <v>0</v>
      </c>
      <c r="J54" s="95"/>
      <c r="K54" s="105">
        <f>J54/J43</f>
        <v>0</v>
      </c>
      <c r="L54" s="95"/>
      <c r="M54" s="106">
        <f>L54/L43</f>
        <v>0</v>
      </c>
      <c r="O54" s="17"/>
      <c r="P54" s="317" t="s">
        <v>86</v>
      </c>
      <c r="Q54" s="318"/>
      <c r="R54" s="21"/>
      <c r="T54" s="21"/>
      <c r="V54" s="21"/>
      <c r="X54" s="21"/>
      <c r="Z54" s="21"/>
    </row>
    <row r="55" spans="2:26" ht="15.75">
      <c r="B55" s="109" t="s">
        <v>87</v>
      </c>
      <c r="C55" s="85">
        <v>520</v>
      </c>
      <c r="D55" s="97">
        <f>740576.6921+928222.3167</f>
        <v>1668799.0088</v>
      </c>
      <c r="E55" s="87">
        <f>D55/D43</f>
        <v>2.1018943565454258E-2</v>
      </c>
      <c r="F55" s="97">
        <f>712092.9732+892521.4583</f>
        <v>1604614.4314999999</v>
      </c>
      <c r="G55" s="87">
        <f>F55/F43</f>
        <v>2.1240579664603326E-2</v>
      </c>
      <c r="H55" s="97">
        <f>684704.7819+858193.7099</f>
        <v>1542898.4918</v>
      </c>
      <c r="I55" s="87">
        <f>H55/H43</f>
        <v>2.1721611690875126E-2</v>
      </c>
      <c r="J55" s="97">
        <f>658369.9826+825186.2596</f>
        <v>1483556.2422</v>
      </c>
      <c r="K55" s="105">
        <f>J55/J43</f>
        <v>2.2240036849874658E-2</v>
      </c>
      <c r="L55" s="97">
        <f>633048.0602+793448.3265</f>
        <v>1426496.3866999999</v>
      </c>
      <c r="M55" s="88">
        <f>L55/L43</f>
        <v>2.4365409149089044E-2</v>
      </c>
      <c r="O55" s="17"/>
      <c r="P55" s="317"/>
      <c r="Q55" s="318"/>
      <c r="R55" s="21"/>
      <c r="T55" s="21"/>
      <c r="V55" s="21"/>
      <c r="X55" s="21"/>
      <c r="Z55" s="21"/>
    </row>
    <row r="56" spans="2:26" ht="15.75">
      <c r="B56" s="104" t="s">
        <v>88</v>
      </c>
      <c r="C56" s="85">
        <v>40</v>
      </c>
      <c r="D56" s="95">
        <v>430000</v>
      </c>
      <c r="E56" s="87">
        <f>D56/D43</f>
        <v>5.4159582343259426E-3</v>
      </c>
      <c r="F56" s="95">
        <v>420000</v>
      </c>
      <c r="G56" s="87">
        <f>F56/F43</f>
        <v>5.5596181138630107E-3</v>
      </c>
      <c r="H56" s="95">
        <v>410000</v>
      </c>
      <c r="I56" s="87">
        <f>H56/H43</f>
        <v>5.7721624854716845E-3</v>
      </c>
      <c r="J56" s="95">
        <v>400000</v>
      </c>
      <c r="K56" s="105">
        <f>J56/J43</f>
        <v>5.9964121931486442E-3</v>
      </c>
      <c r="L56" s="138">
        <v>390000</v>
      </c>
      <c r="M56" s="88">
        <f>L56/L43</f>
        <v>6.6614326238340184E-3</v>
      </c>
      <c r="O56" s="17"/>
      <c r="R56" s="21"/>
      <c r="T56" s="21"/>
      <c r="V56" s="21"/>
      <c r="X56" s="21"/>
      <c r="Z56" s="21"/>
    </row>
    <row r="57" spans="2:26" ht="15.75">
      <c r="B57" s="109" t="s">
        <v>89</v>
      </c>
      <c r="C57" s="85">
        <v>41</v>
      </c>
      <c r="D57" s="97"/>
      <c r="E57" s="87">
        <f>D57/D43</f>
        <v>0</v>
      </c>
      <c r="F57" s="97">
        <v>0</v>
      </c>
      <c r="G57" s="87">
        <f>F57/F43</f>
        <v>0</v>
      </c>
      <c r="H57" s="97">
        <v>0</v>
      </c>
      <c r="I57" s="87">
        <f>H57/H43</f>
        <v>0</v>
      </c>
      <c r="J57" s="97">
        <v>0</v>
      </c>
      <c r="K57" s="87">
        <f>J57/J43</f>
        <v>0</v>
      </c>
      <c r="L57" s="97">
        <v>0</v>
      </c>
      <c r="M57" s="88">
        <f>L57/L43</f>
        <v>0</v>
      </c>
      <c r="O57" s="17"/>
      <c r="R57" s="21"/>
      <c r="T57" s="21"/>
      <c r="V57" s="21"/>
      <c r="X57" s="21"/>
      <c r="Z57" s="21"/>
    </row>
    <row r="58" spans="2:26" ht="15.75">
      <c r="B58" s="110" t="s">
        <v>90</v>
      </c>
      <c r="C58" s="90">
        <v>47</v>
      </c>
      <c r="D58" s="117">
        <v>440000</v>
      </c>
      <c r="E58" s="93">
        <f>D58/D43</f>
        <v>5.5419107514032909E-3</v>
      </c>
      <c r="F58" s="117">
        <v>420000</v>
      </c>
      <c r="G58" s="93">
        <f>F58/F43</f>
        <v>5.5596181138630107E-3</v>
      </c>
      <c r="H58" s="117">
        <v>420000</v>
      </c>
      <c r="I58" s="93">
        <f>H58/H43</f>
        <v>5.912946936336848E-3</v>
      </c>
      <c r="J58" s="117">
        <v>400000</v>
      </c>
      <c r="K58" s="93">
        <f>J58/J43</f>
        <v>5.9964121931486442E-3</v>
      </c>
      <c r="L58" s="117">
        <v>400000</v>
      </c>
      <c r="M58" s="93">
        <f>L58/L43</f>
        <v>6.8322385885477115E-3</v>
      </c>
      <c r="O58" s="17"/>
      <c r="R58" s="21"/>
      <c r="T58" s="21"/>
      <c r="V58" s="21"/>
      <c r="X58" s="21"/>
      <c r="Z58" s="21"/>
    </row>
    <row r="59" spans="2:26">
      <c r="O59" s="52"/>
      <c r="R59" s="64"/>
      <c r="T59" s="64"/>
      <c r="V59" s="64"/>
      <c r="X59" s="64"/>
      <c r="Z59" s="64"/>
    </row>
    <row r="60" spans="2:26">
      <c r="L60" s="145"/>
    </row>
    <row r="63" spans="2:26" ht="23.25">
      <c r="B63" s="118"/>
      <c r="D63" s="119">
        <f>D32-D53</f>
        <v>38269300.251199998</v>
      </c>
      <c r="F63" s="120">
        <f>F32-F53</f>
        <v>33025492.668500002</v>
      </c>
      <c r="H63" s="120">
        <f>H32-H53</f>
        <v>27095272.988200001</v>
      </c>
      <c r="J63" s="120">
        <f>J32-J53</f>
        <v>21372848.797799997</v>
      </c>
      <c r="L63" s="120">
        <f>L32-L53</f>
        <v>11791568.423299998</v>
      </c>
    </row>
    <row r="64" spans="2:26" ht="55.5">
      <c r="B64" s="134" t="s">
        <v>91</v>
      </c>
      <c r="D64" s="121">
        <f>D33+D35+D40-D56-D57-D58</f>
        <v>21130800</v>
      </c>
      <c r="F64" s="26">
        <f>F33+F35+F40-F56-F57-F58</f>
        <v>20160800</v>
      </c>
      <c r="H64" s="26">
        <f>H33+H35+H40-H56-H57-H58</f>
        <v>19170800</v>
      </c>
      <c r="J64" s="26">
        <f>J33+J35+J40-J56-J57-J58</f>
        <v>18200800</v>
      </c>
      <c r="L64" s="26">
        <f>L33+L35+L40-L56-L57-L58</f>
        <v>9922264.8099999987</v>
      </c>
    </row>
    <row r="65" spans="2:12" ht="18" customHeight="1">
      <c r="B65" s="122"/>
      <c r="D65" s="123">
        <f>D63-D64</f>
        <v>17138500.251199998</v>
      </c>
      <c r="E65" s="41"/>
      <c r="F65" s="124">
        <f>F63-F64</f>
        <v>12864692.668500002</v>
      </c>
      <c r="G65" s="41"/>
      <c r="H65" s="124">
        <f>H63-H64</f>
        <v>7924472.9882000014</v>
      </c>
      <c r="I65" s="41"/>
      <c r="J65" s="124">
        <f>J63-J64</f>
        <v>3172048.797799997</v>
      </c>
      <c r="K65" s="41"/>
      <c r="L65" s="124">
        <f>L63-L64</f>
        <v>1869303.6132999994</v>
      </c>
    </row>
    <row r="66" spans="2:12" ht="23.25">
      <c r="B66" s="125"/>
    </row>
    <row r="67" spans="2:12" ht="15.75">
      <c r="B67" s="133" t="s">
        <v>92</v>
      </c>
    </row>
    <row r="69" spans="2:12" ht="16.5">
      <c r="B69" s="292" t="s">
        <v>93</v>
      </c>
      <c r="C69" s="293"/>
      <c r="D69" s="293"/>
      <c r="E69" s="293"/>
      <c r="F69" s="293"/>
      <c r="G69" s="293"/>
      <c r="H69" s="293"/>
      <c r="I69" s="293"/>
      <c r="J69" s="293"/>
      <c r="K69" s="293"/>
      <c r="L69" s="294"/>
    </row>
    <row r="70" spans="2:12">
      <c r="B70" s="126"/>
    </row>
    <row r="71" spans="2:12" ht="15.75">
      <c r="B71" s="127" t="s">
        <v>94</v>
      </c>
      <c r="C71" s="128"/>
      <c r="D71" s="301">
        <f>D48/D27</f>
        <v>0.55921215268741098</v>
      </c>
      <c r="E71" s="128"/>
      <c r="F71" s="301">
        <f>F48/F27</f>
        <v>0.60893484405021681</v>
      </c>
      <c r="G71" s="128"/>
      <c r="H71" s="301">
        <f>H48/H27</f>
        <v>0.66961736863108789</v>
      </c>
      <c r="I71" s="128"/>
      <c r="J71" s="301">
        <f>J48/J27</f>
        <v>0.73524157528132483</v>
      </c>
      <c r="K71" s="128"/>
      <c r="L71" s="301">
        <f>L48/L27</f>
        <v>0.86240785612736059</v>
      </c>
    </row>
    <row r="72" spans="2:12">
      <c r="B72" s="286" t="s">
        <v>95</v>
      </c>
      <c r="C72" s="128"/>
      <c r="D72" s="302"/>
      <c r="E72" s="128"/>
      <c r="F72" s="302"/>
      <c r="G72" s="128"/>
      <c r="H72" s="302"/>
      <c r="I72" s="128"/>
      <c r="J72" s="302"/>
      <c r="K72" s="128"/>
      <c r="L72" s="302"/>
    </row>
    <row r="73" spans="2:12">
      <c r="B73" s="129"/>
      <c r="C73" s="128"/>
      <c r="D73" s="128"/>
      <c r="E73" s="128"/>
      <c r="F73" s="128"/>
      <c r="G73" s="128"/>
      <c r="H73" s="128"/>
      <c r="I73" s="128"/>
      <c r="J73" s="128"/>
      <c r="K73" s="128"/>
      <c r="L73" s="128"/>
    </row>
    <row r="74" spans="2:12">
      <c r="B74" s="129"/>
      <c r="C74" s="128"/>
      <c r="D74" s="128"/>
      <c r="E74" s="128"/>
      <c r="F74" s="128"/>
      <c r="G74" s="128"/>
      <c r="H74" s="128"/>
      <c r="I74" s="128"/>
      <c r="J74" s="128"/>
      <c r="K74" s="128"/>
      <c r="L74" s="128"/>
    </row>
    <row r="75" spans="2:12" ht="15.75">
      <c r="B75" s="127" t="s">
        <v>96</v>
      </c>
      <c r="C75" s="128"/>
      <c r="D75" s="301">
        <f>D53/D48</f>
        <v>5.7181898492421751E-2</v>
      </c>
      <c r="E75" s="128"/>
      <c r="F75" s="301">
        <f>F53/F48</f>
        <v>5.314167223309689E-2</v>
      </c>
      <c r="G75" s="128"/>
      <c r="H75" s="301">
        <f>H53/H48</f>
        <v>4.9889269120173316E-2</v>
      </c>
      <c r="I75" s="128"/>
      <c r="J75" s="301">
        <f>J53/J48</f>
        <v>4.656001834861271E-2</v>
      </c>
      <c r="K75" s="128"/>
      <c r="L75" s="301">
        <f>L53/L48</f>
        <v>4.3899275840898137E-2</v>
      </c>
    </row>
    <row r="76" spans="2:12">
      <c r="B76" s="286" t="s">
        <v>97</v>
      </c>
      <c r="C76" s="128"/>
      <c r="D76" s="302"/>
      <c r="E76" s="128"/>
      <c r="F76" s="302"/>
      <c r="G76" s="128"/>
      <c r="H76" s="302"/>
      <c r="I76" s="128"/>
      <c r="J76" s="302"/>
      <c r="K76" s="128"/>
      <c r="L76" s="302"/>
    </row>
    <row r="77" spans="2:12">
      <c r="B77" s="129"/>
      <c r="C77" s="128"/>
      <c r="D77" s="128"/>
      <c r="E77" s="128"/>
      <c r="F77" s="128"/>
      <c r="G77" s="128"/>
      <c r="H77" s="128"/>
      <c r="I77" s="128"/>
      <c r="J77" s="128"/>
      <c r="K77" s="128"/>
      <c r="L77" s="128"/>
    </row>
    <row r="78" spans="2:12">
      <c r="B78" s="129"/>
      <c r="C78" s="128"/>
      <c r="D78" s="128"/>
      <c r="E78" s="128"/>
      <c r="F78" s="128"/>
      <c r="G78" s="128"/>
      <c r="H78" s="128"/>
      <c r="I78" s="128"/>
      <c r="J78" s="128"/>
      <c r="K78" s="128"/>
      <c r="L78" s="128"/>
    </row>
    <row r="79" spans="2:12" ht="15.75">
      <c r="B79" s="127" t="s">
        <v>98</v>
      </c>
      <c r="C79" s="128"/>
      <c r="D79" s="301">
        <f>D47/(D52+D55)</f>
        <v>0.65667890053840539</v>
      </c>
      <c r="E79" s="128"/>
      <c r="F79" s="301">
        <f>F47/F52+F55</f>
        <v>1604614.971451543</v>
      </c>
      <c r="G79" s="128"/>
      <c r="H79" s="301">
        <f>H47/H52+H55</f>
        <v>1542898.8859019172</v>
      </c>
      <c r="I79" s="128"/>
      <c r="J79" s="301">
        <f>J47/J52+J55</f>
        <v>1483556.5045149848</v>
      </c>
      <c r="K79" s="128"/>
      <c r="L79" s="301">
        <f>L47/L52+L55</f>
        <v>1426496.5001805592</v>
      </c>
    </row>
    <row r="80" spans="2:12">
      <c r="B80" s="287" t="s">
        <v>99</v>
      </c>
      <c r="C80" s="128"/>
      <c r="D80" s="302"/>
      <c r="E80" s="128"/>
      <c r="F80" s="302"/>
      <c r="G80" s="128"/>
      <c r="H80" s="302"/>
      <c r="I80" s="128"/>
      <c r="J80" s="302"/>
      <c r="K80" s="128"/>
      <c r="L80" s="302"/>
    </row>
    <row r="81" spans="2:12">
      <c r="B81" s="129"/>
      <c r="C81" s="128"/>
      <c r="D81" s="128"/>
      <c r="E81" s="128"/>
      <c r="F81" s="128"/>
      <c r="G81" s="128"/>
      <c r="H81" s="128"/>
      <c r="I81" s="128"/>
      <c r="J81" s="128"/>
      <c r="K81" s="128"/>
      <c r="L81" s="128"/>
    </row>
    <row r="82" spans="2:12">
      <c r="B82" s="129"/>
      <c r="C82" s="128"/>
      <c r="D82" s="128"/>
      <c r="E82" s="128"/>
      <c r="F82" s="128"/>
      <c r="G82" s="128"/>
      <c r="H82" s="128"/>
      <c r="I82" s="128"/>
      <c r="J82" s="128"/>
      <c r="K82" s="128"/>
      <c r="L82" s="128"/>
    </row>
    <row r="83" spans="2:12" ht="15.75">
      <c r="B83" s="127" t="s">
        <v>100</v>
      </c>
      <c r="C83" s="128"/>
      <c r="D83" s="301">
        <f>D17/(D50+D52+D54)</f>
        <v>4.0057847145472204E-2</v>
      </c>
      <c r="E83" s="128"/>
      <c r="F83" s="306">
        <f>F17/F50+F52+F54</f>
        <v>43442949.685712166</v>
      </c>
      <c r="G83" s="128"/>
      <c r="H83" s="301">
        <f>H17/H50+H52+H54</f>
        <v>45047561.494024418</v>
      </c>
      <c r="I83" s="128"/>
      <c r="J83" s="301">
        <f>J17/J50+J52+J54</f>
        <v>46590458.228979126</v>
      </c>
      <c r="K83" s="128"/>
      <c r="L83" s="301">
        <f>L17/L50+L52+L54</f>
        <v>48074013.205590412</v>
      </c>
    </row>
    <row r="84" spans="2:12" ht="18" customHeight="1">
      <c r="B84" s="288" t="s">
        <v>101</v>
      </c>
      <c r="C84" s="128"/>
      <c r="D84" s="302"/>
      <c r="E84" s="128"/>
      <c r="F84" s="307"/>
      <c r="G84" s="128"/>
      <c r="H84" s="302"/>
      <c r="I84" s="128"/>
      <c r="J84" s="302"/>
      <c r="K84" s="128"/>
      <c r="L84" s="302"/>
    </row>
    <row r="85" spans="2:12">
      <c r="B85" s="129"/>
      <c r="C85" s="128"/>
      <c r="D85" s="128"/>
      <c r="E85" s="128"/>
      <c r="F85" s="128"/>
      <c r="G85" s="128"/>
      <c r="H85" s="128"/>
      <c r="I85" s="128"/>
      <c r="J85" s="128"/>
      <c r="K85" s="128"/>
      <c r="L85" s="128"/>
    </row>
    <row r="86" spans="2:12">
      <c r="B86" s="129"/>
      <c r="C86" s="128"/>
      <c r="D86" s="128"/>
      <c r="E86" s="128"/>
      <c r="F86" s="128"/>
      <c r="G86" s="128"/>
      <c r="H86" s="128"/>
      <c r="I86" s="128"/>
      <c r="J86" s="128"/>
      <c r="K86" s="128"/>
      <c r="L86" s="128"/>
    </row>
    <row r="87" spans="2:12" ht="18" customHeight="1">
      <c r="B87" s="127" t="s">
        <v>102</v>
      </c>
      <c r="C87" s="128"/>
      <c r="D87" s="301">
        <f>(D17/D5)*100</f>
        <v>0.85601024322450259</v>
      </c>
      <c r="E87" s="128"/>
      <c r="F87" s="301">
        <f>F17/F5*100</f>
        <v>0.95292057194738145</v>
      </c>
      <c r="G87" s="128"/>
      <c r="H87" s="301">
        <f>H17/H5*100</f>
        <v>1.1082885503314064</v>
      </c>
      <c r="I87" s="128"/>
      <c r="J87" s="301">
        <f>J17/J5*100</f>
        <v>1.3359360631295392</v>
      </c>
      <c r="K87" s="128"/>
      <c r="L87" s="301">
        <f>L17/L5*100</f>
        <v>1.9683262379487181</v>
      </c>
    </row>
    <row r="88" spans="2:12" ht="15.95" customHeight="1">
      <c r="B88" s="288" t="s">
        <v>103</v>
      </c>
      <c r="C88" s="128"/>
      <c r="D88" s="302"/>
      <c r="E88" s="128"/>
      <c r="F88" s="302"/>
      <c r="G88" s="128"/>
      <c r="H88" s="302"/>
      <c r="I88" s="128"/>
      <c r="J88" s="302"/>
      <c r="K88" s="128"/>
      <c r="L88" s="302"/>
    </row>
    <row r="89" spans="2:12">
      <c r="B89" s="129"/>
      <c r="C89" s="128"/>
      <c r="D89" s="128"/>
      <c r="E89" s="128"/>
      <c r="F89" s="128"/>
      <c r="G89" s="128"/>
      <c r="H89" s="128"/>
      <c r="I89" s="128"/>
      <c r="J89" s="128"/>
      <c r="K89" s="128"/>
      <c r="L89" s="128"/>
    </row>
    <row r="90" spans="2:12"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</row>
    <row r="91" spans="2:12" ht="16.5">
      <c r="B91" s="303" t="s">
        <v>104</v>
      </c>
      <c r="C91" s="304"/>
      <c r="D91" s="304"/>
      <c r="E91" s="304"/>
      <c r="F91" s="304"/>
      <c r="G91" s="304"/>
      <c r="H91" s="304"/>
      <c r="I91" s="304"/>
      <c r="J91" s="304"/>
      <c r="K91" s="304"/>
      <c r="L91" s="305"/>
    </row>
    <row r="92" spans="2:12">
      <c r="B92" s="129"/>
      <c r="C92" s="128"/>
      <c r="D92" s="128"/>
      <c r="E92" s="128"/>
      <c r="F92" s="128"/>
      <c r="G92" s="128"/>
      <c r="H92" s="128"/>
      <c r="I92" s="128"/>
      <c r="J92" s="128"/>
      <c r="K92" s="128"/>
      <c r="L92" s="128"/>
    </row>
    <row r="93" spans="2:12" ht="15.75">
      <c r="B93" s="127" t="s">
        <v>105</v>
      </c>
      <c r="C93" s="128"/>
      <c r="D93" s="301">
        <f>D32/D53</f>
        <v>16.073780995876682</v>
      </c>
      <c r="E93" s="128"/>
      <c r="F93" s="301">
        <f>F32/F53</f>
        <v>14.509489366892009</v>
      </c>
      <c r="G93" s="128"/>
      <c r="H93" s="301">
        <f>H32/H53</f>
        <v>12.41863972767181</v>
      </c>
      <c r="I93" s="128"/>
      <c r="J93" s="301">
        <f>J32/J53</f>
        <v>10.35945802552653</v>
      </c>
      <c r="K93" s="128"/>
      <c r="L93" s="301">
        <f>L32/L53</f>
        <v>6.319913217118172</v>
      </c>
    </row>
    <row r="94" spans="2:12">
      <c r="B94" s="286" t="s">
        <v>106</v>
      </c>
      <c r="C94" s="128"/>
      <c r="D94" s="302"/>
      <c r="E94" s="128"/>
      <c r="F94" s="302"/>
      <c r="G94" s="128"/>
      <c r="H94" s="302"/>
      <c r="I94" s="128"/>
      <c r="J94" s="302"/>
      <c r="K94" s="128"/>
      <c r="L94" s="302"/>
    </row>
    <row r="95" spans="2:12" ht="15.95" customHeight="1">
      <c r="B95" s="129"/>
      <c r="C95" s="128"/>
      <c r="D95" s="128"/>
      <c r="E95" s="128"/>
      <c r="F95" s="128"/>
      <c r="G95" s="128"/>
      <c r="H95" s="128"/>
      <c r="I95" s="128"/>
      <c r="J95" s="128"/>
      <c r="K95" s="128"/>
      <c r="L95" s="128"/>
    </row>
    <row r="96" spans="2:12" ht="18.95" customHeight="1">
      <c r="B96" s="129"/>
      <c r="C96" s="128"/>
      <c r="D96" s="128"/>
      <c r="E96" s="128"/>
      <c r="F96" s="128"/>
      <c r="G96" s="128"/>
      <c r="H96" s="128"/>
      <c r="I96" s="128"/>
      <c r="J96" s="128"/>
      <c r="K96" s="128"/>
      <c r="L96" s="128"/>
    </row>
    <row r="97" spans="2:12" ht="20.100000000000001" customHeight="1">
      <c r="B97" s="127" t="s">
        <v>107</v>
      </c>
      <c r="C97" s="128"/>
      <c r="D97" s="301">
        <f>(D34+D38)/D53</f>
        <v>13.710458819051039</v>
      </c>
      <c r="E97" s="128"/>
      <c r="F97" s="301">
        <f>F34+F38/F53</f>
        <v>16600005.264677707</v>
      </c>
      <c r="G97" s="128"/>
      <c r="H97" s="301">
        <f>H34+H38/H53</f>
        <v>15500003.357990874</v>
      </c>
      <c r="I97" s="128"/>
      <c r="J97" s="301">
        <f>J34+J38/J53</f>
        <v>14400001.426023576</v>
      </c>
      <c r="K97" s="128"/>
      <c r="L97" s="301">
        <f>L34+L38/L53</f>
        <v>6007565.7125505349</v>
      </c>
    </row>
    <row r="98" spans="2:12" ht="15.95" customHeight="1">
      <c r="B98" s="286" t="s">
        <v>108</v>
      </c>
      <c r="C98" s="128"/>
      <c r="D98" s="302"/>
      <c r="E98" s="128"/>
      <c r="F98" s="302"/>
      <c r="G98" s="128"/>
      <c r="H98" s="302"/>
      <c r="I98" s="128"/>
      <c r="J98" s="302"/>
      <c r="K98" s="128"/>
      <c r="L98" s="302"/>
    </row>
    <row r="99" spans="2:12" ht="17.100000000000001" customHeight="1">
      <c r="B99" s="129"/>
      <c r="C99" s="128"/>
      <c r="D99" s="128"/>
      <c r="E99" s="128"/>
      <c r="F99" s="128"/>
      <c r="G99" s="128"/>
      <c r="H99" s="128"/>
      <c r="I99" s="128"/>
      <c r="J99" s="128"/>
      <c r="K99" s="128"/>
      <c r="L99" s="128"/>
    </row>
    <row r="100" spans="2:12">
      <c r="B100" s="129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</row>
    <row r="101" spans="2:12" ht="15.75">
      <c r="B101" s="127" t="s">
        <v>109</v>
      </c>
      <c r="C101" s="128"/>
      <c r="D101" s="301">
        <f>D39/D53</f>
        <v>6.7383432877918183</v>
      </c>
      <c r="E101" s="128"/>
      <c r="F101" s="301">
        <f>F39/F53</f>
        <v>5.2643504571407913</v>
      </c>
      <c r="G101" s="128"/>
      <c r="H101" s="301">
        <f>H39/H53</f>
        <v>3.3576537334120111</v>
      </c>
      <c r="I101" s="128"/>
      <c r="J101" s="301">
        <f>J39/J53</f>
        <v>1.4256732458945345</v>
      </c>
      <c r="K101" s="128"/>
      <c r="L101" s="301">
        <f>L39/L53</f>
        <v>0.90255053516167338</v>
      </c>
    </row>
    <row r="102" spans="2:12">
      <c r="B102" s="286" t="s">
        <v>110</v>
      </c>
      <c r="C102" s="128"/>
      <c r="D102" s="302"/>
      <c r="E102" s="128"/>
      <c r="F102" s="302"/>
      <c r="G102" s="128"/>
      <c r="H102" s="302"/>
      <c r="I102" s="128"/>
      <c r="J102" s="302"/>
      <c r="K102" s="128"/>
      <c r="L102" s="302"/>
    </row>
    <row r="103" spans="2:12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</row>
    <row r="105" spans="2:12" ht="16.5">
      <c r="B105" s="292" t="s">
        <v>111</v>
      </c>
      <c r="C105" s="295"/>
      <c r="D105" s="295"/>
      <c r="E105" s="295"/>
      <c r="F105" s="295"/>
      <c r="G105" s="295"/>
      <c r="H105" s="295"/>
      <c r="I105" s="295"/>
      <c r="J105" s="295"/>
      <c r="K105" s="295"/>
      <c r="L105" s="296"/>
    </row>
    <row r="106" spans="2:12">
      <c r="B106" s="126"/>
    </row>
    <row r="107" spans="2:12" ht="15.75">
      <c r="B107" s="130" t="s">
        <v>112</v>
      </c>
      <c r="D107" s="290">
        <f>D35/(D5/365)</f>
        <v>29.813059148748735</v>
      </c>
      <c r="F107" s="290">
        <f>F35/(F5/365)</f>
        <v>29.966915821412162</v>
      </c>
      <c r="H107" s="290">
        <f>H35/(H5/365)</f>
        <v>31.415678250478468</v>
      </c>
      <c r="J107" s="290">
        <f>J35/(J5/365)</f>
        <v>34.043063484608254</v>
      </c>
      <c r="L107" s="290">
        <f>L35/(L5/365)</f>
        <v>17.638914416923075</v>
      </c>
    </row>
    <row r="108" spans="2:12">
      <c r="B108" s="289" t="s">
        <v>113</v>
      </c>
      <c r="D108" s="291"/>
      <c r="F108" s="291"/>
      <c r="H108" s="291"/>
      <c r="J108" s="291"/>
      <c r="L108" s="291"/>
    </row>
    <row r="109" spans="2:12">
      <c r="B109" s="126"/>
    </row>
    <row r="110" spans="2:12">
      <c r="B110" s="126"/>
    </row>
    <row r="111" spans="2:12" ht="15.75">
      <c r="B111" s="130" t="s">
        <v>114</v>
      </c>
      <c r="D111" s="290"/>
      <c r="F111" s="60"/>
      <c r="H111" s="60"/>
      <c r="J111" s="60"/>
      <c r="L111" s="60"/>
    </row>
    <row r="112" spans="2:12">
      <c r="B112" s="289" t="s">
        <v>115</v>
      </c>
      <c r="D112" s="291"/>
      <c r="F112" s="64"/>
      <c r="H112" s="64"/>
      <c r="J112" s="64"/>
      <c r="L112" s="64"/>
    </row>
    <row r="113" spans="2:12">
      <c r="B113" s="126"/>
    </row>
    <row r="114" spans="2:12">
      <c r="B114" s="126"/>
    </row>
    <row r="115" spans="2:12" ht="15.75">
      <c r="B115" s="130" t="s">
        <v>116</v>
      </c>
      <c r="D115" s="290">
        <f>D56/D35</f>
        <v>2.6875E-2</v>
      </c>
      <c r="F115" s="290">
        <f>F56/F35</f>
        <v>2.8000000000000001E-2</v>
      </c>
      <c r="H115" s="290">
        <f>H56/H35</f>
        <v>2.9285714285714286E-2</v>
      </c>
      <c r="J115" s="290">
        <f>J56/J35</f>
        <v>3.0769230769230771E-2</v>
      </c>
      <c r="L115" s="290">
        <f>L56/L35</f>
        <v>8.2771533751490461E-2</v>
      </c>
    </row>
    <row r="116" spans="2:12">
      <c r="B116" s="289" t="s">
        <v>117</v>
      </c>
      <c r="D116" s="291"/>
      <c r="F116" s="291"/>
      <c r="H116" s="291"/>
      <c r="J116" s="291"/>
      <c r="L116" s="291"/>
    </row>
    <row r="117" spans="2:12">
      <c r="B117" s="126"/>
    </row>
    <row r="118" spans="2:12">
      <c r="B118" s="126"/>
    </row>
    <row r="119" spans="2:12" ht="15.75">
      <c r="B119" s="130" t="s">
        <v>118</v>
      </c>
      <c r="D119" s="60"/>
      <c r="F119" s="60"/>
      <c r="H119" s="60"/>
      <c r="J119" s="60"/>
      <c r="L119" s="60"/>
    </row>
    <row r="120" spans="2:12">
      <c r="B120" s="289" t="s">
        <v>119</v>
      </c>
      <c r="D120" s="64"/>
      <c r="F120" s="64"/>
      <c r="H120" s="64"/>
      <c r="J120" s="64"/>
      <c r="L120" s="64"/>
    </row>
    <row r="123" spans="2:12" ht="16.5">
      <c r="B123" s="292" t="s">
        <v>120</v>
      </c>
      <c r="C123" s="295"/>
      <c r="D123" s="295"/>
      <c r="E123" s="295"/>
      <c r="F123" s="295"/>
      <c r="G123" s="295"/>
      <c r="H123" s="295"/>
      <c r="I123" s="295"/>
      <c r="J123" s="295"/>
      <c r="K123" s="295"/>
      <c r="L123" s="296"/>
    </row>
    <row r="124" spans="2:12">
      <c r="B124" s="126"/>
    </row>
    <row r="125" spans="2:12" ht="15.75">
      <c r="B125" s="130" t="s">
        <v>121</v>
      </c>
      <c r="D125" s="60"/>
      <c r="F125" s="60"/>
      <c r="H125" s="60"/>
      <c r="J125" s="60"/>
      <c r="L125" s="60"/>
    </row>
    <row r="126" spans="2:12">
      <c r="B126" s="289" t="s">
        <v>122</v>
      </c>
      <c r="D126" s="64">
        <f>D5/D28</f>
        <v>5.0765236740401125</v>
      </c>
      <c r="F126" s="64">
        <f>F5/F28</f>
        <v>4.5590288195774056</v>
      </c>
      <c r="H126" s="64">
        <f>H5/H28</f>
        <v>3.9135766305828237</v>
      </c>
      <c r="J126" s="64">
        <f>J5/J28</f>
        <v>3.2376724745209944</v>
      </c>
      <c r="L126" s="64">
        <f>L5/L28</f>
        <v>2.1891467716259636</v>
      </c>
    </row>
    <row r="127" spans="2:12">
      <c r="B127" s="126"/>
    </row>
    <row r="128" spans="2:12">
      <c r="B128" s="126"/>
    </row>
    <row r="129" spans="2:12" ht="15.75">
      <c r="B129" s="130" t="s">
        <v>123</v>
      </c>
      <c r="D129" s="60"/>
      <c r="F129" s="60"/>
      <c r="H129" s="60"/>
      <c r="J129" s="60"/>
      <c r="L129" s="60"/>
    </row>
    <row r="130" spans="2:12">
      <c r="B130" s="289" t="s">
        <v>124</v>
      </c>
      <c r="D130" s="64">
        <f>D5/D32</f>
        <v>4.8002066969540698</v>
      </c>
      <c r="F130" s="64">
        <f>F5/F32</f>
        <v>5.1508579821705043</v>
      </c>
      <c r="H130" s="64">
        <f>H5/H32</f>
        <v>5.5197736806076012</v>
      </c>
      <c r="J130" s="64">
        <f>J5/J32</f>
        <v>5.8919470411215107</v>
      </c>
      <c r="L130" s="64">
        <f>L5/L32</f>
        <v>6.960276192497143</v>
      </c>
    </row>
    <row r="131" spans="2:12">
      <c r="B131" s="126"/>
    </row>
    <row r="132" spans="2:12">
      <c r="B132" s="126"/>
    </row>
    <row r="133" spans="2:12" ht="15.75">
      <c r="B133" s="130" t="s">
        <v>125</v>
      </c>
      <c r="D133" s="60"/>
      <c r="F133" s="60"/>
      <c r="H133" s="60"/>
      <c r="J133" s="60"/>
      <c r="L133" s="60"/>
    </row>
    <row r="134" spans="2:12">
      <c r="B134" s="289" t="s">
        <v>126</v>
      </c>
      <c r="D134" s="64">
        <f>D5/D27</f>
        <v>2.4672499928658409</v>
      </c>
      <c r="F134" s="64">
        <f>F5/F27</f>
        <v>2.4184535273921437</v>
      </c>
      <c r="H134" s="64">
        <f>H5/H27</f>
        <v>2.2899666152444635</v>
      </c>
      <c r="J134" s="64">
        <f>J5/J27</f>
        <v>2.0894840933611492</v>
      </c>
      <c r="L134" s="64">
        <f>L5/L27</f>
        <v>1.6653581560474415</v>
      </c>
    </row>
    <row r="135" spans="2:12">
      <c r="B135" s="126"/>
    </row>
    <row r="136" spans="2:12">
      <c r="B136" s="126"/>
    </row>
    <row r="137" spans="2:12" ht="15.75">
      <c r="B137" s="130" t="s">
        <v>127</v>
      </c>
      <c r="D137" s="60"/>
      <c r="F137" s="60"/>
      <c r="H137" s="60"/>
      <c r="J137" s="60"/>
      <c r="L137" s="60"/>
    </row>
    <row r="138" spans="2:12">
      <c r="B138" s="289" t="s">
        <v>128</v>
      </c>
      <c r="D138" s="64">
        <f>D6/D33</f>
        <v>23.427904006543159</v>
      </c>
      <c r="F138" s="64">
        <f>F6/F33</f>
        <v>22.483229903833145</v>
      </c>
      <c r="H138" s="64">
        <f>H6/H33</f>
        <v>20.598106109320003</v>
      </c>
      <c r="J138" s="64">
        <f>J6/J33</f>
        <v>18.165283460727192</v>
      </c>
      <c r="L138" s="64">
        <f>L6/L33</f>
        <v>13.078725</v>
      </c>
    </row>
    <row r="139" spans="2:12">
      <c r="B139" s="126"/>
    </row>
    <row r="140" spans="2:12">
      <c r="B140" s="126"/>
    </row>
    <row r="141" spans="2:12" ht="15.75">
      <c r="B141" s="130" t="s">
        <v>129</v>
      </c>
      <c r="D141" s="60"/>
      <c r="F141" s="60"/>
      <c r="H141" s="60"/>
      <c r="J141" s="60"/>
      <c r="L141" s="60"/>
    </row>
    <row r="142" spans="2:12">
      <c r="B142" s="289" t="s">
        <v>130</v>
      </c>
      <c r="D142" s="55">
        <f>D33/(D6/365)</f>
        <v>15.57971212013074</v>
      </c>
      <c r="F142" s="55">
        <f>F33/(F6/365)</f>
        <v>16.234322273143302</v>
      </c>
      <c r="H142" s="55">
        <f>H33/(H6/365)</f>
        <v>17.720075722633975</v>
      </c>
      <c r="J142" s="55">
        <f>J33/(J6/365)</f>
        <v>20.093273016582387</v>
      </c>
      <c r="L142" s="55">
        <f>L33/(L6/365)</f>
        <v>27.907919158786505</v>
      </c>
    </row>
    <row r="143" spans="2:12">
      <c r="B143" s="126"/>
    </row>
    <row r="145" spans="2:12" ht="16.5">
      <c r="B145" s="292" t="s">
        <v>131</v>
      </c>
      <c r="C145" s="295"/>
      <c r="D145" s="295"/>
      <c r="E145" s="295"/>
      <c r="F145" s="295"/>
      <c r="G145" s="295"/>
      <c r="H145" s="295"/>
      <c r="I145" s="295"/>
      <c r="J145" s="295"/>
      <c r="K145" s="295"/>
      <c r="L145" s="296"/>
    </row>
    <row r="147" spans="2:12" ht="15.75">
      <c r="B147" s="130" t="s">
        <v>132</v>
      </c>
      <c r="D147" s="60"/>
      <c r="F147" s="60"/>
      <c r="H147" s="60"/>
      <c r="J147" s="60"/>
      <c r="L147" s="60"/>
    </row>
    <row r="148" spans="2:12">
      <c r="B148" s="289" t="s">
        <v>133</v>
      </c>
      <c r="D148" s="64">
        <f>D5/F5</f>
        <v>1.0721714282999999</v>
      </c>
      <c r="F148" s="64">
        <f>F5/H5</f>
        <v>1.1232272105999999</v>
      </c>
      <c r="H148" s="64">
        <f>H5/J5</f>
        <v>1.1669893097142856</v>
      </c>
      <c r="J148" s="64">
        <f>J5/L5</f>
        <v>1.4295619043999999</v>
      </c>
      <c r="L148" s="64" t="e">
        <f>L5/N5</f>
        <v>#DIV/0!</v>
      </c>
    </row>
    <row r="149" spans="2:12">
      <c r="B149" s="126"/>
    </row>
    <row r="150" spans="2:12">
      <c r="B150" s="126"/>
    </row>
    <row r="151" spans="2:12" ht="15.75">
      <c r="B151" s="130" t="s">
        <v>134</v>
      </c>
      <c r="D151" s="60"/>
      <c r="F151" s="60"/>
      <c r="H151" s="60"/>
      <c r="J151" s="60"/>
      <c r="L151" s="60"/>
    </row>
    <row r="152" spans="2:12">
      <c r="B152" s="289" t="s">
        <v>135</v>
      </c>
      <c r="D152" s="64"/>
      <c r="F152" s="64"/>
      <c r="H152" s="64"/>
      <c r="J152" s="64"/>
      <c r="L152" s="64"/>
    </row>
    <row r="153" spans="2:12">
      <c r="B153" s="126"/>
    </row>
    <row r="154" spans="2:12">
      <c r="B154" s="126"/>
    </row>
    <row r="155" spans="2:12" ht="15.75">
      <c r="B155" s="130" t="s">
        <v>136</v>
      </c>
      <c r="D155" s="60"/>
      <c r="F155" s="60"/>
      <c r="H155" s="60"/>
      <c r="J155" s="60"/>
      <c r="L155" s="60"/>
    </row>
    <row r="156" spans="2:12">
      <c r="B156" s="289" t="s">
        <v>137</v>
      </c>
      <c r="D156" s="64">
        <f>D8/(1-D6)</f>
        <v>-7.0680313113511334E-2</v>
      </c>
      <c r="F156" s="64">
        <f>F8/(1-F6)</f>
        <v>-7.1254026747548785E-2</v>
      </c>
      <c r="H156" s="64">
        <f>H8/(1-H6)</f>
        <v>-7.2637401214649205E-2</v>
      </c>
      <c r="J156" s="64">
        <f>J8/(1-J6)</f>
        <v>-7.4810910526060356E-2</v>
      </c>
      <c r="L156" s="64">
        <f>L8/(1-L6)</f>
        <v>-8.1634220227050927E-2</v>
      </c>
    </row>
    <row r="157" spans="2:12">
      <c r="B157" s="126"/>
    </row>
    <row r="158" spans="2:12">
      <c r="B158" s="126"/>
    </row>
    <row r="159" spans="2:12" ht="15.75">
      <c r="B159" s="130" t="s">
        <v>138</v>
      </c>
      <c r="D159" s="60"/>
      <c r="F159" s="60"/>
      <c r="H159" s="60"/>
      <c r="J159" s="60"/>
      <c r="L159" s="60"/>
    </row>
    <row r="160" spans="2:12">
      <c r="B160" s="289" t="s">
        <v>139</v>
      </c>
      <c r="D160" s="131">
        <f>D5/D156</f>
        <v>-2771455059.1085649</v>
      </c>
      <c r="F160" s="131">
        <f>F5/F156</f>
        <v>-2564086447.0970101</v>
      </c>
      <c r="H160" s="131">
        <f>H5/H156</f>
        <v>-2239309703.1413541</v>
      </c>
      <c r="J160" s="131">
        <f>J5/J156</f>
        <v>-1863127780.4117384</v>
      </c>
      <c r="L160" s="131">
        <f>L5/L156</f>
        <v>-1194352071.0900557</v>
      </c>
    </row>
    <row r="163" spans="2:12" ht="16.5">
      <c r="B163" s="292" t="s">
        <v>140</v>
      </c>
      <c r="C163" s="293"/>
      <c r="D163" s="293"/>
      <c r="E163" s="293"/>
      <c r="F163" s="293"/>
      <c r="G163" s="293"/>
      <c r="H163" s="293"/>
      <c r="I163" s="293"/>
      <c r="J163" s="293"/>
      <c r="K163" s="293"/>
      <c r="L163" s="294"/>
    </row>
    <row r="164" spans="2:12">
      <c r="B164" s="126"/>
    </row>
    <row r="165" spans="2:12" ht="15.75">
      <c r="B165" s="130" t="s">
        <v>141</v>
      </c>
      <c r="D165" s="297">
        <f>(D6+D8)/D5</f>
        <v>0.76831302890423891</v>
      </c>
      <c r="F165" s="297">
        <f>(F6+F8)/F5</f>
        <v>0.79097060380946571</v>
      </c>
      <c r="H165" s="299">
        <f>(H6+H8)/H5</f>
        <v>0.81499889048319396</v>
      </c>
      <c r="J165" s="297">
        <f>(J6+J8)/J5</f>
        <v>0.84046167339590316</v>
      </c>
      <c r="L165" s="297">
        <f>(L6+L8)/L5</f>
        <v>0.87054747712820513</v>
      </c>
    </row>
    <row r="166" spans="2:12">
      <c r="B166" s="289" t="s">
        <v>142</v>
      </c>
      <c r="D166" s="298"/>
      <c r="F166" s="298"/>
      <c r="H166" s="300"/>
      <c r="J166" s="298"/>
      <c r="L166" s="298"/>
    </row>
    <row r="167" spans="2:12">
      <c r="B167" s="126"/>
    </row>
    <row r="168" spans="2:12">
      <c r="B168" s="126"/>
    </row>
    <row r="169" spans="2:12" ht="15.75">
      <c r="B169" s="130" t="s">
        <v>143</v>
      </c>
      <c r="D169" s="290">
        <f>D6/D5</f>
        <v>0.71759330946398492</v>
      </c>
      <c r="F169" s="290">
        <f>F6/F5</f>
        <v>0.73835951553054746</v>
      </c>
      <c r="H169" s="290">
        <f>H6/H5</f>
        <v>0.7598083844613841</v>
      </c>
      <c r="J169" s="290">
        <f>J6/J5</f>
        <v>0.78196235793817503</v>
      </c>
      <c r="L169" s="290">
        <f>L6/L5</f>
        <v>0.80484461538461538</v>
      </c>
    </row>
    <row r="170" spans="2:12">
      <c r="B170" s="289" t="s">
        <v>144</v>
      </c>
      <c r="D170" s="291"/>
      <c r="F170" s="291"/>
      <c r="H170" s="291"/>
      <c r="J170" s="291"/>
      <c r="L170" s="291"/>
    </row>
    <row r="171" spans="2:12">
      <c r="B171" s="126"/>
    </row>
    <row r="172" spans="2:12">
      <c r="B172" s="126"/>
    </row>
    <row r="173" spans="2:12" ht="15.75">
      <c r="B173" s="130" t="s">
        <v>145</v>
      </c>
      <c r="D173" s="290">
        <f>D8/D5</f>
        <v>5.0719719440253989E-2</v>
      </c>
      <c r="F173" s="290">
        <f>F8/F5</f>
        <v>5.261108827891834E-2</v>
      </c>
      <c r="H173" s="290">
        <f>H8/H5</f>
        <v>5.5190506021809804E-2</v>
      </c>
      <c r="J173" s="290">
        <f>J8/J5</f>
        <v>5.8499315457728157E-2</v>
      </c>
      <c r="L173" s="290">
        <f>L8/L5</f>
        <v>6.5702861743589733E-2</v>
      </c>
    </row>
    <row r="174" spans="2:12">
      <c r="B174" s="289" t="s">
        <v>146</v>
      </c>
      <c r="D174" s="291"/>
      <c r="F174" s="291"/>
      <c r="H174" s="291"/>
      <c r="J174" s="291"/>
      <c r="L174" s="291"/>
    </row>
    <row r="175" spans="2:12">
      <c r="B175" s="126"/>
    </row>
    <row r="177" spans="2:12" ht="16.5">
      <c r="B177" s="292" t="s">
        <v>147</v>
      </c>
      <c r="C177" s="293"/>
      <c r="D177" s="293"/>
      <c r="E177" s="293"/>
      <c r="F177" s="293"/>
      <c r="G177" s="293"/>
      <c r="H177" s="293"/>
      <c r="I177" s="293"/>
      <c r="J177" s="293"/>
      <c r="K177" s="293"/>
      <c r="L177" s="294"/>
    </row>
    <row r="180" spans="2:12" ht="15.75">
      <c r="B180" s="132" t="s">
        <v>148</v>
      </c>
      <c r="D180" s="290">
        <f>D47/D44</f>
        <v>0.81517237568233181</v>
      </c>
      <c r="F180" s="290">
        <f>F47/F44</f>
        <v>0.79399997452249327</v>
      </c>
      <c r="H180" s="290">
        <f>H47/H44</f>
        <v>0.75651439499893258</v>
      </c>
      <c r="J180" s="290">
        <f>J47/J44</f>
        <v>0.69199296581740533</v>
      </c>
      <c r="L180" s="290">
        <f>L47/L44</f>
        <v>0.67723774366215173</v>
      </c>
    </row>
    <row r="181" spans="2:12">
      <c r="B181" s="289" t="s">
        <v>149</v>
      </c>
      <c r="D181" s="291"/>
      <c r="F181" s="291"/>
      <c r="H181" s="291"/>
      <c r="J181" s="291"/>
      <c r="L181" s="291"/>
    </row>
    <row r="184" spans="2:12" ht="15.75">
      <c r="B184" s="132" t="s">
        <v>150</v>
      </c>
      <c r="D184" s="290">
        <f>D47/D5</f>
        <v>0.14563505023502565</v>
      </c>
      <c r="F184" s="290">
        <f>F47/F5</f>
        <v>0.1283901966197267</v>
      </c>
      <c r="H184" s="290">
        <f>H47/H5</f>
        <v>0.10914535381881278</v>
      </c>
      <c r="J184" s="290">
        <f>J47/J5</f>
        <v>8.7682394003396169E-2</v>
      </c>
      <c r="L184" s="290">
        <f>L47/L5</f>
        <v>5.5953485296683071E-2</v>
      </c>
    </row>
    <row r="185" spans="2:12">
      <c r="B185" s="289" t="s">
        <v>151</v>
      </c>
      <c r="D185" s="291"/>
      <c r="F185" s="291"/>
      <c r="H185" s="291"/>
      <c r="J185" s="291"/>
      <c r="L185" s="291"/>
    </row>
    <row r="188" spans="2:12" ht="15.75">
      <c r="B188" s="132" t="s">
        <v>152</v>
      </c>
      <c r="D188" s="290">
        <f>D44/D27</f>
        <v>0.44078784729747483</v>
      </c>
      <c r="F188" s="290">
        <f>F44/F27</f>
        <v>0.39106515599611347</v>
      </c>
      <c r="H188" s="290">
        <f>H44/H27</f>
        <v>0.33038263132386103</v>
      </c>
      <c r="J188" s="290">
        <f>J44/J27</f>
        <v>0.26475842470668232</v>
      </c>
      <c r="L188" s="290">
        <f>L44/L27</f>
        <v>0.13759214392604352</v>
      </c>
    </row>
    <row r="189" spans="2:12">
      <c r="B189" s="289" t="s">
        <v>153</v>
      </c>
      <c r="D189" s="291"/>
      <c r="F189" s="291"/>
      <c r="H189" s="291"/>
      <c r="J189" s="291"/>
      <c r="L189" s="291"/>
    </row>
  </sheetData>
  <mergeCells count="107">
    <mergeCell ref="V3:X3"/>
    <mergeCell ref="B4:C4"/>
    <mergeCell ref="P4:Q4"/>
    <mergeCell ref="P6:Q6"/>
    <mergeCell ref="P8:Q8"/>
    <mergeCell ref="B25:M25"/>
    <mergeCell ref="B27:C27"/>
    <mergeCell ref="B28:C28"/>
    <mergeCell ref="B32:C32"/>
    <mergeCell ref="B2:M2"/>
    <mergeCell ref="B3:C3"/>
    <mergeCell ref="R3:T3"/>
    <mergeCell ref="P54:Q55"/>
    <mergeCell ref="B69:L69"/>
    <mergeCell ref="D71:D72"/>
    <mergeCell ref="F71:F72"/>
    <mergeCell ref="H71:H72"/>
    <mergeCell ref="J71:J72"/>
    <mergeCell ref="L71:L72"/>
    <mergeCell ref="B43:C43"/>
    <mergeCell ref="B44:C44"/>
    <mergeCell ref="P47:Q48"/>
    <mergeCell ref="B48:C48"/>
    <mergeCell ref="B49:C49"/>
    <mergeCell ref="B53:C53"/>
    <mergeCell ref="D75:D76"/>
    <mergeCell ref="F75:F76"/>
    <mergeCell ref="H75:H76"/>
    <mergeCell ref="J75:J76"/>
    <mergeCell ref="L75:L76"/>
    <mergeCell ref="D79:D80"/>
    <mergeCell ref="F79:F80"/>
    <mergeCell ref="H79:H80"/>
    <mergeCell ref="J79:J80"/>
    <mergeCell ref="L79:L80"/>
    <mergeCell ref="B91:L91"/>
    <mergeCell ref="D93:D94"/>
    <mergeCell ref="F93:F94"/>
    <mergeCell ref="H93:H94"/>
    <mergeCell ref="J93:J94"/>
    <mergeCell ref="L93:L94"/>
    <mergeCell ref="D83:D84"/>
    <mergeCell ref="F83:F84"/>
    <mergeCell ref="H83:H84"/>
    <mergeCell ref="J83:J84"/>
    <mergeCell ref="L83:L84"/>
    <mergeCell ref="D87:D88"/>
    <mergeCell ref="F87:F88"/>
    <mergeCell ref="H87:H88"/>
    <mergeCell ref="J87:J88"/>
    <mergeCell ref="L87:L88"/>
    <mergeCell ref="B105:L105"/>
    <mergeCell ref="D107:D108"/>
    <mergeCell ref="F107:F108"/>
    <mergeCell ref="H107:H108"/>
    <mergeCell ref="J107:J108"/>
    <mergeCell ref="L107:L108"/>
    <mergeCell ref="D97:D98"/>
    <mergeCell ref="F97:F98"/>
    <mergeCell ref="H97:H98"/>
    <mergeCell ref="J97:J98"/>
    <mergeCell ref="L97:L98"/>
    <mergeCell ref="D101:D102"/>
    <mergeCell ref="F101:F102"/>
    <mergeCell ref="H101:H102"/>
    <mergeCell ref="J101:J102"/>
    <mergeCell ref="L101:L102"/>
    <mergeCell ref="B123:L123"/>
    <mergeCell ref="B145:L145"/>
    <mergeCell ref="B163:L163"/>
    <mergeCell ref="D165:D166"/>
    <mergeCell ref="F165:F166"/>
    <mergeCell ref="H165:H166"/>
    <mergeCell ref="J165:J166"/>
    <mergeCell ref="L165:L166"/>
    <mergeCell ref="D111:D112"/>
    <mergeCell ref="D115:D116"/>
    <mergeCell ref="F115:F116"/>
    <mergeCell ref="H115:H116"/>
    <mergeCell ref="J115:J116"/>
    <mergeCell ref="L115:L116"/>
    <mergeCell ref="B177:L177"/>
    <mergeCell ref="D180:D181"/>
    <mergeCell ref="F180:F181"/>
    <mergeCell ref="H180:H181"/>
    <mergeCell ref="J180:J181"/>
    <mergeCell ref="L180:L181"/>
    <mergeCell ref="D169:D170"/>
    <mergeCell ref="F169:F170"/>
    <mergeCell ref="H169:H170"/>
    <mergeCell ref="J169:J170"/>
    <mergeCell ref="L169:L170"/>
    <mergeCell ref="D173:D174"/>
    <mergeCell ref="F173:F174"/>
    <mergeCell ref="H173:H174"/>
    <mergeCell ref="J173:J174"/>
    <mergeCell ref="L173:L174"/>
    <mergeCell ref="D184:D185"/>
    <mergeCell ref="F184:F185"/>
    <mergeCell ref="H184:H185"/>
    <mergeCell ref="J184:J185"/>
    <mergeCell ref="L184:L185"/>
    <mergeCell ref="D188:D189"/>
    <mergeCell ref="F188:F189"/>
    <mergeCell ref="H188:H189"/>
    <mergeCell ref="J188:J189"/>
    <mergeCell ref="L188:L18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1"/>
  <sheetViews>
    <sheetView zoomScale="110" zoomScaleNormal="110" workbookViewId="0">
      <pane xSplit="1" topLeftCell="B1" activePane="topRight" state="frozen"/>
      <selection pane="topRight" activeCell="A8" sqref="A8"/>
    </sheetView>
  </sheetViews>
  <sheetFormatPr baseColWidth="10" defaultColWidth="9" defaultRowHeight="14.25"/>
  <cols>
    <col min="1" max="1" width="44.109375" style="148" bestFit="1" customWidth="1"/>
    <col min="2" max="11" width="15.6640625" style="148" customWidth="1"/>
    <col min="12" max="16384" width="9" style="148"/>
  </cols>
  <sheetData>
    <row r="1" spans="1:11">
      <c r="B1" s="153" t="s">
        <v>154</v>
      </c>
      <c r="C1" s="154">
        <v>5000</v>
      </c>
      <c r="D1" s="153" t="s">
        <v>154</v>
      </c>
      <c r="E1" s="154">
        <v>7000</v>
      </c>
      <c r="F1" s="153" t="s">
        <v>154</v>
      </c>
      <c r="G1" s="154">
        <v>8000</v>
      </c>
      <c r="H1" s="153" t="s">
        <v>154</v>
      </c>
      <c r="I1" s="154">
        <v>8800</v>
      </c>
      <c r="J1" s="153" t="s">
        <v>154</v>
      </c>
      <c r="K1" s="154">
        <v>9240</v>
      </c>
    </row>
    <row r="2" spans="1:11">
      <c r="A2" s="149">
        <f>B9+B11+B12+B10+B14+B13</f>
        <v>1313</v>
      </c>
      <c r="B2" s="332">
        <v>2028</v>
      </c>
      <c r="C2" s="332"/>
      <c r="D2" s="332">
        <v>2029</v>
      </c>
      <c r="E2" s="332"/>
      <c r="F2" s="332">
        <v>2030</v>
      </c>
      <c r="G2" s="332"/>
      <c r="H2" s="332">
        <v>2031</v>
      </c>
      <c r="I2" s="332"/>
      <c r="J2" s="332">
        <v>2032</v>
      </c>
      <c r="K2" s="332"/>
    </row>
    <row r="3" spans="1:11">
      <c r="B3" s="152" t="s">
        <v>155</v>
      </c>
      <c r="C3" s="148" t="s">
        <v>156</v>
      </c>
      <c r="D3" s="152" t="s">
        <v>155</v>
      </c>
      <c r="E3" s="148" t="s">
        <v>156</v>
      </c>
      <c r="F3" s="152" t="s">
        <v>155</v>
      </c>
      <c r="G3" s="148" t="s">
        <v>156</v>
      </c>
      <c r="H3" s="152" t="s">
        <v>155</v>
      </c>
      <c r="I3" s="148" t="s">
        <v>156</v>
      </c>
      <c r="J3" s="152" t="s">
        <v>155</v>
      </c>
      <c r="K3" s="148" t="s">
        <v>156</v>
      </c>
    </row>
    <row r="4" spans="1:11" ht="15">
      <c r="A4" s="150" t="s">
        <v>11</v>
      </c>
      <c r="B4" s="151">
        <v>19500</v>
      </c>
      <c r="C4" s="151">
        <f>B4*$C$1</f>
        <v>97500000</v>
      </c>
      <c r="D4" s="151">
        <f>B4*$B$59</f>
        <v>19911.755096999997</v>
      </c>
      <c r="E4" s="151">
        <f>D4*$E$1</f>
        <v>139382285.67899999</v>
      </c>
      <c r="F4" s="151">
        <f>D4*$B$59</f>
        <v>20332.204668866943</v>
      </c>
      <c r="G4" s="151">
        <f>F4*$G$1</f>
        <v>162657637.35093555</v>
      </c>
      <c r="H4" s="151">
        <f>F4*$B$59</f>
        <v>20761.532305054283</v>
      </c>
      <c r="I4" s="151">
        <f>H4*$I$1</f>
        <v>182701484.28447768</v>
      </c>
      <c r="J4" s="151">
        <f>H4*$B$59</f>
        <v>21199.925471625371</v>
      </c>
      <c r="K4" s="151">
        <f>J4*$K$1</f>
        <v>195887311.35781842</v>
      </c>
    </row>
    <row r="5" spans="1:11" ht="15">
      <c r="A5" s="150" t="s">
        <v>157</v>
      </c>
      <c r="B5" s="151">
        <f>SUM(B6:B19)</f>
        <v>15694.47</v>
      </c>
      <c r="C5" s="151">
        <f>SUM(C6:C19)</f>
        <v>78472350</v>
      </c>
      <c r="D5" s="151">
        <f t="shared" ref="D5:E5" si="0">SUM(D6:D19)</f>
        <v>15570.242966337591</v>
      </c>
      <c r="E5" s="151">
        <f t="shared" si="0"/>
        <v>108991700.76436315</v>
      </c>
      <c r="F5" s="151">
        <f t="shared" ref="F5" si="1">SUM(F6:F19)</f>
        <v>15448.579581989998</v>
      </c>
      <c r="G5" s="151">
        <f t="shared" ref="G5" si="2">SUM(G6:G19)</f>
        <v>123588636.65592003</v>
      </c>
      <c r="H5" s="151">
        <f t="shared" ref="H5" si="3">SUM(H6:H19)</f>
        <v>15329.47493443169</v>
      </c>
      <c r="I5" s="151">
        <f t="shared" ref="I5:K5" si="4">SUM(I6:I19)</f>
        <v>134899379.42299888</v>
      </c>
      <c r="J5" s="151">
        <f t="shared" ref="J5" si="5">SUM(J6:J19)</f>
        <v>15212.924679573476</v>
      </c>
      <c r="K5" s="151">
        <f t="shared" si="4"/>
        <v>140567424.03925896</v>
      </c>
    </row>
    <row r="6" spans="1:11">
      <c r="A6" s="148" t="s">
        <v>158</v>
      </c>
      <c r="B6" s="149">
        <v>11215.06</v>
      </c>
      <c r="C6" s="149">
        <f>B6*$C$1</f>
        <v>56075300</v>
      </c>
      <c r="D6" s="149">
        <f>B6*$B$60*$B$61</f>
        <v>11087.389281503931</v>
      </c>
      <c r="E6" s="149">
        <f>D6*$E$1</f>
        <v>77611724.970527515</v>
      </c>
      <c r="F6" s="149">
        <f>D6*$B$60*$B$61</f>
        <v>10961.171949112018</v>
      </c>
      <c r="G6" s="149">
        <f>F6*$G$1</f>
        <v>87689375.592896149</v>
      </c>
      <c r="H6" s="149">
        <f>F6*$B$60*$B$61</f>
        <v>10836.391457674425</v>
      </c>
      <c r="I6" s="149">
        <f>H6*$I$1</f>
        <v>95360244.827534944</v>
      </c>
      <c r="J6" s="149">
        <f>H6*$B$60*$B$61</f>
        <v>10713.031450389046</v>
      </c>
      <c r="K6" s="149">
        <f>J6*$K$1</f>
        <v>98988410.601594791</v>
      </c>
    </row>
    <row r="7" spans="1:11">
      <c r="A7" s="148" t="s">
        <v>159</v>
      </c>
      <c r="B7" s="149">
        <v>1794.41</v>
      </c>
      <c r="C7" s="149">
        <f t="shared" ref="C7:C19" si="6">B7*$C$1</f>
        <v>8972050</v>
      </c>
      <c r="D7" s="149">
        <f t="shared" ref="D7:J10" si="7">B7*$B$60*$B$61</f>
        <v>1773.9826804870834</v>
      </c>
      <c r="E7" s="149">
        <f t="shared" ref="E7:E18" si="8">D7*$E$1</f>
        <v>12417878.763409583</v>
      </c>
      <c r="F7" s="149">
        <f t="shared" si="7"/>
        <v>1753.7879028026689</v>
      </c>
      <c r="G7" s="149">
        <f t="shared" ref="G7:G19" si="9">F7*$G$1</f>
        <v>14030303.222421352</v>
      </c>
      <c r="H7" s="149">
        <f t="shared" si="7"/>
        <v>1733.8230197221919</v>
      </c>
      <c r="I7" s="149">
        <f t="shared" ref="I7:I19" si="10">H7*$I$1</f>
        <v>15257642.573555289</v>
      </c>
      <c r="J7" s="149">
        <f t="shared" si="7"/>
        <v>1714.0854141567329</v>
      </c>
      <c r="K7" s="149">
        <f t="shared" ref="K7:K19" si="11">J7*$K$1</f>
        <v>15838149.226808213</v>
      </c>
    </row>
    <row r="8" spans="1:11">
      <c r="A8" s="148" t="s">
        <v>160</v>
      </c>
      <c r="B8" s="149">
        <v>890</v>
      </c>
      <c r="C8" s="149">
        <f t="shared" si="6"/>
        <v>4450000</v>
      </c>
      <c r="D8" s="149">
        <f t="shared" si="7"/>
        <v>879.86836098411391</v>
      </c>
      <c r="E8" s="149">
        <f t="shared" si="8"/>
        <v>6159078.5268887971</v>
      </c>
      <c r="F8" s="149">
        <f t="shared" si="7"/>
        <v>869.85205916951804</v>
      </c>
      <c r="G8" s="149">
        <f t="shared" si="9"/>
        <v>6958816.4733561445</v>
      </c>
      <c r="H8" s="149">
        <f t="shared" si="7"/>
        <v>859.94978157319144</v>
      </c>
      <c r="I8" s="149">
        <f t="shared" si="10"/>
        <v>7567558.0778440852</v>
      </c>
      <c r="J8" s="149">
        <f t="shared" si="7"/>
        <v>850.16023015893347</v>
      </c>
      <c r="K8" s="149">
        <f t="shared" si="11"/>
        <v>7855480.5266685449</v>
      </c>
    </row>
    <row r="9" spans="1:11">
      <c r="A9" s="148" t="s">
        <v>161</v>
      </c>
      <c r="B9" s="149">
        <v>90</v>
      </c>
      <c r="C9" s="149">
        <f t="shared" si="6"/>
        <v>450000</v>
      </c>
      <c r="D9" s="149">
        <f t="shared" si="7"/>
        <v>88.975452234348609</v>
      </c>
      <c r="E9" s="149">
        <f t="shared" si="8"/>
        <v>622828.1656404403</v>
      </c>
      <c r="F9" s="149">
        <f t="shared" si="7"/>
        <v>87.962567781187232</v>
      </c>
      <c r="G9" s="149">
        <f t="shared" si="9"/>
        <v>703700.54224949784</v>
      </c>
      <c r="H9" s="149">
        <f t="shared" si="7"/>
        <v>86.961213866951951</v>
      </c>
      <c r="I9" s="149">
        <f t="shared" si="10"/>
        <v>765258.6820291772</v>
      </c>
      <c r="J9" s="149">
        <f t="shared" si="7"/>
        <v>85.971259229555088</v>
      </c>
      <c r="K9" s="149">
        <f t="shared" si="11"/>
        <v>794374.43528108904</v>
      </c>
    </row>
    <row r="10" spans="1:11">
      <c r="A10" s="148" t="s">
        <v>162</v>
      </c>
      <c r="B10" s="149">
        <v>30</v>
      </c>
      <c r="C10" s="149">
        <f t="shared" si="6"/>
        <v>150000</v>
      </c>
      <c r="D10" s="149">
        <f t="shared" si="7"/>
        <v>29.658484078116203</v>
      </c>
      <c r="E10" s="149">
        <f t="shared" si="8"/>
        <v>207609.38854681342</v>
      </c>
      <c r="F10" s="149">
        <f t="shared" si="7"/>
        <v>29.320855927062407</v>
      </c>
      <c r="G10" s="149">
        <f t="shared" si="9"/>
        <v>234566.84741649925</v>
      </c>
      <c r="H10" s="149">
        <f t="shared" si="7"/>
        <v>28.987071288983984</v>
      </c>
      <c r="I10" s="149">
        <f t="shared" si="10"/>
        <v>255086.22734305906</v>
      </c>
      <c r="J10" s="149">
        <f t="shared" si="7"/>
        <v>28.65708640985169</v>
      </c>
      <c r="K10" s="149">
        <f t="shared" si="11"/>
        <v>264791.47842702962</v>
      </c>
    </row>
    <row r="11" spans="1:11">
      <c r="A11" s="148" t="s">
        <v>163</v>
      </c>
      <c r="B11" s="149">
        <v>480</v>
      </c>
      <c r="C11" s="149">
        <f t="shared" si="6"/>
        <v>2400000</v>
      </c>
      <c r="D11" s="149">
        <f>B11*$B$59</f>
        <v>490.13551007999996</v>
      </c>
      <c r="E11" s="149">
        <f t="shared" si="8"/>
        <v>3430948.5705599999</v>
      </c>
      <c r="F11" s="149">
        <f>D11*$B$59</f>
        <v>500.48503800287864</v>
      </c>
      <c r="G11" s="149">
        <f t="shared" si="9"/>
        <v>4003880.3040230293</v>
      </c>
      <c r="H11" s="149">
        <f>F11*$B$59</f>
        <v>511.05310289364394</v>
      </c>
      <c r="I11" s="149">
        <f t="shared" si="10"/>
        <v>4497267.3054640666</v>
      </c>
      <c r="J11" s="149">
        <f>H11*$B$59</f>
        <v>521.84431930154767</v>
      </c>
      <c r="K11" s="149">
        <f t="shared" si="11"/>
        <v>4821841.5103463009</v>
      </c>
    </row>
    <row r="12" spans="1:11">
      <c r="A12" s="148" t="s">
        <v>164</v>
      </c>
      <c r="B12" s="149">
        <v>203</v>
      </c>
      <c r="C12" s="149">
        <f t="shared" si="6"/>
        <v>1015000</v>
      </c>
      <c r="D12" s="149">
        <f t="shared" ref="D12:J19" si="12">B12*$B$59</f>
        <v>207.28647613799998</v>
      </c>
      <c r="E12" s="149">
        <f t="shared" si="8"/>
        <v>1451005.3329659998</v>
      </c>
      <c r="F12" s="149">
        <f t="shared" si="12"/>
        <v>211.66346398871741</v>
      </c>
      <c r="G12" s="149">
        <f t="shared" si="9"/>
        <v>1693307.7119097393</v>
      </c>
      <c r="H12" s="149">
        <f t="shared" si="12"/>
        <v>216.1328747654369</v>
      </c>
      <c r="I12" s="149">
        <f t="shared" si="10"/>
        <v>1901969.2979358446</v>
      </c>
      <c r="J12" s="149">
        <f t="shared" si="12"/>
        <v>220.69666003794617</v>
      </c>
      <c r="K12" s="149">
        <f t="shared" si="11"/>
        <v>2039237.1387506227</v>
      </c>
    </row>
    <row r="13" spans="1:11">
      <c r="A13" s="148" t="s">
        <v>165</v>
      </c>
      <c r="B13" s="149">
        <v>10</v>
      </c>
      <c r="C13" s="149">
        <f t="shared" si="6"/>
        <v>50000</v>
      </c>
      <c r="D13" s="149">
        <f t="shared" si="12"/>
        <v>10.21115646</v>
      </c>
      <c r="E13" s="149">
        <f t="shared" si="8"/>
        <v>71478.095220000003</v>
      </c>
      <c r="F13" s="149">
        <f t="shared" si="12"/>
        <v>10.426771625059972</v>
      </c>
      <c r="G13" s="149">
        <f t="shared" si="9"/>
        <v>83414.173000479772</v>
      </c>
      <c r="H13" s="149">
        <f t="shared" si="12"/>
        <v>10.646939643617582</v>
      </c>
      <c r="I13" s="149">
        <f t="shared" si="10"/>
        <v>93693.06886383472</v>
      </c>
      <c r="J13" s="149">
        <f t="shared" si="12"/>
        <v>10.871756652115577</v>
      </c>
      <c r="K13" s="149">
        <f t="shared" si="11"/>
        <v>100455.03146554793</v>
      </c>
    </row>
    <row r="14" spans="1:11">
      <c r="A14" s="148" t="s">
        <v>166</v>
      </c>
      <c r="B14" s="149">
        <v>500</v>
      </c>
      <c r="C14" s="149">
        <f t="shared" si="6"/>
        <v>2500000</v>
      </c>
      <c r="D14" s="149">
        <f t="shared" si="12"/>
        <v>510.55782299999998</v>
      </c>
      <c r="E14" s="149">
        <f t="shared" si="8"/>
        <v>3573904.7609999999</v>
      </c>
      <c r="F14" s="149">
        <f t="shared" si="12"/>
        <v>521.33858125299855</v>
      </c>
      <c r="G14" s="149">
        <f t="shared" si="9"/>
        <v>4170708.6500239884</v>
      </c>
      <c r="H14" s="149">
        <f t="shared" si="12"/>
        <v>532.34698218087908</v>
      </c>
      <c r="I14" s="149">
        <f t="shared" si="10"/>
        <v>4684653.443191736</v>
      </c>
      <c r="J14" s="149">
        <f t="shared" si="12"/>
        <v>543.58783260577877</v>
      </c>
      <c r="K14" s="149">
        <f t="shared" si="11"/>
        <v>5022751.5732773961</v>
      </c>
    </row>
    <row r="15" spans="1:11">
      <c r="A15" s="148" t="s">
        <v>167</v>
      </c>
      <c r="B15" s="149">
        <v>45</v>
      </c>
      <c r="C15" s="149">
        <f t="shared" si="6"/>
        <v>225000</v>
      </c>
      <c r="D15" s="149">
        <f t="shared" si="12"/>
        <v>45.950204069999998</v>
      </c>
      <c r="E15" s="149">
        <f t="shared" si="8"/>
        <v>321651.42848999996</v>
      </c>
      <c r="F15" s="149">
        <f t="shared" si="12"/>
        <v>46.920472312769874</v>
      </c>
      <c r="G15" s="149">
        <f t="shared" si="9"/>
        <v>375363.778502159</v>
      </c>
      <c r="H15" s="149">
        <f t="shared" si="12"/>
        <v>47.911228396279121</v>
      </c>
      <c r="I15" s="149">
        <f t="shared" si="10"/>
        <v>421618.80988725624</v>
      </c>
      <c r="J15" s="149">
        <f t="shared" si="12"/>
        <v>48.922904934520098</v>
      </c>
      <c r="K15" s="149">
        <f t="shared" si="11"/>
        <v>452047.64159496571</v>
      </c>
    </row>
    <row r="16" spans="1:11">
      <c r="A16" s="148" t="s">
        <v>168</v>
      </c>
      <c r="B16" s="149">
        <v>27</v>
      </c>
      <c r="C16" s="149">
        <f t="shared" si="6"/>
        <v>135000</v>
      </c>
      <c r="D16" s="149">
        <f t="shared" si="12"/>
        <v>27.570122441999999</v>
      </c>
      <c r="E16" s="149">
        <f t="shared" si="8"/>
        <v>192990.85709400001</v>
      </c>
      <c r="F16" s="149">
        <f t="shared" si="12"/>
        <v>28.152283387661925</v>
      </c>
      <c r="G16" s="149">
        <f t="shared" si="9"/>
        <v>225218.26710129541</v>
      </c>
      <c r="H16" s="149">
        <f t="shared" si="12"/>
        <v>28.746737037767474</v>
      </c>
      <c r="I16" s="149">
        <f t="shared" si="10"/>
        <v>252971.28593235379</v>
      </c>
      <c r="J16" s="149">
        <f t="shared" si="12"/>
        <v>29.353742960712058</v>
      </c>
      <c r="K16" s="149">
        <f t="shared" si="11"/>
        <v>271228.58495697944</v>
      </c>
    </row>
    <row r="17" spans="1:11">
      <c r="A17" s="148" t="s">
        <v>169</v>
      </c>
      <c r="B17" s="149">
        <v>10</v>
      </c>
      <c r="C17" s="149">
        <f t="shared" si="6"/>
        <v>50000</v>
      </c>
      <c r="D17" s="149">
        <f t="shared" si="12"/>
        <v>10.21115646</v>
      </c>
      <c r="E17" s="149">
        <f t="shared" si="8"/>
        <v>71478.095220000003</v>
      </c>
      <c r="F17" s="149">
        <f t="shared" si="12"/>
        <v>10.426771625059972</v>
      </c>
      <c r="G17" s="149">
        <f t="shared" si="9"/>
        <v>83414.173000479772</v>
      </c>
      <c r="H17" s="149">
        <f t="shared" si="12"/>
        <v>10.646939643617582</v>
      </c>
      <c r="I17" s="149">
        <f t="shared" si="10"/>
        <v>93693.06886383472</v>
      </c>
      <c r="J17" s="149">
        <f t="shared" si="12"/>
        <v>10.871756652115577</v>
      </c>
      <c r="K17" s="149">
        <f t="shared" si="11"/>
        <v>100455.03146554793</v>
      </c>
    </row>
    <row r="18" spans="1:11">
      <c r="A18" s="148" t="s">
        <v>170</v>
      </c>
      <c r="B18" s="149">
        <v>100</v>
      </c>
      <c r="C18" s="149">
        <f t="shared" si="6"/>
        <v>500000</v>
      </c>
      <c r="D18" s="149">
        <f t="shared" si="12"/>
        <v>102.11156459999999</v>
      </c>
      <c r="E18" s="149">
        <f t="shared" si="8"/>
        <v>714780.95219999994</v>
      </c>
      <c r="F18" s="149">
        <f t="shared" si="12"/>
        <v>104.26771625059972</v>
      </c>
      <c r="G18" s="149">
        <f t="shared" si="9"/>
        <v>834141.73000479781</v>
      </c>
      <c r="H18" s="149">
        <f t="shared" si="12"/>
        <v>106.46939643617583</v>
      </c>
      <c r="I18" s="149">
        <f t="shared" si="10"/>
        <v>936930.68863834732</v>
      </c>
      <c r="J18" s="149">
        <f t="shared" si="12"/>
        <v>108.71756652115577</v>
      </c>
      <c r="K18" s="149">
        <f t="shared" si="11"/>
        <v>1004550.3146554794</v>
      </c>
    </row>
    <row r="19" spans="1:11">
      <c r="A19" s="148" t="s">
        <v>171</v>
      </c>
      <c r="B19" s="149">
        <v>300</v>
      </c>
      <c r="C19" s="149">
        <f t="shared" si="6"/>
        <v>1500000</v>
      </c>
      <c r="D19" s="149">
        <f t="shared" si="12"/>
        <v>306.33469379999997</v>
      </c>
      <c r="E19" s="149">
        <f>D19*$E$1</f>
        <v>2144342.8565999996</v>
      </c>
      <c r="F19" s="149">
        <f t="shared" si="12"/>
        <v>312.80314875179914</v>
      </c>
      <c r="G19" s="149">
        <f t="shared" si="9"/>
        <v>2502425.1900143931</v>
      </c>
      <c r="H19" s="149">
        <f t="shared" si="12"/>
        <v>319.40818930852743</v>
      </c>
      <c r="I19" s="149">
        <f t="shared" si="10"/>
        <v>2810792.0659150411</v>
      </c>
      <c r="J19" s="149">
        <f t="shared" si="12"/>
        <v>326.15269956346725</v>
      </c>
      <c r="K19" s="149">
        <f t="shared" si="11"/>
        <v>3013650.9439664376</v>
      </c>
    </row>
    <row r="20" spans="1:11" ht="15">
      <c r="A20" s="156" t="s">
        <v>172</v>
      </c>
      <c r="B20" s="157">
        <f>B4-B5</f>
        <v>3805.5300000000007</v>
      </c>
      <c r="C20" s="157">
        <f t="shared" ref="C20:K20" si="13">C4-C5</f>
        <v>19027650</v>
      </c>
      <c r="D20" s="157">
        <f t="shared" si="13"/>
        <v>4341.512130662406</v>
      </c>
      <c r="E20" s="157">
        <f t="shared" si="13"/>
        <v>30390584.914636835</v>
      </c>
      <c r="F20" s="157">
        <f t="shared" si="13"/>
        <v>4883.6250868769457</v>
      </c>
      <c r="G20" s="157">
        <f t="shared" si="13"/>
        <v>39069000.69501552</v>
      </c>
      <c r="H20" s="157">
        <f t="shared" si="13"/>
        <v>5432.0573706225932</v>
      </c>
      <c r="I20" s="157">
        <f t="shared" si="13"/>
        <v>47802104.861478806</v>
      </c>
      <c r="J20" s="157">
        <f t="shared" si="13"/>
        <v>5987.0007920518947</v>
      </c>
      <c r="K20" s="157">
        <f t="shared" si="13"/>
        <v>55319887.318559468</v>
      </c>
    </row>
    <row r="21" spans="1:11" ht="15">
      <c r="A21" s="156" t="s">
        <v>173</v>
      </c>
      <c r="B21" s="158">
        <f>B20/B4</f>
        <v>0.19515538461538465</v>
      </c>
      <c r="C21" s="158">
        <f t="shared" ref="C21:K21" si="14">C20/C4</f>
        <v>0.19515538461538462</v>
      </c>
      <c r="D21" s="158">
        <f t="shared" si="14"/>
        <v>0.21803764206182505</v>
      </c>
      <c r="E21" s="158">
        <f t="shared" si="14"/>
        <v>0.21803764206182499</v>
      </c>
      <c r="F21" s="158">
        <f t="shared" si="14"/>
        <v>0.24019161553861618</v>
      </c>
      <c r="G21" s="158">
        <f t="shared" si="14"/>
        <v>0.2401916155386159</v>
      </c>
      <c r="H21" s="158">
        <f t="shared" si="14"/>
        <v>0.26164048446945259</v>
      </c>
      <c r="I21" s="158">
        <f t="shared" si="14"/>
        <v>0.26164048446945254</v>
      </c>
      <c r="J21" s="158">
        <f t="shared" si="14"/>
        <v>0.2824066905360153</v>
      </c>
      <c r="K21" s="158">
        <f t="shared" si="14"/>
        <v>0.28240669053601514</v>
      </c>
    </row>
    <row r="22" spans="1:11" ht="15">
      <c r="A22" s="150" t="s">
        <v>174</v>
      </c>
      <c r="B22" s="151">
        <f>SUM(B23:B31)</f>
        <v>1281.2058039999999</v>
      </c>
      <c r="C22" s="151">
        <f>SUM(C23:C31)</f>
        <v>6406029.0199999996</v>
      </c>
      <c r="D22" s="151">
        <f>SUM(D23:D31)</f>
        <v>1164.8240427364292</v>
      </c>
      <c r="E22" s="151">
        <f t="shared" ref="E22" si="15">SUM(E23:E31)</f>
        <v>8153768.2991550062</v>
      </c>
      <c r="F22" s="151">
        <f t="shared" ref="F22" si="16">SUM(F23:F31)</f>
        <v>1122.1446642137707</v>
      </c>
      <c r="G22" s="151">
        <f t="shared" ref="G22" si="17">SUM(G23:G31)</f>
        <v>8977157.3137101643</v>
      </c>
      <c r="H22" s="151">
        <f t="shared" ref="H22" si="18">SUM(H23:H31)</f>
        <v>1092.2868089068259</v>
      </c>
      <c r="I22" s="151">
        <f t="shared" ref="I22" si="19">SUM(I23:I31)</f>
        <v>9612123.9183800668</v>
      </c>
      <c r="J22" s="151">
        <f t="shared" ref="J22" si="20">SUM(J23:J31)</f>
        <v>1075.254272075133</v>
      </c>
      <c r="K22" s="151">
        <f t="shared" ref="K22" si="21">SUM(K23:K31)</f>
        <v>9935349.4739742298</v>
      </c>
    </row>
    <row r="23" spans="1:11">
      <c r="A23" s="148" t="s">
        <v>175</v>
      </c>
      <c r="B23" s="149">
        <f>C23/$C$1</f>
        <v>364</v>
      </c>
      <c r="C23" s="149">
        <v>1820000</v>
      </c>
      <c r="D23" s="149">
        <f>E23/$E$1</f>
        <v>359.85627348114332</v>
      </c>
      <c r="E23" s="149">
        <f>C23/C1*E1*$B$60*$B$61</f>
        <v>2518993.9143680031</v>
      </c>
      <c r="F23" s="149">
        <f>G23/$G$1</f>
        <v>355.75971858169061</v>
      </c>
      <c r="G23" s="149">
        <f>E23/E1*G1*$B$60*$B$61</f>
        <v>2846077.748653525</v>
      </c>
      <c r="H23" s="149">
        <f>I23/$I$1</f>
        <v>351.709798306339</v>
      </c>
      <c r="I23" s="149">
        <f>G23/G1*I1*$B$60*$B$61</f>
        <v>3095046.2250957834</v>
      </c>
      <c r="J23" s="149">
        <f>K23/$K$1</f>
        <v>347.70598177286723</v>
      </c>
      <c r="K23" s="149">
        <f>I23/I1*K1*$B$60*$B$61</f>
        <v>3212803.2715812931</v>
      </c>
    </row>
    <row r="24" spans="1:11">
      <c r="A24" s="148" t="s">
        <v>176</v>
      </c>
      <c r="B24" s="149">
        <f t="shared" ref="B24:B38" si="22">C24/$C$1</f>
        <v>574.73278800000003</v>
      </c>
      <c r="C24" s="149">
        <v>2873663.94</v>
      </c>
      <c r="D24" s="149">
        <f t="shared" ref="D24:D38" si="23">E24/$E$1</f>
        <v>555.34129857142852</v>
      </c>
      <c r="E24" s="149">
        <v>3887389.09</v>
      </c>
      <c r="F24" s="149">
        <f t="shared" ref="F24:F31" si="24">G24/$G$1</f>
        <v>543.49020499999995</v>
      </c>
      <c r="G24" s="149">
        <v>4347921.6399999997</v>
      </c>
      <c r="H24" s="149">
        <f t="shared" ref="H24:H31" si="25">I24/$I$1</f>
        <v>533.79306477272723</v>
      </c>
      <c r="I24" s="149">
        <v>4697378.97</v>
      </c>
      <c r="J24" s="149">
        <f>K24/$K$1</f>
        <v>526.57169264069273</v>
      </c>
      <c r="K24" s="149">
        <v>4865522.4400000004</v>
      </c>
    </row>
    <row r="25" spans="1:11">
      <c r="A25" s="148" t="s">
        <v>177</v>
      </c>
      <c r="B25" s="149">
        <f t="shared" si="22"/>
        <v>4</v>
      </c>
      <c r="C25" s="149">
        <v>20000</v>
      </c>
      <c r="D25" s="149">
        <f t="shared" si="23"/>
        <v>2.8246175312491619</v>
      </c>
      <c r="E25" s="149">
        <f>C25*$B$60*$B$61</f>
        <v>19772.322718744133</v>
      </c>
      <c r="F25" s="149">
        <f t="shared" si="24"/>
        <v>2.4434046605885338</v>
      </c>
      <c r="G25" s="149">
        <f>E25*$B$60*$B$61</f>
        <v>19547.23728470827</v>
      </c>
      <c r="H25" s="149">
        <f t="shared" si="25"/>
        <v>2.1959902491654528</v>
      </c>
      <c r="I25" s="149">
        <f>G25*$B$60*$B$61</f>
        <v>19324.714192655985</v>
      </c>
      <c r="J25" s="149">
        <f t="shared" ref="J25:J38" si="26">K25/$K$1</f>
        <v>2.0676108520816516</v>
      </c>
      <c r="K25" s="149">
        <f>I25*$B$60*$B$61</f>
        <v>19104.72427323446</v>
      </c>
    </row>
    <row r="26" spans="1:11">
      <c r="A26" s="148" t="s">
        <v>178</v>
      </c>
      <c r="B26" s="149">
        <f t="shared" si="22"/>
        <v>3</v>
      </c>
      <c r="C26" s="149">
        <v>15000</v>
      </c>
      <c r="D26" s="149">
        <f t="shared" si="23"/>
        <v>2.1184631484368719</v>
      </c>
      <c r="E26" s="149">
        <f>C26*$B$60*$B$61</f>
        <v>14829.242039058103</v>
      </c>
      <c r="F26" s="149">
        <f t="shared" si="24"/>
        <v>1.8325534954414007</v>
      </c>
      <c r="G26" s="149">
        <f>E26*$B$60*$B$61</f>
        <v>14660.427963531205</v>
      </c>
      <c r="H26" s="149">
        <f t="shared" si="25"/>
        <v>1.6469926868740903</v>
      </c>
      <c r="I26" s="149">
        <f>G26*$B$60*$B$61</f>
        <v>14493.535644491994</v>
      </c>
      <c r="J26" s="149">
        <f t="shared" si="26"/>
        <v>1.5507081390612389</v>
      </c>
      <c r="K26" s="149">
        <f>I26*$B$60*$B$61</f>
        <v>14328.543204925849</v>
      </c>
    </row>
    <row r="27" spans="1:11">
      <c r="A27" s="148" t="s">
        <v>179</v>
      </c>
      <c r="B27" s="149">
        <f t="shared" si="22"/>
        <v>21.96</v>
      </c>
      <c r="C27" s="149">
        <v>109800</v>
      </c>
      <c r="D27" s="149">
        <f t="shared" si="23"/>
        <v>16.016928275828569</v>
      </c>
      <c r="E27" s="149">
        <f>C27*$B$59</f>
        <v>112118.49793079999</v>
      </c>
      <c r="F27" s="149">
        <f t="shared" si="24"/>
        <v>14.31074405539481</v>
      </c>
      <c r="G27" s="149">
        <f>E27*$B$59</f>
        <v>114485.95244315849</v>
      </c>
      <c r="H27" s="149">
        <f t="shared" si="25"/>
        <v>13.284476964422847</v>
      </c>
      <c r="I27" s="149">
        <f>G27*$B$59</f>
        <v>116903.39728692106</v>
      </c>
      <c r="J27" s="149">
        <f t="shared" si="26"/>
        <v>12.91903550218929</v>
      </c>
      <c r="K27" s="149">
        <f>I27*$B$59</f>
        <v>119371.88804022904</v>
      </c>
    </row>
    <row r="28" spans="1:11">
      <c r="A28" s="148" t="s">
        <v>180</v>
      </c>
      <c r="B28" s="149">
        <f t="shared" si="22"/>
        <v>3.68</v>
      </c>
      <c r="C28" s="149">
        <v>18400</v>
      </c>
      <c r="D28" s="149">
        <f t="shared" si="23"/>
        <v>2.6840754123428572</v>
      </c>
      <c r="E28" s="149">
        <f t="shared" ref="E28:K30" si="27">C28*$B$59</f>
        <v>18788.527886399999</v>
      </c>
      <c r="F28" s="149">
        <f t="shared" si="24"/>
        <v>2.3981574737637934</v>
      </c>
      <c r="G28" s="149">
        <f t="shared" si="27"/>
        <v>19185.259790110347</v>
      </c>
      <c r="H28" s="149">
        <f t="shared" si="25"/>
        <v>2.2261782891200399</v>
      </c>
      <c r="I28" s="149">
        <f t="shared" si="27"/>
        <v>19590.368944256352</v>
      </c>
      <c r="J28" s="149">
        <f t="shared" si="26"/>
        <v>2.1649385541009374</v>
      </c>
      <c r="K28" s="149">
        <f t="shared" si="27"/>
        <v>20004.032239892662</v>
      </c>
    </row>
    <row r="29" spans="1:11">
      <c r="A29" s="148" t="s">
        <v>181</v>
      </c>
      <c r="B29" s="149">
        <f t="shared" si="22"/>
        <v>2.4</v>
      </c>
      <c r="C29" s="149">
        <v>12000</v>
      </c>
      <c r="D29" s="149">
        <f t="shared" si="23"/>
        <v>1.7504839645714283</v>
      </c>
      <c r="E29" s="149">
        <f t="shared" si="27"/>
        <v>12253.387751999999</v>
      </c>
      <c r="F29" s="149">
        <f t="shared" si="24"/>
        <v>1.5640157437589957</v>
      </c>
      <c r="G29" s="149">
        <f t="shared" si="27"/>
        <v>12512.125950071966</v>
      </c>
      <c r="H29" s="149">
        <f t="shared" si="25"/>
        <v>1.4518554059478521</v>
      </c>
      <c r="I29" s="149">
        <f t="shared" si="27"/>
        <v>12776.327572341099</v>
      </c>
      <c r="J29" s="149">
        <f t="shared" si="26"/>
        <v>1.4119164483266982</v>
      </c>
      <c r="K29" s="149">
        <f t="shared" si="27"/>
        <v>13046.107982538691</v>
      </c>
    </row>
    <row r="30" spans="1:11">
      <c r="A30" s="148" t="s">
        <v>182</v>
      </c>
      <c r="B30" s="149">
        <f t="shared" si="22"/>
        <v>2</v>
      </c>
      <c r="C30" s="149">
        <v>10000</v>
      </c>
      <c r="D30" s="149">
        <f t="shared" si="23"/>
        <v>1.4587366371428572</v>
      </c>
      <c r="E30" s="149">
        <f t="shared" si="27"/>
        <v>10211.15646</v>
      </c>
      <c r="F30" s="149">
        <f t="shared" si="24"/>
        <v>1.3033464531324968</v>
      </c>
      <c r="G30" s="149">
        <f t="shared" si="27"/>
        <v>10426.771625059973</v>
      </c>
      <c r="H30" s="149">
        <f t="shared" si="25"/>
        <v>1.2098795049565436</v>
      </c>
      <c r="I30" s="149">
        <f t="shared" si="27"/>
        <v>10646.939643617583</v>
      </c>
      <c r="J30" s="149">
        <f t="shared" si="26"/>
        <v>1.1765970402722485</v>
      </c>
      <c r="K30" s="149">
        <f t="shared" si="27"/>
        <v>10871.756652115577</v>
      </c>
    </row>
    <row r="31" spans="1:11">
      <c r="A31" s="148" t="s">
        <v>183</v>
      </c>
      <c r="B31" s="149">
        <f t="shared" si="22"/>
        <v>305.43301600000001</v>
      </c>
      <c r="C31" s="149">
        <v>1527165.08</v>
      </c>
      <c r="D31" s="149">
        <f t="shared" si="23"/>
        <v>222.77316571428571</v>
      </c>
      <c r="E31" s="149">
        <v>1559412.16</v>
      </c>
      <c r="F31" s="149">
        <f t="shared" si="24"/>
        <v>199.04251875</v>
      </c>
      <c r="G31" s="149">
        <v>1592340.15</v>
      </c>
      <c r="H31" s="149">
        <f t="shared" si="25"/>
        <v>184.76857272727273</v>
      </c>
      <c r="I31" s="149">
        <v>1625963.44</v>
      </c>
      <c r="J31" s="149">
        <f t="shared" si="26"/>
        <v>179.68579112554113</v>
      </c>
      <c r="K31" s="149">
        <v>1660296.71</v>
      </c>
    </row>
    <row r="32" spans="1:11" ht="15">
      <c r="A32" s="150" t="s">
        <v>184</v>
      </c>
      <c r="B32" s="151">
        <f>SUM(B33:B38)</f>
        <v>285</v>
      </c>
      <c r="C32" s="151">
        <f>SUM(C33:C38)</f>
        <v>1425000</v>
      </c>
      <c r="D32" s="151">
        <f t="shared" ref="D32:E32" si="28">SUM(D33:D38)</f>
        <v>207.86997079285715</v>
      </c>
      <c r="E32" s="151">
        <f t="shared" si="28"/>
        <v>1455089.7955499999</v>
      </c>
      <c r="F32" s="151">
        <f t="shared" ref="F32" si="29">SUM(F33:F38)</f>
        <v>185.72686957138075</v>
      </c>
      <c r="G32" s="151">
        <f t="shared" ref="G32" si="30">SUM(G33:G38)</f>
        <v>1485814.9565710458</v>
      </c>
      <c r="H32" s="151">
        <f t="shared" ref="H32" si="31">SUM(H33:H38)</f>
        <v>172.40782945630747</v>
      </c>
      <c r="I32" s="151">
        <f t="shared" ref="I32" si="32">SUM(I33:I38)</f>
        <v>1517188.8992155055</v>
      </c>
      <c r="J32" s="151">
        <f t="shared" ref="J32" si="33">SUM(J33:J38)</f>
        <v>167.66507823879542</v>
      </c>
      <c r="K32" s="151">
        <f t="shared" ref="K32" si="34">SUM(K33:K38)</f>
        <v>1549225.3229264696</v>
      </c>
    </row>
    <row r="33" spans="1:11">
      <c r="A33" s="148" t="s">
        <v>185</v>
      </c>
      <c r="B33" s="149">
        <f t="shared" si="22"/>
        <v>120</v>
      </c>
      <c r="C33" s="149">
        <v>600000</v>
      </c>
      <c r="D33" s="149">
        <f t="shared" si="23"/>
        <v>87.524198228571436</v>
      </c>
      <c r="E33" s="149">
        <f>C33*$B$59</f>
        <v>612669.38760000002</v>
      </c>
      <c r="F33" s="149">
        <f>G33/$G$1</f>
        <v>78.2007871879498</v>
      </c>
      <c r="G33" s="149">
        <f>E33*$B$59</f>
        <v>625606.29750359838</v>
      </c>
      <c r="H33" s="149">
        <f>I33/$I$1</f>
        <v>72.592770297392619</v>
      </c>
      <c r="I33" s="149">
        <f>G33*$B$59</f>
        <v>638816.37861705502</v>
      </c>
      <c r="J33" s="149">
        <f t="shared" si="26"/>
        <v>70.595822416334926</v>
      </c>
      <c r="K33" s="149">
        <f>I33*$B$59</f>
        <v>652305.3991269347</v>
      </c>
    </row>
    <row r="34" spans="1:11">
      <c r="A34" s="148" t="s">
        <v>186</v>
      </c>
      <c r="B34" s="149">
        <f t="shared" si="22"/>
        <v>60</v>
      </c>
      <c r="C34" s="149">
        <v>300000</v>
      </c>
      <c r="D34" s="149">
        <f t="shared" si="23"/>
        <v>43.762099114285718</v>
      </c>
      <c r="E34" s="149">
        <f t="shared" ref="E34:K38" si="35">C34*$B$59</f>
        <v>306334.69380000001</v>
      </c>
      <c r="F34" s="149">
        <f t="shared" ref="F34:F38" si="36">G34/$G$1</f>
        <v>39.1003935939749</v>
      </c>
      <c r="G34" s="149">
        <f t="shared" si="35"/>
        <v>312803.14875179919</v>
      </c>
      <c r="H34" s="149">
        <f t="shared" ref="H34:H38" si="37">I34/$I$1</f>
        <v>36.296385148696309</v>
      </c>
      <c r="I34" s="149">
        <f t="shared" si="35"/>
        <v>319408.18930852751</v>
      </c>
      <c r="J34" s="149">
        <f t="shared" si="26"/>
        <v>35.297911208167463</v>
      </c>
      <c r="K34" s="149">
        <f t="shared" si="35"/>
        <v>326152.69956346735</v>
      </c>
    </row>
    <row r="35" spans="1:11">
      <c r="A35" s="148" t="s">
        <v>187</v>
      </c>
      <c r="B35" s="149">
        <f t="shared" si="22"/>
        <v>24</v>
      </c>
      <c r="C35" s="149">
        <v>120000</v>
      </c>
      <c r="D35" s="149">
        <f t="shared" si="23"/>
        <v>17.504839645714284</v>
      </c>
      <c r="E35" s="149">
        <f t="shared" si="35"/>
        <v>122533.87751999999</v>
      </c>
      <c r="F35" s="149">
        <f t="shared" si="36"/>
        <v>15.640157437589957</v>
      </c>
      <c r="G35" s="149">
        <f t="shared" si="35"/>
        <v>125121.25950071967</v>
      </c>
      <c r="H35" s="149">
        <f t="shared" si="37"/>
        <v>14.518554059478522</v>
      </c>
      <c r="I35" s="149">
        <f t="shared" si="35"/>
        <v>127763.27572341099</v>
      </c>
      <c r="J35" s="149">
        <f t="shared" si="26"/>
        <v>14.119164483266982</v>
      </c>
      <c r="K35" s="149">
        <f t="shared" si="35"/>
        <v>130461.07982538691</v>
      </c>
    </row>
    <row r="36" spans="1:11">
      <c r="A36" s="148" t="s">
        <v>188</v>
      </c>
      <c r="B36" s="149">
        <f t="shared" si="22"/>
        <v>30</v>
      </c>
      <c r="C36" s="149">
        <v>150000</v>
      </c>
      <c r="D36" s="149">
        <f t="shared" si="23"/>
        <v>21.881049557142859</v>
      </c>
      <c r="E36" s="149">
        <f t="shared" si="35"/>
        <v>153167.3469</v>
      </c>
      <c r="F36" s="149">
        <f t="shared" si="36"/>
        <v>19.55019679698745</v>
      </c>
      <c r="G36" s="149">
        <f t="shared" si="35"/>
        <v>156401.5743758996</v>
      </c>
      <c r="H36" s="149">
        <f t="shared" si="37"/>
        <v>18.148192574348155</v>
      </c>
      <c r="I36" s="149">
        <f t="shared" si="35"/>
        <v>159704.09465426375</v>
      </c>
      <c r="J36" s="149">
        <f t="shared" si="26"/>
        <v>17.648955604083731</v>
      </c>
      <c r="K36" s="149">
        <f t="shared" si="35"/>
        <v>163076.34978173368</v>
      </c>
    </row>
    <row r="37" spans="1:11">
      <c r="A37" s="148" t="s">
        <v>189</v>
      </c>
      <c r="B37" s="149">
        <f t="shared" si="22"/>
        <v>15</v>
      </c>
      <c r="C37" s="149">
        <v>75000</v>
      </c>
      <c r="D37" s="149">
        <f t="shared" si="23"/>
        <v>10.940524778571429</v>
      </c>
      <c r="E37" s="149">
        <f t="shared" si="35"/>
        <v>76583.673450000002</v>
      </c>
      <c r="F37" s="149">
        <f t="shared" si="36"/>
        <v>9.775098398493725</v>
      </c>
      <c r="G37" s="149">
        <f t="shared" si="35"/>
        <v>78200.787187949798</v>
      </c>
      <c r="H37" s="149">
        <f t="shared" si="37"/>
        <v>9.0740962871740773</v>
      </c>
      <c r="I37" s="149">
        <f t="shared" si="35"/>
        <v>79852.047327131877</v>
      </c>
      <c r="J37" s="149">
        <f t="shared" si="26"/>
        <v>8.8244778020418657</v>
      </c>
      <c r="K37" s="149">
        <f t="shared" si="35"/>
        <v>81538.174890866838</v>
      </c>
    </row>
    <row r="38" spans="1:11">
      <c r="A38" s="148" t="s">
        <v>190</v>
      </c>
      <c r="B38" s="149">
        <f t="shared" si="22"/>
        <v>36</v>
      </c>
      <c r="C38" s="149">
        <v>180000</v>
      </c>
      <c r="D38" s="149">
        <f t="shared" si="23"/>
        <v>26.25725946857143</v>
      </c>
      <c r="E38" s="149">
        <f t="shared" si="35"/>
        <v>183800.81628</v>
      </c>
      <c r="F38" s="149">
        <f t="shared" si="36"/>
        <v>23.460236156384937</v>
      </c>
      <c r="G38" s="149">
        <f t="shared" si="35"/>
        <v>187681.8892510795</v>
      </c>
      <c r="H38" s="149">
        <f t="shared" si="37"/>
        <v>21.777831089217781</v>
      </c>
      <c r="I38" s="149">
        <f t="shared" si="35"/>
        <v>191644.91358511648</v>
      </c>
      <c r="J38" s="149">
        <f t="shared" si="26"/>
        <v>21.178746724900471</v>
      </c>
      <c r="K38" s="149">
        <f t="shared" si="35"/>
        <v>195691.61973808036</v>
      </c>
    </row>
    <row r="39" spans="1:11" ht="15">
      <c r="A39" s="156" t="s">
        <v>191</v>
      </c>
      <c r="B39" s="157">
        <f>B20-B22-B32</f>
        <v>2239.3241960000005</v>
      </c>
      <c r="C39" s="157">
        <f t="shared" ref="C39:K39" si="38">C20-C22-C32</f>
        <v>11196620.98</v>
      </c>
      <c r="D39" s="157">
        <f t="shared" si="38"/>
        <v>2968.8181171331198</v>
      </c>
      <c r="E39" s="157">
        <f t="shared" si="38"/>
        <v>20781726.819931831</v>
      </c>
      <c r="F39" s="157">
        <f t="shared" si="38"/>
        <v>3575.7535530917944</v>
      </c>
      <c r="G39" s="157">
        <f t="shared" si="38"/>
        <v>28606028.424734309</v>
      </c>
      <c r="H39" s="157">
        <f t="shared" si="38"/>
        <v>4167.3627322594593</v>
      </c>
      <c r="I39" s="157">
        <f t="shared" si="38"/>
        <v>36672792.043883234</v>
      </c>
      <c r="J39" s="157">
        <f t="shared" si="38"/>
        <v>4744.0814417379661</v>
      </c>
      <c r="K39" s="157">
        <f t="shared" si="38"/>
        <v>43835312.521658771</v>
      </c>
    </row>
    <row r="40" spans="1:11" ht="15">
      <c r="A40" s="156" t="s">
        <v>173</v>
      </c>
      <c r="B40" s="158">
        <f>B39/B4</f>
        <v>0.11483713825641029</v>
      </c>
      <c r="C40" s="158">
        <f t="shared" ref="C40:K40" si="39">C39/C4</f>
        <v>0.11483713825641026</v>
      </c>
      <c r="D40" s="158">
        <f t="shared" si="39"/>
        <v>0.14909876616453646</v>
      </c>
      <c r="E40" s="158">
        <f t="shared" si="39"/>
        <v>0.14909876616453641</v>
      </c>
      <c r="F40" s="158">
        <f t="shared" si="39"/>
        <v>0.17586649413219099</v>
      </c>
      <c r="G40" s="158">
        <f t="shared" si="39"/>
        <v>0.17586649413219069</v>
      </c>
      <c r="H40" s="158">
        <f t="shared" si="39"/>
        <v>0.2007252003863384</v>
      </c>
      <c r="I40" s="158">
        <f t="shared" si="39"/>
        <v>0.20072520038633837</v>
      </c>
      <c r="J40" s="158">
        <f t="shared" si="39"/>
        <v>0.22377821318700342</v>
      </c>
      <c r="K40" s="158">
        <f t="shared" si="39"/>
        <v>0.22377821318700322</v>
      </c>
    </row>
    <row r="41" spans="1:11" ht="15">
      <c r="A41" s="150" t="s">
        <v>192</v>
      </c>
      <c r="B41" s="151">
        <f>SUM(B42:B44)</f>
        <v>300.57260000000002</v>
      </c>
      <c r="C41" s="151">
        <f>SUM(C42:C44)</f>
        <v>1502863</v>
      </c>
      <c r="D41" s="151">
        <f t="shared" ref="D41:E41" si="40">SUM(D42:D44)</f>
        <v>214.69471428571427</v>
      </c>
      <c r="E41" s="151">
        <f t="shared" si="40"/>
        <v>1502863</v>
      </c>
      <c r="F41" s="151">
        <f t="shared" ref="F41" si="41">SUM(F42:F44)</f>
        <v>187.85787499999998</v>
      </c>
      <c r="G41" s="151">
        <f t="shared" ref="G41" si="42">SUM(G42:G44)</f>
        <v>1502863</v>
      </c>
      <c r="H41" s="151">
        <f t="shared" ref="H41" si="43">SUM(H42:H44)</f>
        <v>170.77988636363636</v>
      </c>
      <c r="I41" s="151">
        <f t="shared" ref="I41" si="44">SUM(I42:I44)</f>
        <v>1502863</v>
      </c>
      <c r="J41" s="151">
        <f t="shared" ref="J41" si="45">SUM(J42:J44)</f>
        <v>162.64751082251084</v>
      </c>
      <c r="K41" s="151">
        <f t="shared" ref="K41" si="46">SUM(K42:K44)</f>
        <v>1502863</v>
      </c>
    </row>
    <row r="42" spans="1:11">
      <c r="A42" s="148" t="s">
        <v>193</v>
      </c>
      <c r="B42" s="149">
        <f t="shared" ref="B42:B44" si="47">C42/$C$1</f>
        <v>296.67</v>
      </c>
      <c r="C42" s="149">
        <v>1483350</v>
      </c>
      <c r="D42" s="149">
        <f t="shared" ref="D42:D44" si="48">E42/$E$1</f>
        <v>211.90714285714284</v>
      </c>
      <c r="E42" s="149">
        <v>1483350</v>
      </c>
      <c r="F42" s="149">
        <f>G42/$G$1</f>
        <v>185.41874999999999</v>
      </c>
      <c r="G42" s="149">
        <v>1483350</v>
      </c>
      <c r="H42" s="149">
        <f>I42/$I$1</f>
        <v>168.5625</v>
      </c>
      <c r="I42" s="149">
        <v>1483350</v>
      </c>
      <c r="J42" s="149">
        <f t="shared" ref="J42:J44" si="49">K42/$K$1</f>
        <v>160.53571428571428</v>
      </c>
      <c r="K42" s="149">
        <v>1483350</v>
      </c>
    </row>
    <row r="43" spans="1:11">
      <c r="A43" s="148" t="s">
        <v>194</v>
      </c>
      <c r="B43" s="149">
        <f t="shared" si="47"/>
        <v>0.89600000000000002</v>
      </c>
      <c r="C43" s="149">
        <v>4480</v>
      </c>
      <c r="D43" s="149">
        <f t="shared" si="48"/>
        <v>0.64</v>
      </c>
      <c r="E43" s="149">
        <v>4480</v>
      </c>
      <c r="F43" s="149">
        <f t="shared" ref="F43:F44" si="50">G43/$G$1</f>
        <v>0.56000000000000005</v>
      </c>
      <c r="G43" s="149">
        <v>4480</v>
      </c>
      <c r="H43" s="149">
        <f t="shared" ref="H43:H44" si="51">I43/$I$1</f>
        <v>0.50909090909090904</v>
      </c>
      <c r="I43" s="149">
        <v>4480</v>
      </c>
      <c r="J43" s="149">
        <f t="shared" si="49"/>
        <v>0.48484848484848486</v>
      </c>
      <c r="K43" s="149">
        <v>4480</v>
      </c>
    </row>
    <row r="44" spans="1:11">
      <c r="A44" s="148" t="s">
        <v>195</v>
      </c>
      <c r="B44" s="149">
        <f t="shared" si="47"/>
        <v>3.0066000000000002</v>
      </c>
      <c r="C44" s="149">
        <v>15033</v>
      </c>
      <c r="D44" s="149">
        <f t="shared" si="48"/>
        <v>2.1475714285714287</v>
      </c>
      <c r="E44" s="149">
        <v>15033</v>
      </c>
      <c r="F44" s="149">
        <f t="shared" si="50"/>
        <v>1.8791249999999999</v>
      </c>
      <c r="G44" s="149">
        <v>15033</v>
      </c>
      <c r="H44" s="149">
        <f t="shared" si="51"/>
        <v>1.7082954545454545</v>
      </c>
      <c r="I44" s="149">
        <v>15033</v>
      </c>
      <c r="J44" s="149">
        <f t="shared" si="49"/>
        <v>1.6269480519480519</v>
      </c>
      <c r="K44" s="149">
        <v>15033</v>
      </c>
    </row>
    <row r="45" spans="1:11" ht="15">
      <c r="A45" s="156" t="s">
        <v>196</v>
      </c>
      <c r="B45" s="157">
        <f>B39-B41</f>
        <v>1938.7515960000005</v>
      </c>
      <c r="C45" s="157">
        <f t="shared" ref="C45:K45" si="52">C39-C41</f>
        <v>9693757.9800000004</v>
      </c>
      <c r="D45" s="157">
        <f t="shared" si="52"/>
        <v>2754.1234028474055</v>
      </c>
      <c r="E45" s="157">
        <f t="shared" si="52"/>
        <v>19278863.819931831</v>
      </c>
      <c r="F45" s="157">
        <f t="shared" si="52"/>
        <v>3387.8956780917943</v>
      </c>
      <c r="G45" s="157">
        <f t="shared" si="52"/>
        <v>27103165.424734309</v>
      </c>
      <c r="H45" s="157">
        <f t="shared" si="52"/>
        <v>3996.5828458958231</v>
      </c>
      <c r="I45" s="157">
        <f t="shared" si="52"/>
        <v>35169929.043883234</v>
      </c>
      <c r="J45" s="157">
        <f t="shared" si="52"/>
        <v>4581.4339309154557</v>
      </c>
      <c r="K45" s="157">
        <f t="shared" si="52"/>
        <v>42332449.521658771</v>
      </c>
    </row>
    <row r="46" spans="1:11" ht="15">
      <c r="A46" s="156" t="s">
        <v>173</v>
      </c>
      <c r="B46" s="158">
        <f>B45/B4</f>
        <v>9.9423158769230802E-2</v>
      </c>
      <c r="C46" s="158">
        <f t="shared" ref="C46:K46" si="53">C45/C4</f>
        <v>9.9423158769230774E-2</v>
      </c>
      <c r="D46" s="158">
        <f t="shared" si="53"/>
        <v>0.13831645625564948</v>
      </c>
      <c r="E46" s="158">
        <f t="shared" si="53"/>
        <v>0.13831645625564942</v>
      </c>
      <c r="F46" s="158">
        <f t="shared" si="53"/>
        <v>0.16662706938413838</v>
      </c>
      <c r="G46" s="158">
        <f t="shared" si="53"/>
        <v>0.1666270693841381</v>
      </c>
      <c r="H46" s="158">
        <f t="shared" si="53"/>
        <v>0.1924994160918882</v>
      </c>
      <c r="I46" s="158">
        <f t="shared" si="53"/>
        <v>0.19249941609188817</v>
      </c>
      <c r="J46" s="158">
        <f t="shared" si="53"/>
        <v>0.21610613381860172</v>
      </c>
      <c r="K46" s="158">
        <f t="shared" si="53"/>
        <v>0.21610613381860153</v>
      </c>
    </row>
    <row r="47" spans="1:11" ht="15">
      <c r="A47" s="150" t="s">
        <v>197</v>
      </c>
      <c r="B47" s="151">
        <f>SUM(B48:B49)</f>
        <v>383.82361639999999</v>
      </c>
      <c r="C47" s="151">
        <f>SUM(C48:C49)</f>
        <v>1919118.0820000002</v>
      </c>
      <c r="D47" s="151">
        <f t="shared" ref="D47:E47" si="54">SUM(D48:D49)</f>
        <v>266.00831714285715</v>
      </c>
      <c r="E47" s="151">
        <f t="shared" si="54"/>
        <v>1862058.22</v>
      </c>
      <c r="F47" s="151">
        <f t="shared" ref="F47" si="55">SUM(F48:F49)</f>
        <v>225.33949637499998</v>
      </c>
      <c r="G47" s="151">
        <f t="shared" ref="G47" si="56">SUM(G48:G49)</f>
        <v>1802715.9709999999</v>
      </c>
      <c r="H47" s="151">
        <f t="shared" ref="H47" si="57">SUM(H48:H49)</f>
        <v>197.84091238636361</v>
      </c>
      <c r="I47" s="151">
        <f t="shared" ref="I47" si="58">SUM(I48:I49)</f>
        <v>1741000.0290000001</v>
      </c>
      <c r="J47" s="151">
        <f t="shared" ref="J47" si="59">SUM(J48:J49)</f>
        <v>181.4735335930736</v>
      </c>
      <c r="K47" s="151">
        <f t="shared" ref="K47" si="60">SUM(K48:K49)</f>
        <v>1676815.4504000002</v>
      </c>
    </row>
    <row r="48" spans="1:11">
      <c r="A48" s="148" t="s">
        <v>198</v>
      </c>
      <c r="B48" s="149">
        <f t="shared" ref="B48:B49" si="61">C48/$C$1</f>
        <v>346.80227400000001</v>
      </c>
      <c r="C48" s="149">
        <v>1734011.37</v>
      </c>
      <c r="D48" s="149">
        <f t="shared" ref="D48:D49" si="62">E48/$E$1</f>
        <v>243.18191857142855</v>
      </c>
      <c r="E48" s="149">
        <v>1702273.43</v>
      </c>
      <c r="F48" s="149">
        <f>G48/$G$1</f>
        <v>208.65824749999999</v>
      </c>
      <c r="G48" s="149">
        <v>1669265.98</v>
      </c>
      <c r="H48" s="149">
        <f>I48/$I$1</f>
        <v>185.78843522727271</v>
      </c>
      <c r="I48" s="149">
        <v>1634938.23</v>
      </c>
      <c r="J48" s="149">
        <f t="shared" ref="J48:J49" si="63">K48/$K$1</f>
        <v>173.07763744588746</v>
      </c>
      <c r="K48" s="149">
        <v>1599237.37</v>
      </c>
    </row>
    <row r="49" spans="1:11">
      <c r="A49" s="148" t="s">
        <v>199</v>
      </c>
      <c r="B49" s="149">
        <f t="shared" si="61"/>
        <v>37.021342400000002</v>
      </c>
      <c r="C49" s="149">
        <v>185106.712</v>
      </c>
      <c r="D49" s="149">
        <f t="shared" si="62"/>
        <v>22.826398571428573</v>
      </c>
      <c r="E49" s="149">
        <v>159784.79</v>
      </c>
      <c r="F49" s="149">
        <f>G49/$G$1</f>
        <v>16.681248875000001</v>
      </c>
      <c r="G49" s="149">
        <v>133449.99100000001</v>
      </c>
      <c r="H49" s="149">
        <f>I49/$I$1</f>
        <v>12.052477159090909</v>
      </c>
      <c r="I49" s="149">
        <v>106061.799</v>
      </c>
      <c r="J49" s="149">
        <f t="shared" si="63"/>
        <v>8.3958961471861482</v>
      </c>
      <c r="K49" s="149">
        <v>77578.080400000006</v>
      </c>
    </row>
    <row r="50" spans="1:11" ht="15">
      <c r="A50" s="156" t="s">
        <v>200</v>
      </c>
      <c r="B50" s="157">
        <f>B45-B47</f>
        <v>1554.9279796000005</v>
      </c>
      <c r="C50" s="157">
        <f t="shared" ref="C50:K50" si="64">C45-C47</f>
        <v>7774639.898</v>
      </c>
      <c r="D50" s="157">
        <f t="shared" si="64"/>
        <v>2488.1150857045482</v>
      </c>
      <c r="E50" s="157">
        <f t="shared" si="64"/>
        <v>17416805.599931832</v>
      </c>
      <c r="F50" s="157">
        <f t="shared" si="64"/>
        <v>3162.5561817167941</v>
      </c>
      <c r="G50" s="157">
        <f t="shared" si="64"/>
        <v>25300449.453734308</v>
      </c>
      <c r="H50" s="157">
        <f t="shared" si="64"/>
        <v>3798.7419335094596</v>
      </c>
      <c r="I50" s="157">
        <f t="shared" si="64"/>
        <v>33428929.014883235</v>
      </c>
      <c r="J50" s="157">
        <f t="shared" si="64"/>
        <v>4399.9603973223821</v>
      </c>
      <c r="K50" s="157">
        <f t="shared" si="64"/>
        <v>40655634.071258768</v>
      </c>
    </row>
    <row r="51" spans="1:11" ht="15">
      <c r="A51" s="156" t="s">
        <v>173</v>
      </c>
      <c r="B51" s="158">
        <f>B50/B4</f>
        <v>7.9739896389743617E-2</v>
      </c>
      <c r="C51" s="158">
        <f t="shared" ref="C51:K51" si="65">C50/C4</f>
        <v>7.9739896389743589E-2</v>
      </c>
      <c r="D51" s="158">
        <f t="shared" si="65"/>
        <v>0.12495709562435407</v>
      </c>
      <c r="E51" s="158">
        <f t="shared" si="65"/>
        <v>0.12495709562435403</v>
      </c>
      <c r="F51" s="158">
        <f t="shared" si="65"/>
        <v>0.1555441838808243</v>
      </c>
      <c r="G51" s="158">
        <f t="shared" si="65"/>
        <v>0.15554418388082403</v>
      </c>
      <c r="H51" s="158">
        <f t="shared" si="65"/>
        <v>0.1829702103724144</v>
      </c>
      <c r="I51" s="158">
        <f t="shared" si="65"/>
        <v>0.18297021037241434</v>
      </c>
      <c r="J51" s="158">
        <f t="shared" si="65"/>
        <v>0.20754603138635669</v>
      </c>
      <c r="K51" s="158">
        <f t="shared" si="65"/>
        <v>0.20754603138635649</v>
      </c>
    </row>
    <row r="52" spans="1:11" ht="15">
      <c r="A52" s="150" t="s">
        <v>201</v>
      </c>
      <c r="B52" s="151">
        <f>B50*0.2983</f>
        <v>463.83501631468016</v>
      </c>
      <c r="C52" s="151">
        <f>C50*0.2983</f>
        <v>2319175.0815734002</v>
      </c>
      <c r="D52" s="151">
        <f t="shared" ref="D52:K52" si="66">D50*0.2983</f>
        <v>742.20473006566669</v>
      </c>
      <c r="E52" s="151">
        <f t="shared" si="66"/>
        <v>5195433.1104596658</v>
      </c>
      <c r="F52" s="151">
        <f t="shared" si="66"/>
        <v>943.39050900611971</v>
      </c>
      <c r="G52" s="151">
        <f t="shared" si="66"/>
        <v>7547124.0720489444</v>
      </c>
      <c r="H52" s="151">
        <f t="shared" si="66"/>
        <v>1133.1647187658718</v>
      </c>
      <c r="I52" s="151">
        <f t="shared" si="66"/>
        <v>9971849.525139669</v>
      </c>
      <c r="J52" s="151">
        <f t="shared" si="66"/>
        <v>1312.5081865212667</v>
      </c>
      <c r="K52" s="151">
        <f t="shared" si="66"/>
        <v>12127575.643456491</v>
      </c>
    </row>
    <row r="53" spans="1:11" ht="15">
      <c r="A53" s="156" t="s">
        <v>202</v>
      </c>
      <c r="B53" s="157">
        <f>B50-B52</f>
        <v>1091.0929632853204</v>
      </c>
      <c r="C53" s="157">
        <f t="shared" ref="C53:K53" si="67">C50-C52</f>
        <v>5455464.8164265994</v>
      </c>
      <c r="D53" s="157">
        <f t="shared" si="67"/>
        <v>1745.9103556388814</v>
      </c>
      <c r="E53" s="157">
        <f t="shared" si="67"/>
        <v>12221372.489472166</v>
      </c>
      <c r="F53" s="157">
        <f t="shared" si="67"/>
        <v>2219.1656727106742</v>
      </c>
      <c r="G53" s="157">
        <f t="shared" si="67"/>
        <v>17753325.381685365</v>
      </c>
      <c r="H53" s="157">
        <f t="shared" si="67"/>
        <v>2665.5772147435878</v>
      </c>
      <c r="I53" s="157">
        <f t="shared" si="67"/>
        <v>23457079.489743568</v>
      </c>
      <c r="J53" s="157">
        <f t="shared" si="67"/>
        <v>3087.4522108011151</v>
      </c>
      <c r="K53" s="157">
        <f t="shared" si="67"/>
        <v>28528058.42780228</v>
      </c>
    </row>
    <row r="54" spans="1:11" ht="15">
      <c r="A54" s="156" t="s">
        <v>173</v>
      </c>
      <c r="B54" s="158">
        <f>B53/B4</f>
        <v>5.5953485296683099E-2</v>
      </c>
      <c r="C54" s="158">
        <f t="shared" ref="C54:K54" si="68">C53/C4</f>
        <v>5.5953485296683071E-2</v>
      </c>
      <c r="D54" s="158">
        <f t="shared" si="68"/>
        <v>8.768239399960924E-2</v>
      </c>
      <c r="E54" s="158">
        <f t="shared" si="68"/>
        <v>8.7682393999609212E-2</v>
      </c>
      <c r="F54" s="158">
        <f t="shared" si="68"/>
        <v>0.1091453538291744</v>
      </c>
      <c r="G54" s="158">
        <f t="shared" si="68"/>
        <v>0.10914535382917422</v>
      </c>
      <c r="H54" s="158">
        <f t="shared" si="68"/>
        <v>0.12839019661832318</v>
      </c>
      <c r="I54" s="158">
        <f t="shared" si="68"/>
        <v>0.12839019661832315</v>
      </c>
      <c r="J54" s="158">
        <f t="shared" si="68"/>
        <v>0.14563505022380649</v>
      </c>
      <c r="K54" s="158">
        <f t="shared" si="68"/>
        <v>0.14563505022380635</v>
      </c>
    </row>
    <row r="57" spans="1:11">
      <c r="B57" s="149"/>
    </row>
    <row r="58" spans="1:11">
      <c r="B58" s="149"/>
    </row>
    <row r="59" spans="1:11">
      <c r="A59" s="148" t="s">
        <v>203</v>
      </c>
      <c r="B59" s="155">
        <v>1.0211156459999999</v>
      </c>
    </row>
    <row r="60" spans="1:11">
      <c r="A60" s="148" t="s">
        <v>204</v>
      </c>
      <c r="B60" s="155">
        <v>1.1943947429999999</v>
      </c>
      <c r="I60" s="149"/>
    </row>
    <row r="61" spans="1:11">
      <c r="A61" s="148" t="s">
        <v>205</v>
      </c>
      <c r="B61" s="155">
        <v>0.82771306700000002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2"/>
  <sheetViews>
    <sheetView workbookViewId="0">
      <selection activeCell="J10" sqref="J10"/>
    </sheetView>
  </sheetViews>
  <sheetFormatPr baseColWidth="10" defaultColWidth="8.88671875" defaultRowHeight="15"/>
  <cols>
    <col min="1" max="1" width="7.6640625" customWidth="1"/>
    <col min="2" max="2" width="20.6640625" customWidth="1"/>
    <col min="3" max="3" width="18.33203125" customWidth="1"/>
    <col min="4" max="4" width="14.6640625" customWidth="1"/>
    <col min="5" max="5" width="17.6640625" customWidth="1"/>
    <col min="6" max="7" width="15.6640625" customWidth="1"/>
    <col min="8" max="8" width="13.6640625" customWidth="1"/>
  </cols>
  <sheetData>
    <row r="1" spans="1:8" ht="23.25">
      <c r="A1" s="160" t="s">
        <v>206</v>
      </c>
      <c r="B1" s="161"/>
      <c r="C1" s="161"/>
      <c r="D1" s="161"/>
      <c r="E1" s="161"/>
      <c r="F1" s="161"/>
      <c r="G1" s="162" t="s">
        <v>207</v>
      </c>
      <c r="H1" s="162" t="s">
        <v>207</v>
      </c>
    </row>
    <row r="2" spans="1:8" ht="15.75" thickBot="1">
      <c r="A2" s="163" t="s">
        <v>207</v>
      </c>
      <c r="B2" s="163" t="s">
        <v>207</v>
      </c>
      <c r="C2" s="163" t="s">
        <v>207</v>
      </c>
      <c r="D2" s="163" t="s">
        <v>207</v>
      </c>
      <c r="E2" s="163" t="s">
        <v>207</v>
      </c>
      <c r="F2" s="163" t="s">
        <v>207</v>
      </c>
      <c r="G2" s="163" t="s">
        <v>207</v>
      </c>
      <c r="H2" s="163" t="s">
        <v>207</v>
      </c>
    </row>
    <row r="3" spans="1:8" ht="24" thickTop="1">
      <c r="A3" s="164" t="s">
        <v>208</v>
      </c>
      <c r="B3" s="165"/>
      <c r="C3" s="165"/>
      <c r="D3" s="166" t="s">
        <v>207</v>
      </c>
      <c r="E3" s="166" t="s">
        <v>207</v>
      </c>
      <c r="F3" s="166" t="s">
        <v>207</v>
      </c>
      <c r="G3" s="166" t="s">
        <v>207</v>
      </c>
      <c r="H3" s="166" t="s">
        <v>207</v>
      </c>
    </row>
    <row r="4" spans="1:8">
      <c r="A4" s="167" t="s">
        <v>209</v>
      </c>
      <c r="B4" s="168"/>
      <c r="C4" s="169" t="s">
        <v>207</v>
      </c>
      <c r="D4" s="170" t="s">
        <v>207</v>
      </c>
      <c r="E4" s="170" t="s">
        <v>207</v>
      </c>
      <c r="F4" s="170" t="s">
        <v>207</v>
      </c>
      <c r="G4" s="170" t="s">
        <v>207</v>
      </c>
      <c r="H4" s="170" t="s">
        <v>207</v>
      </c>
    </row>
    <row r="5" spans="1:8" ht="15.75">
      <c r="A5" s="171" t="s">
        <v>207</v>
      </c>
      <c r="B5" s="172" t="s">
        <v>210</v>
      </c>
      <c r="C5" s="173">
        <v>5000000</v>
      </c>
      <c r="D5" s="170" t="s">
        <v>207</v>
      </c>
      <c r="E5" s="174" t="s">
        <v>211</v>
      </c>
      <c r="F5" s="175"/>
      <c r="G5" s="176" t="s">
        <v>207</v>
      </c>
      <c r="H5" s="176" t="s">
        <v>207</v>
      </c>
    </row>
    <row r="6" spans="1:8" ht="15.75">
      <c r="A6" s="171" t="s">
        <v>207</v>
      </c>
      <c r="B6" s="172" t="s">
        <v>212</v>
      </c>
      <c r="C6" s="177">
        <v>0.04</v>
      </c>
      <c r="D6" s="170" t="s">
        <v>207</v>
      </c>
      <c r="E6" s="170" t="s">
        <v>207</v>
      </c>
      <c r="F6" s="170" t="s">
        <v>213</v>
      </c>
      <c r="G6" s="170" t="s">
        <v>207</v>
      </c>
      <c r="H6" s="178" t="s">
        <v>214</v>
      </c>
    </row>
    <row r="7" spans="1:8" ht="15.75">
      <c r="A7" s="171" t="s">
        <v>207</v>
      </c>
      <c r="B7" s="172" t="s">
        <v>215</v>
      </c>
      <c r="C7" s="173">
        <v>3.2737399999999998E-3</v>
      </c>
      <c r="D7" s="170" t="s">
        <v>207</v>
      </c>
      <c r="E7" s="170" t="s">
        <v>207</v>
      </c>
      <c r="F7" s="170" t="s">
        <v>216</v>
      </c>
      <c r="G7" s="170" t="s">
        <v>207</v>
      </c>
      <c r="H7" s="178">
        <v>1</v>
      </c>
    </row>
    <row r="8" spans="1:8" ht="15.75">
      <c r="A8" s="171" t="s">
        <v>207</v>
      </c>
      <c r="B8" s="172" t="s">
        <v>217</v>
      </c>
      <c r="C8" s="173">
        <v>7</v>
      </c>
      <c r="D8" s="170" t="s">
        <v>207</v>
      </c>
      <c r="E8" s="170" t="s">
        <v>207</v>
      </c>
      <c r="F8" s="170" t="s">
        <v>207</v>
      </c>
      <c r="G8" s="170" t="s">
        <v>207</v>
      </c>
      <c r="H8" s="170" t="s">
        <v>207</v>
      </c>
    </row>
    <row r="9" spans="1:8" ht="15.75">
      <c r="A9" s="171" t="s">
        <v>207</v>
      </c>
      <c r="B9" s="172" t="s">
        <v>218</v>
      </c>
      <c r="C9" s="173">
        <v>12</v>
      </c>
      <c r="D9" s="170" t="s">
        <v>207</v>
      </c>
      <c r="E9" s="170" t="s">
        <v>207</v>
      </c>
      <c r="F9" s="170" t="s">
        <v>207</v>
      </c>
      <c r="G9" s="170" t="s">
        <v>207</v>
      </c>
      <c r="H9" s="170" t="s">
        <v>207</v>
      </c>
    </row>
    <row r="10" spans="1:8" ht="15.75">
      <c r="A10" s="171" t="s">
        <v>207</v>
      </c>
      <c r="B10" s="172" t="s">
        <v>219</v>
      </c>
      <c r="C10" s="173">
        <v>84</v>
      </c>
      <c r="D10" s="179" t="s">
        <v>207</v>
      </c>
      <c r="E10" s="180" t="s">
        <v>207</v>
      </c>
      <c r="F10" s="180" t="s">
        <v>207</v>
      </c>
      <c r="G10" s="180" t="s">
        <v>207</v>
      </c>
      <c r="H10" s="181" t="s">
        <v>207</v>
      </c>
    </row>
    <row r="11" spans="1:8" ht="15.75">
      <c r="A11" s="171" t="s">
        <v>207</v>
      </c>
      <c r="B11" s="172" t="s">
        <v>220</v>
      </c>
      <c r="C11" s="173" t="s">
        <v>214</v>
      </c>
      <c r="D11" s="179" t="s">
        <v>207</v>
      </c>
      <c r="E11" s="179" t="s">
        <v>207</v>
      </c>
      <c r="F11" s="179" t="s">
        <v>207</v>
      </c>
      <c r="G11" s="179" t="s">
        <v>207</v>
      </c>
      <c r="H11" s="179" t="s">
        <v>207</v>
      </c>
    </row>
    <row r="12" spans="1:8">
      <c r="A12" s="167" t="s">
        <v>221</v>
      </c>
      <c r="B12" s="168"/>
      <c r="C12" s="182" t="s">
        <v>207</v>
      </c>
      <c r="D12" s="176" t="s">
        <v>207</v>
      </c>
      <c r="E12" s="176" t="s">
        <v>207</v>
      </c>
      <c r="F12" s="176" t="s">
        <v>207</v>
      </c>
      <c r="G12" s="176" t="s">
        <v>207</v>
      </c>
      <c r="H12" s="176" t="s">
        <v>207</v>
      </c>
    </row>
    <row r="13" spans="1:8">
      <c r="A13" s="183" t="s">
        <v>207</v>
      </c>
      <c r="B13" s="184" t="s">
        <v>207</v>
      </c>
      <c r="C13" s="185" t="s">
        <v>207</v>
      </c>
      <c r="D13" s="186" t="s">
        <v>222</v>
      </c>
      <c r="E13" s="186"/>
      <c r="F13" s="186"/>
      <c r="G13" s="186"/>
      <c r="H13" s="163" t="s">
        <v>207</v>
      </c>
    </row>
    <row r="14" spans="1:8" ht="15.75" thickBot="1">
      <c r="A14" s="187" t="s">
        <v>207</v>
      </c>
      <c r="B14" s="188" t="s">
        <v>207</v>
      </c>
      <c r="C14" s="189" t="s">
        <v>207</v>
      </c>
      <c r="D14" s="186" t="s">
        <v>223</v>
      </c>
      <c r="E14" s="186"/>
      <c r="F14" s="186"/>
      <c r="G14" s="186"/>
      <c r="H14" s="163" t="s">
        <v>207</v>
      </c>
    </row>
    <row r="15" spans="1:8" ht="15.75" thickTop="1">
      <c r="A15" s="190" t="s">
        <v>224</v>
      </c>
      <c r="B15" s="191"/>
      <c r="C15" s="166" t="s">
        <v>207</v>
      </c>
      <c r="D15" s="166" t="s">
        <v>207</v>
      </c>
      <c r="E15" s="166" t="s">
        <v>207</v>
      </c>
      <c r="F15" s="166" t="s">
        <v>207</v>
      </c>
      <c r="G15" s="166" t="s">
        <v>207</v>
      </c>
      <c r="H15" s="166" t="s">
        <v>207</v>
      </c>
    </row>
    <row r="16" spans="1:8">
      <c r="A16" s="170" t="s">
        <v>207</v>
      </c>
      <c r="B16" s="170" t="s">
        <v>225</v>
      </c>
      <c r="C16" s="170" t="s">
        <v>207</v>
      </c>
      <c r="D16" s="170" t="s">
        <v>207</v>
      </c>
      <c r="E16" s="170" t="s">
        <v>207</v>
      </c>
      <c r="F16" s="170" t="s">
        <v>226</v>
      </c>
      <c r="G16" s="170" t="s">
        <v>207</v>
      </c>
      <c r="H16" s="170" t="s">
        <v>207</v>
      </c>
    </row>
    <row r="17" spans="1:8">
      <c r="A17" s="170" t="s">
        <v>207</v>
      </c>
      <c r="B17" s="170" t="s">
        <v>227</v>
      </c>
      <c r="C17" s="170">
        <v>1</v>
      </c>
      <c r="D17" s="170" t="s">
        <v>207</v>
      </c>
      <c r="E17" s="170" t="s">
        <v>207</v>
      </c>
      <c r="F17" s="170" t="s">
        <v>228</v>
      </c>
      <c r="G17" s="170" t="s">
        <v>207</v>
      </c>
      <c r="H17" s="170">
        <v>0</v>
      </c>
    </row>
    <row r="18" spans="1:8" ht="23.25">
      <c r="A18" s="192" t="s">
        <v>229</v>
      </c>
      <c r="B18" s="193"/>
      <c r="C18" s="176" t="s">
        <v>207</v>
      </c>
      <c r="D18" s="176" t="s">
        <v>207</v>
      </c>
      <c r="E18" s="176" t="s">
        <v>207</v>
      </c>
      <c r="F18" s="176" t="s">
        <v>207</v>
      </c>
      <c r="G18" s="176" t="s">
        <v>207</v>
      </c>
      <c r="H18" s="176" t="s">
        <v>207</v>
      </c>
    </row>
    <row r="19" spans="1:8" ht="15.75" thickBot="1">
      <c r="A19" s="194"/>
      <c r="B19" s="194"/>
      <c r="C19" s="194"/>
      <c r="D19" s="194"/>
      <c r="E19" s="194"/>
      <c r="F19" s="194"/>
      <c r="G19" s="194"/>
      <c r="H19" s="194"/>
    </row>
    <row r="20" spans="1:8" ht="15.75" thickTop="1">
      <c r="A20" s="333" t="s">
        <v>230</v>
      </c>
      <c r="B20" s="334"/>
      <c r="C20" s="334"/>
      <c r="D20" s="334"/>
      <c r="E20" s="334"/>
      <c r="F20" s="334"/>
      <c r="G20" s="334"/>
      <c r="H20" s="335"/>
    </row>
    <row r="21" spans="1:8" ht="15.75" thickBot="1">
      <c r="A21" s="336"/>
      <c r="B21" s="337"/>
      <c r="C21" s="337"/>
      <c r="D21" s="337"/>
      <c r="E21" s="337"/>
      <c r="F21" s="337"/>
      <c r="G21" s="337"/>
      <c r="H21" s="338"/>
    </row>
    <row r="22" spans="1:8" ht="15.75" thickTop="1">
      <c r="A22" s="240" t="s">
        <v>207</v>
      </c>
      <c r="B22" s="241" t="s">
        <v>207</v>
      </c>
      <c r="C22" s="241" t="s">
        <v>207</v>
      </c>
      <c r="D22" s="241" t="s">
        <v>207</v>
      </c>
      <c r="E22" s="241" t="s">
        <v>207</v>
      </c>
      <c r="F22" s="241" t="s">
        <v>231</v>
      </c>
      <c r="G22" s="242" t="s">
        <v>231</v>
      </c>
      <c r="H22" s="243" t="s">
        <v>232</v>
      </c>
    </row>
    <row r="23" spans="1:8" ht="15.75" thickBot="1">
      <c r="A23" s="244" t="s">
        <v>233</v>
      </c>
      <c r="B23" s="245" t="s">
        <v>234</v>
      </c>
      <c r="C23" s="245" t="s">
        <v>235</v>
      </c>
      <c r="D23" s="245" t="s">
        <v>232</v>
      </c>
      <c r="E23" s="245" t="s">
        <v>236</v>
      </c>
      <c r="F23" s="245" t="s">
        <v>237</v>
      </c>
      <c r="G23" s="246" t="s">
        <v>238</v>
      </c>
      <c r="H23" s="247" t="s">
        <v>239</v>
      </c>
    </row>
    <row r="24" spans="1:8">
      <c r="A24" s="248">
        <v>0</v>
      </c>
      <c r="B24" s="249" t="s">
        <v>207</v>
      </c>
      <c r="C24" s="250" t="s">
        <v>207</v>
      </c>
      <c r="D24" s="251" t="s">
        <v>207</v>
      </c>
      <c r="E24" s="252" t="s">
        <v>207</v>
      </c>
      <c r="F24" s="253">
        <v>5000000</v>
      </c>
      <c r="G24" s="254" t="s">
        <v>207</v>
      </c>
      <c r="H24" s="255" t="s">
        <v>207</v>
      </c>
    </row>
    <row r="25" spans="1:8">
      <c r="A25" s="248">
        <v>1</v>
      </c>
      <c r="B25" s="249">
        <v>2028</v>
      </c>
      <c r="C25" s="253">
        <v>818154.77</v>
      </c>
      <c r="D25" s="256">
        <v>185106.71</v>
      </c>
      <c r="E25" s="257">
        <v>633048.06000000006</v>
      </c>
      <c r="F25" s="253">
        <v>4366951.9400000004</v>
      </c>
      <c r="G25" s="258">
        <v>633048.06000000006</v>
      </c>
      <c r="H25" s="259">
        <v>185106.71</v>
      </c>
    </row>
    <row r="26" spans="1:8">
      <c r="A26" s="248">
        <v>2</v>
      </c>
      <c r="B26" s="249">
        <v>2029</v>
      </c>
      <c r="C26" s="253">
        <v>818154.77</v>
      </c>
      <c r="D26" s="256">
        <v>159784.79</v>
      </c>
      <c r="E26" s="257">
        <v>658369.98</v>
      </c>
      <c r="F26" s="253">
        <v>3708581.96</v>
      </c>
      <c r="G26" s="260">
        <v>1291418.04</v>
      </c>
      <c r="H26" s="261">
        <v>344891.5</v>
      </c>
    </row>
    <row r="27" spans="1:8">
      <c r="A27" s="248">
        <v>3</v>
      </c>
      <c r="B27" s="249">
        <v>2030</v>
      </c>
      <c r="C27" s="253">
        <v>818154.77</v>
      </c>
      <c r="D27" s="256">
        <v>133449.99</v>
      </c>
      <c r="E27" s="257">
        <v>684704.78</v>
      </c>
      <c r="F27" s="253">
        <v>3023877.18</v>
      </c>
      <c r="G27" s="262">
        <v>1976122.82</v>
      </c>
      <c r="H27" s="263">
        <v>478341.49</v>
      </c>
    </row>
    <row r="28" spans="1:8">
      <c r="A28" s="248">
        <v>4</v>
      </c>
      <c r="B28" s="249">
        <v>2031</v>
      </c>
      <c r="C28" s="253">
        <v>818154.77</v>
      </c>
      <c r="D28" s="256">
        <v>106061.8</v>
      </c>
      <c r="E28" s="257">
        <v>712092.97</v>
      </c>
      <c r="F28" s="253">
        <v>2311784.2000000002</v>
      </c>
      <c r="G28" s="262">
        <v>2688215.8</v>
      </c>
      <c r="H28" s="263">
        <v>584403.29</v>
      </c>
    </row>
    <row r="29" spans="1:8">
      <c r="A29" s="248">
        <v>5</v>
      </c>
      <c r="B29" s="249">
        <v>2032</v>
      </c>
      <c r="C29" s="253">
        <v>818154.77</v>
      </c>
      <c r="D29" s="256">
        <v>77578.080000000002</v>
      </c>
      <c r="E29" s="257">
        <v>740576.69</v>
      </c>
      <c r="F29" s="253">
        <v>1571207.51</v>
      </c>
      <c r="G29" s="262">
        <v>3428792.49</v>
      </c>
      <c r="H29" s="263">
        <v>661981.37</v>
      </c>
    </row>
    <row r="30" spans="1:8">
      <c r="A30" s="248">
        <v>6</v>
      </c>
      <c r="B30" s="249">
        <v>2033</v>
      </c>
      <c r="C30" s="253">
        <v>818154.77</v>
      </c>
      <c r="D30" s="256">
        <v>47955.01</v>
      </c>
      <c r="E30" s="257">
        <v>770199.76</v>
      </c>
      <c r="F30" s="253">
        <v>801007.75</v>
      </c>
      <c r="G30" s="262">
        <v>4198992.25</v>
      </c>
      <c r="H30" s="263">
        <v>709936.39</v>
      </c>
    </row>
    <row r="31" spans="1:8" ht="15.75" thickBot="1">
      <c r="A31" s="264">
        <v>7</v>
      </c>
      <c r="B31" s="249">
        <v>2034</v>
      </c>
      <c r="C31" s="266">
        <v>818154.77</v>
      </c>
      <c r="D31" s="268">
        <v>17147.02</v>
      </c>
      <c r="E31" s="269">
        <v>801007.75</v>
      </c>
      <c r="F31" s="265">
        <v>0</v>
      </c>
      <c r="G31" s="258">
        <v>5000000</v>
      </c>
      <c r="H31" s="259">
        <v>727083.41</v>
      </c>
    </row>
    <row r="32" spans="1:8" ht="16.5" thickTop="1" thickBot="1">
      <c r="A32" s="339" t="s">
        <v>48</v>
      </c>
      <c r="B32" s="340"/>
      <c r="C32" s="270">
        <v>5727083.4100000001</v>
      </c>
      <c r="D32" s="271">
        <v>727083.41</v>
      </c>
      <c r="E32" s="272">
        <v>5000000</v>
      </c>
      <c r="F32" s="273" t="s">
        <v>207</v>
      </c>
      <c r="G32" s="273" t="s">
        <v>207</v>
      </c>
      <c r="H32" s="273" t="s">
        <v>207</v>
      </c>
    </row>
    <row r="33" spans="1:8" ht="15.75" thickTop="1">
      <c r="A33" s="194"/>
      <c r="B33" s="194"/>
      <c r="C33" s="194"/>
      <c r="D33" s="194"/>
      <c r="E33" s="194"/>
      <c r="F33" s="194"/>
      <c r="G33" s="194"/>
      <c r="H33" s="194"/>
    </row>
    <row r="34" spans="1:8" ht="15.75" thickBot="1">
      <c r="A34" s="194"/>
      <c r="B34" s="194"/>
      <c r="C34" s="194"/>
      <c r="D34" s="194"/>
      <c r="E34" s="194"/>
      <c r="F34" s="194"/>
      <c r="G34" s="194"/>
      <c r="H34" s="194"/>
    </row>
    <row r="35" spans="1:8" ht="15.75" thickTop="1">
      <c r="A35" s="240" t="s">
        <v>207</v>
      </c>
      <c r="B35" s="241" t="s">
        <v>240</v>
      </c>
      <c r="C35" s="241" t="s">
        <v>207</v>
      </c>
      <c r="D35" s="241" t="s">
        <v>207</v>
      </c>
      <c r="E35" s="241" t="s">
        <v>207</v>
      </c>
      <c r="F35" s="241" t="s">
        <v>231</v>
      </c>
      <c r="G35" s="242" t="s">
        <v>231</v>
      </c>
      <c r="H35" s="243" t="s">
        <v>232</v>
      </c>
    </row>
    <row r="36" spans="1:8" ht="15.75" thickBot="1">
      <c r="A36" s="244" t="s">
        <v>233</v>
      </c>
      <c r="B36" s="245" t="s">
        <v>241</v>
      </c>
      <c r="C36" s="245" t="s">
        <v>242</v>
      </c>
      <c r="D36" s="245" t="s">
        <v>232</v>
      </c>
      <c r="E36" s="245" t="s">
        <v>236</v>
      </c>
      <c r="F36" s="245" t="s">
        <v>237</v>
      </c>
      <c r="G36" s="246" t="s">
        <v>238</v>
      </c>
      <c r="H36" s="247" t="s">
        <v>239</v>
      </c>
    </row>
    <row r="37" spans="1:8">
      <c r="A37" s="274">
        <v>0</v>
      </c>
      <c r="B37" s="275" t="s">
        <v>207</v>
      </c>
      <c r="C37" s="250" t="s">
        <v>207</v>
      </c>
      <c r="D37" s="251" t="s">
        <v>207</v>
      </c>
      <c r="E37" s="252" t="s">
        <v>207</v>
      </c>
      <c r="F37" s="253">
        <v>5000000</v>
      </c>
      <c r="G37" s="254" t="s">
        <v>207</v>
      </c>
      <c r="H37" s="255" t="s">
        <v>207</v>
      </c>
    </row>
    <row r="38" spans="1:8">
      <c r="A38" s="276">
        <v>1</v>
      </c>
      <c r="B38" s="277" t="s">
        <v>214</v>
      </c>
      <c r="C38" s="266">
        <v>68179.56</v>
      </c>
      <c r="D38" s="268">
        <v>16368.7</v>
      </c>
      <c r="E38" s="269">
        <v>51810.87</v>
      </c>
      <c r="F38" s="266">
        <v>4948189.13</v>
      </c>
      <c r="G38" s="258">
        <v>51810.87</v>
      </c>
      <c r="H38" s="259">
        <v>16368.7</v>
      </c>
    </row>
    <row r="39" spans="1:8">
      <c r="A39" s="276">
        <v>2</v>
      </c>
      <c r="B39" s="277" t="s">
        <v>243</v>
      </c>
      <c r="C39" s="266">
        <v>68179.56</v>
      </c>
      <c r="D39" s="268">
        <v>16199.08</v>
      </c>
      <c r="E39" s="269">
        <v>51980.480000000003</v>
      </c>
      <c r="F39" s="266">
        <v>4896208.6500000004</v>
      </c>
      <c r="G39" s="258">
        <v>103791.35</v>
      </c>
      <c r="H39" s="259">
        <v>32567.78</v>
      </c>
    </row>
    <row r="40" spans="1:8">
      <c r="A40" s="276">
        <v>3</v>
      </c>
      <c r="B40" s="277" t="s">
        <v>244</v>
      </c>
      <c r="C40" s="266">
        <v>68179.56</v>
      </c>
      <c r="D40" s="268">
        <v>16028.91</v>
      </c>
      <c r="E40" s="269">
        <v>52150.65</v>
      </c>
      <c r="F40" s="266">
        <v>4844058</v>
      </c>
      <c r="G40" s="258">
        <v>155942</v>
      </c>
      <c r="H40" s="259">
        <v>48596.7</v>
      </c>
    </row>
    <row r="41" spans="1:8">
      <c r="A41" s="276">
        <v>4</v>
      </c>
      <c r="B41" s="277" t="s">
        <v>245</v>
      </c>
      <c r="C41" s="266">
        <v>68179.56</v>
      </c>
      <c r="D41" s="268">
        <v>15858.19</v>
      </c>
      <c r="E41" s="269">
        <v>52321.38</v>
      </c>
      <c r="F41" s="266">
        <v>4791736.62</v>
      </c>
      <c r="G41" s="258">
        <v>208263.38</v>
      </c>
      <c r="H41" s="259">
        <v>64454.879999999997</v>
      </c>
    </row>
    <row r="42" spans="1:8">
      <c r="A42" s="276">
        <v>5</v>
      </c>
      <c r="B42" s="277" t="s">
        <v>246</v>
      </c>
      <c r="C42" s="266">
        <v>68179.56</v>
      </c>
      <c r="D42" s="268">
        <v>15686.9</v>
      </c>
      <c r="E42" s="269">
        <v>52492.67</v>
      </c>
      <c r="F42" s="266">
        <v>4739243.96</v>
      </c>
      <c r="G42" s="258">
        <v>260756.04</v>
      </c>
      <c r="H42" s="259">
        <v>80141.78</v>
      </c>
    </row>
    <row r="43" spans="1:8">
      <c r="A43" s="276">
        <v>6</v>
      </c>
      <c r="B43" s="277" t="s">
        <v>247</v>
      </c>
      <c r="C43" s="266">
        <v>68179.56</v>
      </c>
      <c r="D43" s="268">
        <v>15515.05</v>
      </c>
      <c r="E43" s="269">
        <v>52664.51</v>
      </c>
      <c r="F43" s="266">
        <v>4686579.4400000004</v>
      </c>
      <c r="G43" s="258">
        <v>313420.56</v>
      </c>
      <c r="H43" s="259">
        <v>95656.83</v>
      </c>
    </row>
    <row r="44" spans="1:8">
      <c r="A44" s="276">
        <v>7</v>
      </c>
      <c r="B44" s="277" t="s">
        <v>248</v>
      </c>
      <c r="C44" s="266">
        <v>68179.56</v>
      </c>
      <c r="D44" s="268">
        <v>15342.64</v>
      </c>
      <c r="E44" s="269">
        <v>52836.92</v>
      </c>
      <c r="F44" s="266">
        <v>4633742.5199999996</v>
      </c>
      <c r="G44" s="258">
        <v>366257.48</v>
      </c>
      <c r="H44" s="259">
        <v>110999.47</v>
      </c>
    </row>
    <row r="45" spans="1:8">
      <c r="A45" s="276">
        <v>8</v>
      </c>
      <c r="B45" s="277" t="s">
        <v>249</v>
      </c>
      <c r="C45" s="266">
        <v>68179.56</v>
      </c>
      <c r="D45" s="268">
        <v>15169.67</v>
      </c>
      <c r="E45" s="269">
        <v>53009.9</v>
      </c>
      <c r="F45" s="266">
        <v>4580732.63</v>
      </c>
      <c r="G45" s="258">
        <v>419267.37</v>
      </c>
      <c r="H45" s="259">
        <v>126169.14</v>
      </c>
    </row>
    <row r="46" spans="1:8">
      <c r="A46" s="276">
        <v>9</v>
      </c>
      <c r="B46" s="277" t="s">
        <v>250</v>
      </c>
      <c r="C46" s="266">
        <v>68179.56</v>
      </c>
      <c r="D46" s="268">
        <v>14996.13</v>
      </c>
      <c r="E46" s="269">
        <v>53183.44</v>
      </c>
      <c r="F46" s="266">
        <v>4527549.1900000004</v>
      </c>
      <c r="G46" s="258">
        <v>472450.81</v>
      </c>
      <c r="H46" s="259">
        <v>141165.26999999999</v>
      </c>
    </row>
    <row r="47" spans="1:8">
      <c r="A47" s="276">
        <v>10</v>
      </c>
      <c r="B47" s="277" t="s">
        <v>251</v>
      </c>
      <c r="C47" s="266">
        <v>68179.56</v>
      </c>
      <c r="D47" s="268">
        <v>14822.02</v>
      </c>
      <c r="E47" s="269">
        <v>53357.55</v>
      </c>
      <c r="F47" s="266">
        <v>4474191.6399999997</v>
      </c>
      <c r="G47" s="258">
        <v>525808.36</v>
      </c>
      <c r="H47" s="259">
        <v>155987.28</v>
      </c>
    </row>
    <row r="48" spans="1:8">
      <c r="A48" s="276">
        <v>11</v>
      </c>
      <c r="B48" s="277" t="s">
        <v>252</v>
      </c>
      <c r="C48" s="266">
        <v>68179.56</v>
      </c>
      <c r="D48" s="268">
        <v>14647.34</v>
      </c>
      <c r="E48" s="269">
        <v>53532.23</v>
      </c>
      <c r="F48" s="266">
        <v>4420659.42</v>
      </c>
      <c r="G48" s="258">
        <v>579340.57999999996</v>
      </c>
      <c r="H48" s="259">
        <v>170634.62</v>
      </c>
    </row>
    <row r="49" spans="1:8">
      <c r="A49" s="274">
        <v>12</v>
      </c>
      <c r="B49" s="275" t="s">
        <v>253</v>
      </c>
      <c r="C49" s="253">
        <v>68179.56</v>
      </c>
      <c r="D49" s="256">
        <v>14472.09</v>
      </c>
      <c r="E49" s="257">
        <v>53707.48</v>
      </c>
      <c r="F49" s="253">
        <v>4366951.9400000004</v>
      </c>
      <c r="G49" s="262">
        <v>633048.06000000006</v>
      </c>
      <c r="H49" s="263">
        <v>185106.71</v>
      </c>
    </row>
    <row r="50" spans="1:8">
      <c r="A50" s="276">
        <v>13</v>
      </c>
      <c r="B50" s="277" t="s">
        <v>254</v>
      </c>
      <c r="C50" s="266">
        <v>68179.56</v>
      </c>
      <c r="D50" s="268">
        <v>14296.26</v>
      </c>
      <c r="E50" s="269">
        <v>53883.3</v>
      </c>
      <c r="F50" s="266">
        <v>4313068.6399999997</v>
      </c>
      <c r="G50" s="258">
        <v>686931.36</v>
      </c>
      <c r="H50" s="259">
        <v>199402.98</v>
      </c>
    </row>
    <row r="51" spans="1:8">
      <c r="A51" s="276">
        <v>14</v>
      </c>
      <c r="B51" s="277" t="s">
        <v>255</v>
      </c>
      <c r="C51" s="266">
        <v>68179.56</v>
      </c>
      <c r="D51" s="268">
        <v>14119.86</v>
      </c>
      <c r="E51" s="269">
        <v>54059.7</v>
      </c>
      <c r="F51" s="266">
        <v>4259008.9400000004</v>
      </c>
      <c r="G51" s="258">
        <v>740991.06</v>
      </c>
      <c r="H51" s="259">
        <v>213522.84</v>
      </c>
    </row>
    <row r="52" spans="1:8">
      <c r="A52" s="276">
        <v>15</v>
      </c>
      <c r="B52" s="277" t="s">
        <v>256</v>
      </c>
      <c r="C52" s="266">
        <v>68179.56</v>
      </c>
      <c r="D52" s="268">
        <v>13942.89</v>
      </c>
      <c r="E52" s="269">
        <v>54236.68</v>
      </c>
      <c r="F52" s="266">
        <v>4204772.26</v>
      </c>
      <c r="G52" s="258">
        <v>795227.74</v>
      </c>
      <c r="H52" s="259">
        <v>227465.73</v>
      </c>
    </row>
    <row r="53" spans="1:8">
      <c r="A53" s="276">
        <v>16</v>
      </c>
      <c r="B53" s="277" t="s">
        <v>257</v>
      </c>
      <c r="C53" s="266">
        <v>68179.56</v>
      </c>
      <c r="D53" s="268">
        <v>13765.33</v>
      </c>
      <c r="E53" s="269">
        <v>54414.23</v>
      </c>
      <c r="F53" s="266">
        <v>4150358.03</v>
      </c>
      <c r="G53" s="258">
        <v>849641.97</v>
      </c>
      <c r="H53" s="259">
        <v>241231.06</v>
      </c>
    </row>
    <row r="54" spans="1:8">
      <c r="A54" s="276">
        <v>17</v>
      </c>
      <c r="B54" s="277" t="s">
        <v>258</v>
      </c>
      <c r="C54" s="266">
        <v>68179.56</v>
      </c>
      <c r="D54" s="268">
        <v>13587.19</v>
      </c>
      <c r="E54" s="269">
        <v>54592.37</v>
      </c>
      <c r="F54" s="266">
        <v>4095765.66</v>
      </c>
      <c r="G54" s="258">
        <v>904234.34</v>
      </c>
      <c r="H54" s="259">
        <v>254818.25</v>
      </c>
    </row>
    <row r="55" spans="1:8">
      <c r="A55" s="276">
        <v>18</v>
      </c>
      <c r="B55" s="277" t="s">
        <v>259</v>
      </c>
      <c r="C55" s="266">
        <v>68179.56</v>
      </c>
      <c r="D55" s="268">
        <v>13408.47</v>
      </c>
      <c r="E55" s="269">
        <v>54771.09</v>
      </c>
      <c r="F55" s="266">
        <v>4040994.56</v>
      </c>
      <c r="G55" s="258">
        <v>959005.44</v>
      </c>
      <c r="H55" s="259">
        <v>268226.71999999997</v>
      </c>
    </row>
    <row r="56" spans="1:8">
      <c r="A56" s="276">
        <v>19</v>
      </c>
      <c r="B56" s="277" t="s">
        <v>260</v>
      </c>
      <c r="C56" s="266">
        <v>68179.56</v>
      </c>
      <c r="D56" s="268">
        <v>13229.16</v>
      </c>
      <c r="E56" s="269">
        <v>54950.400000000001</v>
      </c>
      <c r="F56" s="266">
        <v>3986044.16</v>
      </c>
      <c r="G56" s="258">
        <v>1013955.84</v>
      </c>
      <c r="H56" s="259">
        <v>281455.89</v>
      </c>
    </row>
    <row r="57" spans="1:8">
      <c r="A57" s="276">
        <v>20</v>
      </c>
      <c r="B57" s="277" t="s">
        <v>261</v>
      </c>
      <c r="C57" s="266">
        <v>68179.56</v>
      </c>
      <c r="D57" s="268">
        <v>13049.27</v>
      </c>
      <c r="E57" s="269">
        <v>55130.29</v>
      </c>
      <c r="F57" s="266">
        <v>3930913.87</v>
      </c>
      <c r="G57" s="258">
        <v>1069086.1299999999</v>
      </c>
      <c r="H57" s="259">
        <v>294505.15999999997</v>
      </c>
    </row>
    <row r="58" spans="1:8">
      <c r="A58" s="276">
        <v>21</v>
      </c>
      <c r="B58" s="277" t="s">
        <v>262</v>
      </c>
      <c r="C58" s="266">
        <v>68179.56</v>
      </c>
      <c r="D58" s="268">
        <v>12868.79</v>
      </c>
      <c r="E58" s="269">
        <v>55310.78</v>
      </c>
      <c r="F58" s="266">
        <v>3875603.09</v>
      </c>
      <c r="G58" s="258">
        <v>1124396.9099999999</v>
      </c>
      <c r="H58" s="259">
        <v>307373.95</v>
      </c>
    </row>
    <row r="59" spans="1:8">
      <c r="A59" s="276">
        <v>22</v>
      </c>
      <c r="B59" s="277" t="s">
        <v>263</v>
      </c>
      <c r="C59" s="266">
        <v>68179.56</v>
      </c>
      <c r="D59" s="268">
        <v>12687.72</v>
      </c>
      <c r="E59" s="269">
        <v>55491.85</v>
      </c>
      <c r="F59" s="266">
        <v>3820111.25</v>
      </c>
      <c r="G59" s="258">
        <v>1179888.75</v>
      </c>
      <c r="H59" s="259">
        <v>320061.65999999997</v>
      </c>
    </row>
    <row r="60" spans="1:8">
      <c r="A60" s="276">
        <v>23</v>
      </c>
      <c r="B60" s="277" t="s">
        <v>264</v>
      </c>
      <c r="C60" s="266">
        <v>68179.56</v>
      </c>
      <c r="D60" s="268">
        <v>12506.05</v>
      </c>
      <c r="E60" s="269">
        <v>55673.51</v>
      </c>
      <c r="F60" s="266">
        <v>3764437.73</v>
      </c>
      <c r="G60" s="258">
        <v>1235562.27</v>
      </c>
      <c r="H60" s="259">
        <v>332567.71000000002</v>
      </c>
    </row>
    <row r="61" spans="1:8">
      <c r="A61" s="274">
        <v>24</v>
      </c>
      <c r="B61" s="275" t="s">
        <v>265</v>
      </c>
      <c r="C61" s="253">
        <v>68179.56</v>
      </c>
      <c r="D61" s="256">
        <v>12323.79</v>
      </c>
      <c r="E61" s="257">
        <v>55855.77</v>
      </c>
      <c r="F61" s="253">
        <v>3708581.96</v>
      </c>
      <c r="G61" s="262">
        <v>1291418.04</v>
      </c>
      <c r="H61" s="263">
        <v>344891.5</v>
      </c>
    </row>
    <row r="62" spans="1:8">
      <c r="A62" s="276">
        <v>25</v>
      </c>
      <c r="B62" s="277" t="s">
        <v>266</v>
      </c>
      <c r="C62" s="266">
        <v>68179.56</v>
      </c>
      <c r="D62" s="268">
        <v>12140.93</v>
      </c>
      <c r="E62" s="269">
        <v>56038.63</v>
      </c>
      <c r="F62" s="266">
        <v>3652543.33</v>
      </c>
      <c r="G62" s="258">
        <v>1347456.67</v>
      </c>
      <c r="H62" s="259">
        <v>357032.43</v>
      </c>
    </row>
    <row r="63" spans="1:8">
      <c r="A63" s="276">
        <v>26</v>
      </c>
      <c r="B63" s="277" t="s">
        <v>267</v>
      </c>
      <c r="C63" s="266">
        <v>68179.56</v>
      </c>
      <c r="D63" s="268">
        <v>11957.48</v>
      </c>
      <c r="E63" s="269">
        <v>56222.09</v>
      </c>
      <c r="F63" s="266">
        <v>3596321.24</v>
      </c>
      <c r="G63" s="258">
        <v>1403678.76</v>
      </c>
      <c r="H63" s="259">
        <v>368989.91</v>
      </c>
    </row>
    <row r="64" spans="1:8">
      <c r="A64" s="276">
        <v>27</v>
      </c>
      <c r="B64" s="277" t="s">
        <v>268</v>
      </c>
      <c r="C64" s="266">
        <v>68179.56</v>
      </c>
      <c r="D64" s="268">
        <v>11773.42</v>
      </c>
      <c r="E64" s="269">
        <v>56406.14</v>
      </c>
      <c r="F64" s="266">
        <v>3539915.09</v>
      </c>
      <c r="G64" s="258">
        <v>1460084.91</v>
      </c>
      <c r="H64" s="259">
        <v>380763.33</v>
      </c>
    </row>
    <row r="65" spans="1:8">
      <c r="A65" s="276">
        <v>28</v>
      </c>
      <c r="B65" s="277" t="s">
        <v>269</v>
      </c>
      <c r="C65" s="266">
        <v>68179.56</v>
      </c>
      <c r="D65" s="268">
        <v>11588.76</v>
      </c>
      <c r="E65" s="269">
        <v>56590.8</v>
      </c>
      <c r="F65" s="266">
        <v>3483324.29</v>
      </c>
      <c r="G65" s="258">
        <v>1516675.71</v>
      </c>
      <c r="H65" s="259">
        <v>392352.09</v>
      </c>
    </row>
    <row r="66" spans="1:8">
      <c r="A66" s="276">
        <v>29</v>
      </c>
      <c r="B66" s="277" t="s">
        <v>270</v>
      </c>
      <c r="C66" s="266">
        <v>68179.56</v>
      </c>
      <c r="D66" s="268">
        <v>11403.5</v>
      </c>
      <c r="E66" s="269">
        <v>56776.07</v>
      </c>
      <c r="F66" s="266">
        <v>3426548.22</v>
      </c>
      <c r="G66" s="258">
        <v>1573451.78</v>
      </c>
      <c r="H66" s="259">
        <v>403755.59</v>
      </c>
    </row>
    <row r="67" spans="1:8">
      <c r="A67" s="276">
        <v>30</v>
      </c>
      <c r="B67" s="277" t="s">
        <v>271</v>
      </c>
      <c r="C67" s="266">
        <v>68179.56</v>
      </c>
      <c r="D67" s="268">
        <v>11217.63</v>
      </c>
      <c r="E67" s="269">
        <v>56961.94</v>
      </c>
      <c r="F67" s="266">
        <v>3369586.28</v>
      </c>
      <c r="G67" s="258">
        <v>1630413.72</v>
      </c>
      <c r="H67" s="259">
        <v>414973.22</v>
      </c>
    </row>
    <row r="68" spans="1:8">
      <c r="A68" s="276">
        <v>31</v>
      </c>
      <c r="B68" s="277" t="s">
        <v>272</v>
      </c>
      <c r="C68" s="266">
        <v>68179.56</v>
      </c>
      <c r="D68" s="268">
        <v>11031.15</v>
      </c>
      <c r="E68" s="269">
        <v>57148.42</v>
      </c>
      <c r="F68" s="266">
        <v>3312437.87</v>
      </c>
      <c r="G68" s="258">
        <v>1687562.13</v>
      </c>
      <c r="H68" s="259">
        <v>426004.36</v>
      </c>
    </row>
    <row r="69" spans="1:8">
      <c r="A69" s="276">
        <v>32</v>
      </c>
      <c r="B69" s="277" t="s">
        <v>273</v>
      </c>
      <c r="C69" s="266">
        <v>68179.56</v>
      </c>
      <c r="D69" s="268">
        <v>10844.06</v>
      </c>
      <c r="E69" s="269">
        <v>57335.5</v>
      </c>
      <c r="F69" s="266">
        <v>3255102.36</v>
      </c>
      <c r="G69" s="258">
        <v>1744897.64</v>
      </c>
      <c r="H69" s="259">
        <v>436848.42</v>
      </c>
    </row>
    <row r="70" spans="1:8">
      <c r="A70" s="276">
        <v>33</v>
      </c>
      <c r="B70" s="277" t="s">
        <v>274</v>
      </c>
      <c r="C70" s="266">
        <v>68179.56</v>
      </c>
      <c r="D70" s="268">
        <v>10656.36</v>
      </c>
      <c r="E70" s="269">
        <v>57523.21</v>
      </c>
      <c r="F70" s="266">
        <v>3197579.16</v>
      </c>
      <c r="G70" s="258">
        <v>1802420.84</v>
      </c>
      <c r="H70" s="259">
        <v>447504.78</v>
      </c>
    </row>
    <row r="71" spans="1:8">
      <c r="A71" s="276">
        <v>34</v>
      </c>
      <c r="B71" s="277" t="s">
        <v>275</v>
      </c>
      <c r="C71" s="266">
        <v>68179.56</v>
      </c>
      <c r="D71" s="268">
        <v>10468.040000000001</v>
      </c>
      <c r="E71" s="269">
        <v>57711.519999999997</v>
      </c>
      <c r="F71" s="266">
        <v>3139867.64</v>
      </c>
      <c r="G71" s="258">
        <v>1860132.36</v>
      </c>
      <c r="H71" s="259">
        <v>457972.82</v>
      </c>
    </row>
    <row r="72" spans="1:8">
      <c r="A72" s="276">
        <v>35</v>
      </c>
      <c r="B72" s="277" t="s">
        <v>276</v>
      </c>
      <c r="C72" s="266">
        <v>68179.56</v>
      </c>
      <c r="D72" s="268">
        <v>10279.11</v>
      </c>
      <c r="E72" s="269">
        <v>57900.45</v>
      </c>
      <c r="F72" s="266">
        <v>3081967.18</v>
      </c>
      <c r="G72" s="258">
        <v>1918032.82</v>
      </c>
      <c r="H72" s="259">
        <v>468251.93</v>
      </c>
    </row>
    <row r="73" spans="1:8">
      <c r="A73" s="274">
        <v>36</v>
      </c>
      <c r="B73" s="275" t="s">
        <v>277</v>
      </c>
      <c r="C73" s="253">
        <v>68179.56</v>
      </c>
      <c r="D73" s="256">
        <v>10089.56</v>
      </c>
      <c r="E73" s="257">
        <v>58090.01</v>
      </c>
      <c r="F73" s="253">
        <v>3023877.18</v>
      </c>
      <c r="G73" s="262">
        <v>1976122.82</v>
      </c>
      <c r="H73" s="263">
        <v>478341.49</v>
      </c>
    </row>
    <row r="74" spans="1:8">
      <c r="A74" s="276">
        <v>37</v>
      </c>
      <c r="B74" s="277" t="s">
        <v>278</v>
      </c>
      <c r="C74" s="266">
        <v>68179.56</v>
      </c>
      <c r="D74" s="268">
        <v>9899.39</v>
      </c>
      <c r="E74" s="269">
        <v>58280.18</v>
      </c>
      <c r="F74" s="266">
        <v>2965597</v>
      </c>
      <c r="G74" s="258">
        <v>2034403</v>
      </c>
      <c r="H74" s="259">
        <v>488240.88</v>
      </c>
    </row>
    <row r="75" spans="1:8">
      <c r="A75" s="276">
        <v>38</v>
      </c>
      <c r="B75" s="277" t="s">
        <v>279</v>
      </c>
      <c r="C75" s="266">
        <v>68179.56</v>
      </c>
      <c r="D75" s="268">
        <v>9708.59</v>
      </c>
      <c r="E75" s="269">
        <v>58470.97</v>
      </c>
      <c r="F75" s="266">
        <v>2907126.03</v>
      </c>
      <c r="G75" s="258">
        <v>2092873.97</v>
      </c>
      <c r="H75" s="259">
        <v>497949.47</v>
      </c>
    </row>
    <row r="76" spans="1:8">
      <c r="A76" s="276">
        <v>39</v>
      </c>
      <c r="B76" s="277" t="s">
        <v>280</v>
      </c>
      <c r="C76" s="266">
        <v>68179.56</v>
      </c>
      <c r="D76" s="268">
        <v>9517.17</v>
      </c>
      <c r="E76" s="269">
        <v>58662.39</v>
      </c>
      <c r="F76" s="266">
        <v>2848463.64</v>
      </c>
      <c r="G76" s="258">
        <v>2151536.36</v>
      </c>
      <c r="H76" s="259">
        <v>507466.65</v>
      </c>
    </row>
    <row r="77" spans="1:8">
      <c r="A77" s="276">
        <v>40</v>
      </c>
      <c r="B77" s="277" t="s">
        <v>281</v>
      </c>
      <c r="C77" s="266">
        <v>68179.56</v>
      </c>
      <c r="D77" s="268">
        <v>9325.1299999999992</v>
      </c>
      <c r="E77" s="269">
        <v>58854.44</v>
      </c>
      <c r="F77" s="266">
        <v>2789609.2</v>
      </c>
      <c r="G77" s="258">
        <v>2210390.7999999998</v>
      </c>
      <c r="H77" s="259">
        <v>516791.78</v>
      </c>
    </row>
    <row r="78" spans="1:8">
      <c r="A78" s="276">
        <v>41</v>
      </c>
      <c r="B78" s="277" t="s">
        <v>282</v>
      </c>
      <c r="C78" s="266">
        <v>68179.56</v>
      </c>
      <c r="D78" s="268">
        <v>9132.4500000000007</v>
      </c>
      <c r="E78" s="269">
        <v>59047.11</v>
      </c>
      <c r="F78" s="266">
        <v>2730562.09</v>
      </c>
      <c r="G78" s="258">
        <v>2269437.91</v>
      </c>
      <c r="H78" s="259">
        <v>525924.23</v>
      </c>
    </row>
    <row r="79" spans="1:8">
      <c r="A79" s="276">
        <v>42</v>
      </c>
      <c r="B79" s="277" t="s">
        <v>283</v>
      </c>
      <c r="C79" s="266">
        <v>68179.56</v>
      </c>
      <c r="D79" s="268">
        <v>8939.15</v>
      </c>
      <c r="E79" s="269">
        <v>59240.41</v>
      </c>
      <c r="F79" s="266">
        <v>2671321.6800000002</v>
      </c>
      <c r="G79" s="258">
        <v>2328678.3199999998</v>
      </c>
      <c r="H79" s="259">
        <v>534863.38</v>
      </c>
    </row>
    <row r="80" spans="1:8">
      <c r="A80" s="276">
        <v>43</v>
      </c>
      <c r="B80" s="277" t="s">
        <v>284</v>
      </c>
      <c r="C80" s="266">
        <v>68179.56</v>
      </c>
      <c r="D80" s="268">
        <v>8745.2099999999991</v>
      </c>
      <c r="E80" s="269">
        <v>59434.35</v>
      </c>
      <c r="F80" s="266">
        <v>2611887.3199999998</v>
      </c>
      <c r="G80" s="258">
        <v>2388112.6800000002</v>
      </c>
      <c r="H80" s="259">
        <v>543608.59</v>
      </c>
    </row>
    <row r="81" spans="1:8">
      <c r="A81" s="276">
        <v>44</v>
      </c>
      <c r="B81" s="277" t="s">
        <v>285</v>
      </c>
      <c r="C81" s="266">
        <v>68179.56</v>
      </c>
      <c r="D81" s="268">
        <v>8550.64</v>
      </c>
      <c r="E81" s="269">
        <v>59628.92</v>
      </c>
      <c r="F81" s="266">
        <v>2552258.4</v>
      </c>
      <c r="G81" s="258">
        <v>2447741.6</v>
      </c>
      <c r="H81" s="259">
        <v>552159.23</v>
      </c>
    </row>
    <row r="82" spans="1:8">
      <c r="A82" s="276">
        <v>45</v>
      </c>
      <c r="B82" s="277" t="s">
        <v>286</v>
      </c>
      <c r="C82" s="266">
        <v>68179.56</v>
      </c>
      <c r="D82" s="268">
        <v>8355.43</v>
      </c>
      <c r="E82" s="269">
        <v>59824.13</v>
      </c>
      <c r="F82" s="266">
        <v>2492434.2599999998</v>
      </c>
      <c r="G82" s="258">
        <v>2507565.7400000002</v>
      </c>
      <c r="H82" s="259">
        <v>560514.66</v>
      </c>
    </row>
    <row r="83" spans="1:8">
      <c r="A83" s="276">
        <v>46</v>
      </c>
      <c r="B83" s="277" t="s">
        <v>287</v>
      </c>
      <c r="C83" s="266">
        <v>68179.56</v>
      </c>
      <c r="D83" s="268">
        <v>8159.58</v>
      </c>
      <c r="E83" s="269">
        <v>60019.98</v>
      </c>
      <c r="F83" s="266">
        <v>2432414.2799999998</v>
      </c>
      <c r="G83" s="258">
        <v>2567585.7200000002</v>
      </c>
      <c r="H83" s="259">
        <v>568674.24</v>
      </c>
    </row>
    <row r="84" spans="1:8">
      <c r="A84" s="276">
        <v>47</v>
      </c>
      <c r="B84" s="277" t="s">
        <v>288</v>
      </c>
      <c r="C84" s="266">
        <v>68179.56</v>
      </c>
      <c r="D84" s="268">
        <v>7963.09</v>
      </c>
      <c r="E84" s="269">
        <v>60216.47</v>
      </c>
      <c r="F84" s="266">
        <v>2372197.81</v>
      </c>
      <c r="G84" s="258">
        <v>2627802.19</v>
      </c>
      <c r="H84" s="259">
        <v>576637.32999999996</v>
      </c>
    </row>
    <row r="85" spans="1:8">
      <c r="A85" s="274">
        <v>48</v>
      </c>
      <c r="B85" s="275" t="s">
        <v>289</v>
      </c>
      <c r="C85" s="253">
        <v>68179.56</v>
      </c>
      <c r="D85" s="256">
        <v>7765.96</v>
      </c>
      <c r="E85" s="257">
        <v>60413.61</v>
      </c>
      <c r="F85" s="253">
        <v>2311784.2000000002</v>
      </c>
      <c r="G85" s="262">
        <v>2688215.8</v>
      </c>
      <c r="H85" s="263">
        <v>584403.29</v>
      </c>
    </row>
    <row r="86" spans="1:8">
      <c r="A86" s="276">
        <v>49</v>
      </c>
      <c r="B86" s="277" t="s">
        <v>290</v>
      </c>
      <c r="C86" s="266">
        <v>68179.56</v>
      </c>
      <c r="D86" s="268">
        <v>7568.18</v>
      </c>
      <c r="E86" s="269">
        <v>60611.38</v>
      </c>
      <c r="F86" s="266">
        <v>2251172.8199999998</v>
      </c>
      <c r="G86" s="258">
        <v>2748827.18</v>
      </c>
      <c r="H86" s="259">
        <v>591971.47</v>
      </c>
    </row>
    <row r="87" spans="1:8">
      <c r="A87" s="276">
        <v>50</v>
      </c>
      <c r="B87" s="277" t="s">
        <v>291</v>
      </c>
      <c r="C87" s="266">
        <v>68179.56</v>
      </c>
      <c r="D87" s="268">
        <v>7369.75</v>
      </c>
      <c r="E87" s="269">
        <v>60809.81</v>
      </c>
      <c r="F87" s="266">
        <v>2190363.0099999998</v>
      </c>
      <c r="G87" s="258">
        <v>2809636.99</v>
      </c>
      <c r="H87" s="259">
        <v>599341.23</v>
      </c>
    </row>
    <row r="88" spans="1:8">
      <c r="A88" s="276">
        <v>51</v>
      </c>
      <c r="B88" s="277" t="s">
        <v>292</v>
      </c>
      <c r="C88" s="266">
        <v>68179.56</v>
      </c>
      <c r="D88" s="268">
        <v>7170.68</v>
      </c>
      <c r="E88" s="269">
        <v>61008.89</v>
      </c>
      <c r="F88" s="266">
        <v>2129354.12</v>
      </c>
      <c r="G88" s="258">
        <v>2870645.88</v>
      </c>
      <c r="H88" s="259">
        <v>606511.9</v>
      </c>
    </row>
    <row r="89" spans="1:8">
      <c r="A89" s="276">
        <v>52</v>
      </c>
      <c r="B89" s="277" t="s">
        <v>293</v>
      </c>
      <c r="C89" s="266">
        <v>68179.56</v>
      </c>
      <c r="D89" s="268">
        <v>6970.95</v>
      </c>
      <c r="E89" s="269">
        <v>61208.61</v>
      </c>
      <c r="F89" s="266">
        <v>2068145.51</v>
      </c>
      <c r="G89" s="258">
        <v>2931854.49</v>
      </c>
      <c r="H89" s="259">
        <v>613482.86</v>
      </c>
    </row>
    <row r="90" spans="1:8">
      <c r="A90" s="276">
        <v>53</v>
      </c>
      <c r="B90" s="277" t="s">
        <v>294</v>
      </c>
      <c r="C90" s="266">
        <v>68179.56</v>
      </c>
      <c r="D90" s="268">
        <v>6770.57</v>
      </c>
      <c r="E90" s="269">
        <v>61408.99</v>
      </c>
      <c r="F90" s="266">
        <v>2006736.51</v>
      </c>
      <c r="G90" s="258">
        <v>2993263.49</v>
      </c>
      <c r="H90" s="259">
        <v>620253.43000000005</v>
      </c>
    </row>
    <row r="91" spans="1:8">
      <c r="A91" s="276">
        <v>54</v>
      </c>
      <c r="B91" s="277" t="s">
        <v>295</v>
      </c>
      <c r="C91" s="266">
        <v>68179.56</v>
      </c>
      <c r="D91" s="268">
        <v>6569.53</v>
      </c>
      <c r="E91" s="269">
        <v>61610.03</v>
      </c>
      <c r="F91" s="266">
        <v>1945126.48</v>
      </c>
      <c r="G91" s="258">
        <v>3054873.52</v>
      </c>
      <c r="H91" s="259">
        <v>626822.96</v>
      </c>
    </row>
    <row r="92" spans="1:8">
      <c r="A92" s="276">
        <v>55</v>
      </c>
      <c r="B92" s="277" t="s">
        <v>296</v>
      </c>
      <c r="C92" s="266">
        <v>68179.56</v>
      </c>
      <c r="D92" s="268">
        <v>6367.84</v>
      </c>
      <c r="E92" s="269">
        <v>61811.73</v>
      </c>
      <c r="F92" s="266">
        <v>1883314.76</v>
      </c>
      <c r="G92" s="258">
        <v>3116685.24</v>
      </c>
      <c r="H92" s="259">
        <v>633190.80000000005</v>
      </c>
    </row>
    <row r="93" spans="1:8">
      <c r="A93" s="276">
        <v>56</v>
      </c>
      <c r="B93" s="277" t="s">
        <v>297</v>
      </c>
      <c r="C93" s="266">
        <v>68179.56</v>
      </c>
      <c r="D93" s="268">
        <v>6165.48</v>
      </c>
      <c r="E93" s="269">
        <v>62014.080000000002</v>
      </c>
      <c r="F93" s="266">
        <v>1821300.67</v>
      </c>
      <c r="G93" s="258">
        <v>3178699.33</v>
      </c>
      <c r="H93" s="259">
        <v>639356.28</v>
      </c>
    </row>
    <row r="94" spans="1:8">
      <c r="A94" s="276">
        <v>57</v>
      </c>
      <c r="B94" s="277" t="s">
        <v>298</v>
      </c>
      <c r="C94" s="266">
        <v>68179.56</v>
      </c>
      <c r="D94" s="268">
        <v>5962.46</v>
      </c>
      <c r="E94" s="269">
        <v>62217.1</v>
      </c>
      <c r="F94" s="266">
        <v>1759083.57</v>
      </c>
      <c r="G94" s="258">
        <v>3240916.43</v>
      </c>
      <c r="H94" s="259">
        <v>645318.74</v>
      </c>
    </row>
    <row r="95" spans="1:8">
      <c r="A95" s="276">
        <v>58</v>
      </c>
      <c r="B95" s="277" t="s">
        <v>299</v>
      </c>
      <c r="C95" s="266">
        <v>68179.56</v>
      </c>
      <c r="D95" s="268">
        <v>5758.78</v>
      </c>
      <c r="E95" s="269">
        <v>62420.78</v>
      </c>
      <c r="F95" s="266">
        <v>1696662.79</v>
      </c>
      <c r="G95" s="258">
        <v>3303337.21</v>
      </c>
      <c r="H95" s="259">
        <v>651077.53</v>
      </c>
    </row>
    <row r="96" spans="1:8">
      <c r="A96" s="276">
        <v>59</v>
      </c>
      <c r="B96" s="277" t="s">
        <v>300</v>
      </c>
      <c r="C96" s="266">
        <v>68179.56</v>
      </c>
      <c r="D96" s="268">
        <v>5554.43</v>
      </c>
      <c r="E96" s="269">
        <v>62625.13</v>
      </c>
      <c r="F96" s="266">
        <v>1634037.66</v>
      </c>
      <c r="G96" s="258">
        <v>3365962.34</v>
      </c>
      <c r="H96" s="259">
        <v>656631.96</v>
      </c>
    </row>
    <row r="97" spans="1:8">
      <c r="A97" s="274">
        <v>60</v>
      </c>
      <c r="B97" s="275" t="s">
        <v>301</v>
      </c>
      <c r="C97" s="253">
        <v>68179.56</v>
      </c>
      <c r="D97" s="256">
        <v>5349.41</v>
      </c>
      <c r="E97" s="257">
        <v>62830.15</v>
      </c>
      <c r="F97" s="253">
        <v>1571207.51</v>
      </c>
      <c r="G97" s="262">
        <v>3428792.49</v>
      </c>
      <c r="H97" s="263">
        <v>661981.37</v>
      </c>
    </row>
    <row r="98" spans="1:8">
      <c r="A98" s="276">
        <v>61</v>
      </c>
      <c r="B98" s="277" t="s">
        <v>302</v>
      </c>
      <c r="C98" s="266">
        <v>68179.56</v>
      </c>
      <c r="D98" s="268">
        <v>5143.72</v>
      </c>
      <c r="E98" s="269">
        <v>63035.839999999997</v>
      </c>
      <c r="F98" s="266">
        <v>1508171.67</v>
      </c>
      <c r="G98" s="258">
        <v>3491828.33</v>
      </c>
      <c r="H98" s="259">
        <v>667125.1</v>
      </c>
    </row>
    <row r="99" spans="1:8">
      <c r="A99" s="276">
        <v>62</v>
      </c>
      <c r="B99" s="277" t="s">
        <v>303</v>
      </c>
      <c r="C99" s="266">
        <v>68179.56</v>
      </c>
      <c r="D99" s="268">
        <v>4937.3599999999997</v>
      </c>
      <c r="E99" s="269">
        <v>63242.2</v>
      </c>
      <c r="F99" s="266">
        <v>1444929.47</v>
      </c>
      <c r="G99" s="258">
        <v>3555070.53</v>
      </c>
      <c r="H99" s="259">
        <v>672062.46</v>
      </c>
    </row>
    <row r="100" spans="1:8">
      <c r="A100" s="276">
        <v>63</v>
      </c>
      <c r="B100" s="277" t="s">
        <v>304</v>
      </c>
      <c r="C100" s="266">
        <v>68179.56</v>
      </c>
      <c r="D100" s="268">
        <v>4730.32</v>
      </c>
      <c r="E100" s="269">
        <v>63449.24</v>
      </c>
      <c r="F100" s="266">
        <v>1381480.23</v>
      </c>
      <c r="G100" s="258">
        <v>3618519.77</v>
      </c>
      <c r="H100" s="259">
        <v>676792.78</v>
      </c>
    </row>
    <row r="101" spans="1:8">
      <c r="A101" s="276">
        <v>64</v>
      </c>
      <c r="B101" s="277" t="s">
        <v>305</v>
      </c>
      <c r="C101" s="266">
        <v>68179.56</v>
      </c>
      <c r="D101" s="268">
        <v>4522.6099999999997</v>
      </c>
      <c r="E101" s="269">
        <v>63656.959999999999</v>
      </c>
      <c r="F101" s="266">
        <v>1317823.27</v>
      </c>
      <c r="G101" s="258">
        <v>3682176.73</v>
      </c>
      <c r="H101" s="259">
        <v>681315.39</v>
      </c>
    </row>
    <row r="102" spans="1:8">
      <c r="A102" s="276">
        <v>65</v>
      </c>
      <c r="B102" s="277" t="s">
        <v>306</v>
      </c>
      <c r="C102" s="266">
        <v>68179.56</v>
      </c>
      <c r="D102" s="268">
        <v>4314.21</v>
      </c>
      <c r="E102" s="269">
        <v>63865.35</v>
      </c>
      <c r="F102" s="266">
        <v>1253957.9099999999</v>
      </c>
      <c r="G102" s="258">
        <v>3746042.09</v>
      </c>
      <c r="H102" s="259">
        <v>685629.6</v>
      </c>
    </row>
    <row r="103" spans="1:8">
      <c r="A103" s="276">
        <v>66</v>
      </c>
      <c r="B103" s="277" t="s">
        <v>307</v>
      </c>
      <c r="C103" s="266">
        <v>68179.56</v>
      </c>
      <c r="D103" s="268">
        <v>4105.13</v>
      </c>
      <c r="E103" s="269">
        <v>64074.43</v>
      </c>
      <c r="F103" s="266">
        <v>1189883.48</v>
      </c>
      <c r="G103" s="258">
        <v>3810116.52</v>
      </c>
      <c r="H103" s="259">
        <v>689734.73</v>
      </c>
    </row>
    <row r="104" spans="1:8">
      <c r="A104" s="276">
        <v>67</v>
      </c>
      <c r="B104" s="277" t="s">
        <v>308</v>
      </c>
      <c r="C104" s="266">
        <v>68179.56</v>
      </c>
      <c r="D104" s="268">
        <v>3895.37</v>
      </c>
      <c r="E104" s="269">
        <v>64284.2</v>
      </c>
      <c r="F104" s="266">
        <v>1125599.29</v>
      </c>
      <c r="G104" s="258">
        <v>3874400.71</v>
      </c>
      <c r="H104" s="259">
        <v>693630.1</v>
      </c>
    </row>
    <row r="105" spans="1:8">
      <c r="A105" s="276">
        <v>68</v>
      </c>
      <c r="B105" s="277" t="s">
        <v>309</v>
      </c>
      <c r="C105" s="266">
        <v>68179.56</v>
      </c>
      <c r="D105" s="268">
        <v>3684.92</v>
      </c>
      <c r="E105" s="269">
        <v>64494.65</v>
      </c>
      <c r="F105" s="266">
        <v>1061104.6399999999</v>
      </c>
      <c r="G105" s="258">
        <v>3938895.36</v>
      </c>
      <c r="H105" s="259">
        <v>697315.02</v>
      </c>
    </row>
    <row r="106" spans="1:8">
      <c r="A106" s="276">
        <v>69</v>
      </c>
      <c r="B106" s="277" t="s">
        <v>310</v>
      </c>
      <c r="C106" s="266">
        <v>68179.56</v>
      </c>
      <c r="D106" s="268">
        <v>3473.78</v>
      </c>
      <c r="E106" s="269">
        <v>64705.78</v>
      </c>
      <c r="F106" s="266">
        <v>996398.86</v>
      </c>
      <c r="G106" s="258">
        <v>4003601.14</v>
      </c>
      <c r="H106" s="259">
        <v>700788.8</v>
      </c>
    </row>
    <row r="107" spans="1:8">
      <c r="A107" s="276">
        <v>70</v>
      </c>
      <c r="B107" s="277" t="s">
        <v>311</v>
      </c>
      <c r="C107" s="266">
        <v>68179.56</v>
      </c>
      <c r="D107" s="268">
        <v>3261.95</v>
      </c>
      <c r="E107" s="269">
        <v>64917.61</v>
      </c>
      <c r="F107" s="266">
        <v>931481.24</v>
      </c>
      <c r="G107" s="258">
        <v>4068518.76</v>
      </c>
      <c r="H107" s="259">
        <v>704050.75</v>
      </c>
    </row>
    <row r="108" spans="1:8">
      <c r="A108" s="276">
        <v>71</v>
      </c>
      <c r="B108" s="277" t="s">
        <v>312</v>
      </c>
      <c r="C108" s="266">
        <v>68179.56</v>
      </c>
      <c r="D108" s="268">
        <v>3049.43</v>
      </c>
      <c r="E108" s="269">
        <v>65130.14</v>
      </c>
      <c r="F108" s="266">
        <v>866351.11</v>
      </c>
      <c r="G108" s="258">
        <v>4133648.89</v>
      </c>
      <c r="H108" s="259">
        <v>707100.18</v>
      </c>
    </row>
    <row r="109" spans="1:8">
      <c r="A109" s="274">
        <v>72</v>
      </c>
      <c r="B109" s="275" t="s">
        <v>313</v>
      </c>
      <c r="C109" s="253">
        <v>68179.56</v>
      </c>
      <c r="D109" s="256">
        <v>2836.21</v>
      </c>
      <c r="E109" s="257">
        <v>65343.360000000001</v>
      </c>
      <c r="F109" s="253">
        <v>801007.75</v>
      </c>
      <c r="G109" s="262">
        <v>4198992.25</v>
      </c>
      <c r="H109" s="263">
        <v>709936.39</v>
      </c>
    </row>
    <row r="110" spans="1:8">
      <c r="A110" s="276">
        <v>73</v>
      </c>
      <c r="B110" s="277" t="s">
        <v>314</v>
      </c>
      <c r="C110" s="266">
        <v>68179.56</v>
      </c>
      <c r="D110" s="268">
        <v>2622.29</v>
      </c>
      <c r="E110" s="269">
        <v>65557.27</v>
      </c>
      <c r="F110" s="266">
        <v>735450.48</v>
      </c>
      <c r="G110" s="258">
        <v>4264549.5199999996</v>
      </c>
      <c r="H110" s="259">
        <v>712558.68</v>
      </c>
    </row>
    <row r="111" spans="1:8">
      <c r="A111" s="276">
        <v>74</v>
      </c>
      <c r="B111" s="277" t="s">
        <v>315</v>
      </c>
      <c r="C111" s="266">
        <v>68179.56</v>
      </c>
      <c r="D111" s="268">
        <v>2407.67</v>
      </c>
      <c r="E111" s="269">
        <v>65771.89</v>
      </c>
      <c r="F111" s="266">
        <v>669678.59</v>
      </c>
      <c r="G111" s="258">
        <v>4330321.41</v>
      </c>
      <c r="H111" s="259">
        <v>714966.35</v>
      </c>
    </row>
    <row r="112" spans="1:8">
      <c r="A112" s="276">
        <v>75</v>
      </c>
      <c r="B112" s="277" t="s">
        <v>316</v>
      </c>
      <c r="C112" s="266">
        <v>68179.56</v>
      </c>
      <c r="D112" s="268">
        <v>2192.35</v>
      </c>
      <c r="E112" s="269">
        <v>65987.210000000006</v>
      </c>
      <c r="F112" s="266">
        <v>603691.37</v>
      </c>
      <c r="G112" s="258">
        <v>4396308.63</v>
      </c>
      <c r="H112" s="259">
        <v>717158.7</v>
      </c>
    </row>
    <row r="113" spans="1:8">
      <c r="A113" s="276">
        <v>76</v>
      </c>
      <c r="B113" s="277" t="s">
        <v>317</v>
      </c>
      <c r="C113" s="266">
        <v>68179.56</v>
      </c>
      <c r="D113" s="268">
        <v>1976.33</v>
      </c>
      <c r="E113" s="269">
        <v>66203.240000000005</v>
      </c>
      <c r="F113" s="266">
        <v>537488.14</v>
      </c>
      <c r="G113" s="258">
        <v>4462511.8600000003</v>
      </c>
      <c r="H113" s="259">
        <v>719135.03</v>
      </c>
    </row>
    <row r="114" spans="1:8">
      <c r="A114" s="276">
        <v>77</v>
      </c>
      <c r="B114" s="277" t="s">
        <v>318</v>
      </c>
      <c r="C114" s="266">
        <v>68179.56</v>
      </c>
      <c r="D114" s="268">
        <v>1759.6</v>
      </c>
      <c r="E114" s="269">
        <v>66419.97</v>
      </c>
      <c r="F114" s="266">
        <v>471068.17</v>
      </c>
      <c r="G114" s="258">
        <v>4528931.83</v>
      </c>
      <c r="H114" s="259">
        <v>720894.63</v>
      </c>
    </row>
    <row r="115" spans="1:8">
      <c r="A115" s="276">
        <v>78</v>
      </c>
      <c r="B115" s="277" t="s">
        <v>319</v>
      </c>
      <c r="C115" s="266">
        <v>68179.56</v>
      </c>
      <c r="D115" s="268">
        <v>1542.15</v>
      </c>
      <c r="E115" s="269">
        <v>66637.41</v>
      </c>
      <c r="F115" s="266">
        <v>404430.76</v>
      </c>
      <c r="G115" s="258">
        <v>4595569.24</v>
      </c>
      <c r="H115" s="259">
        <v>722436.78</v>
      </c>
    </row>
    <row r="116" spans="1:8">
      <c r="A116" s="276">
        <v>79</v>
      </c>
      <c r="B116" s="277" t="s">
        <v>320</v>
      </c>
      <c r="C116" s="266">
        <v>68179.56</v>
      </c>
      <c r="D116" s="268">
        <v>1324</v>
      </c>
      <c r="E116" s="269">
        <v>66855.56</v>
      </c>
      <c r="F116" s="266">
        <v>337575.2</v>
      </c>
      <c r="G116" s="258">
        <v>4662424.8</v>
      </c>
      <c r="H116" s="259">
        <v>723760.78</v>
      </c>
    </row>
    <row r="117" spans="1:8">
      <c r="A117" s="276">
        <v>80</v>
      </c>
      <c r="B117" s="277" t="s">
        <v>321</v>
      </c>
      <c r="C117" s="266">
        <v>68179.56</v>
      </c>
      <c r="D117" s="268">
        <v>1105.1300000000001</v>
      </c>
      <c r="E117" s="269">
        <v>67074.429999999993</v>
      </c>
      <c r="F117" s="266">
        <v>270500.77</v>
      </c>
      <c r="G117" s="258">
        <v>4729499.2300000004</v>
      </c>
      <c r="H117" s="259">
        <v>724865.92</v>
      </c>
    </row>
    <row r="118" spans="1:8">
      <c r="A118" s="276">
        <v>81</v>
      </c>
      <c r="B118" s="277" t="s">
        <v>322</v>
      </c>
      <c r="C118" s="266">
        <v>68179.56</v>
      </c>
      <c r="D118" s="267">
        <v>885.55</v>
      </c>
      <c r="E118" s="269">
        <v>67294.02</v>
      </c>
      <c r="F118" s="266">
        <v>203206.75</v>
      </c>
      <c r="G118" s="258">
        <v>4796793.25</v>
      </c>
      <c r="H118" s="259">
        <v>725751.47</v>
      </c>
    </row>
    <row r="119" spans="1:8">
      <c r="A119" s="276">
        <v>82</v>
      </c>
      <c r="B119" s="277" t="s">
        <v>323</v>
      </c>
      <c r="C119" s="266">
        <v>68179.56</v>
      </c>
      <c r="D119" s="267">
        <v>665.25</v>
      </c>
      <c r="E119" s="269">
        <v>67514.320000000007</v>
      </c>
      <c r="F119" s="266">
        <v>135692.43</v>
      </c>
      <c r="G119" s="258">
        <v>4864307.57</v>
      </c>
      <c r="H119" s="259">
        <v>726416.71</v>
      </c>
    </row>
    <row r="120" spans="1:8">
      <c r="A120" s="276">
        <v>83</v>
      </c>
      <c r="B120" s="277" t="s">
        <v>324</v>
      </c>
      <c r="C120" s="266">
        <v>68179.56</v>
      </c>
      <c r="D120" s="267">
        <v>444.22</v>
      </c>
      <c r="E120" s="269">
        <v>67735.34</v>
      </c>
      <c r="F120" s="266">
        <v>67957.09</v>
      </c>
      <c r="G120" s="258">
        <v>4932042.91</v>
      </c>
      <c r="H120" s="259">
        <v>726860.93</v>
      </c>
    </row>
    <row r="121" spans="1:8" ht="15.75" thickBot="1">
      <c r="A121" s="278">
        <v>84</v>
      </c>
      <c r="B121" s="279" t="s">
        <v>325</v>
      </c>
      <c r="C121" s="281">
        <v>68179.56</v>
      </c>
      <c r="D121" s="282">
        <v>222.47</v>
      </c>
      <c r="E121" s="283">
        <v>67957.09</v>
      </c>
      <c r="F121" s="280">
        <v>0</v>
      </c>
      <c r="G121" s="284">
        <v>5000000</v>
      </c>
      <c r="H121" s="285">
        <v>727083.41</v>
      </c>
    </row>
    <row r="122" spans="1:8" ht="16.5" thickTop="1">
      <c r="A122" s="159"/>
      <c r="B122" s="159"/>
      <c r="C122" s="159"/>
      <c r="D122" s="159"/>
      <c r="E122" s="159"/>
      <c r="F122" s="159"/>
      <c r="G122" s="159"/>
      <c r="H122" s="159"/>
    </row>
  </sheetData>
  <mergeCells count="2">
    <mergeCell ref="A20:H21"/>
    <mergeCell ref="A32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21"/>
  <sheetViews>
    <sheetView tabSelected="1" workbookViewId="0">
      <selection activeCell="I4" sqref="I4"/>
    </sheetView>
  </sheetViews>
  <sheetFormatPr baseColWidth="10" defaultColWidth="8.88671875" defaultRowHeight="15"/>
  <cols>
    <col min="1" max="1" width="7.6640625" customWidth="1"/>
    <col min="2" max="2" width="20.6640625" customWidth="1"/>
    <col min="3" max="3" width="18.33203125" customWidth="1"/>
    <col min="4" max="4" width="14.6640625" customWidth="1"/>
    <col min="5" max="5" width="17.6640625" customWidth="1"/>
    <col min="6" max="7" width="15.6640625" customWidth="1"/>
    <col min="8" max="8" width="19" customWidth="1"/>
  </cols>
  <sheetData>
    <row r="1" spans="1:8" ht="23.25">
      <c r="A1" s="160" t="s">
        <v>326</v>
      </c>
      <c r="B1" s="161"/>
      <c r="C1" s="161"/>
      <c r="D1" s="161"/>
      <c r="E1" s="161"/>
      <c r="F1" s="162" t="s">
        <v>207</v>
      </c>
      <c r="G1" s="162" t="s">
        <v>207</v>
      </c>
      <c r="H1" s="162" t="s">
        <v>207</v>
      </c>
    </row>
    <row r="2" spans="1:8">
      <c r="A2" s="163" t="s">
        <v>207</v>
      </c>
      <c r="B2" s="163" t="s">
        <v>207</v>
      </c>
      <c r="C2" s="163" t="s">
        <v>207</v>
      </c>
      <c r="D2" s="163" t="s">
        <v>207</v>
      </c>
      <c r="E2" s="163" t="s">
        <v>207</v>
      </c>
      <c r="F2" s="163" t="s">
        <v>207</v>
      </c>
      <c r="G2" s="163" t="s">
        <v>207</v>
      </c>
      <c r="H2" s="163" t="s">
        <v>207</v>
      </c>
    </row>
    <row r="3" spans="1:8" ht="23.25">
      <c r="A3" s="164" t="s">
        <v>208</v>
      </c>
      <c r="B3" s="165"/>
      <c r="C3" s="165"/>
      <c r="D3" s="166" t="s">
        <v>207</v>
      </c>
      <c r="E3" s="166" t="s">
        <v>207</v>
      </c>
      <c r="F3" s="166" t="s">
        <v>207</v>
      </c>
      <c r="G3" s="166" t="s">
        <v>207</v>
      </c>
      <c r="H3" s="166" t="s">
        <v>207</v>
      </c>
    </row>
    <row r="4" spans="1:8">
      <c r="A4" s="167" t="s">
        <v>209</v>
      </c>
      <c r="B4" s="168"/>
      <c r="C4" s="169" t="s">
        <v>207</v>
      </c>
      <c r="D4" s="170" t="s">
        <v>207</v>
      </c>
      <c r="E4" s="170" t="s">
        <v>207</v>
      </c>
      <c r="F4" s="170" t="s">
        <v>207</v>
      </c>
      <c r="G4" s="170" t="s">
        <v>207</v>
      </c>
      <c r="H4" s="170" t="s">
        <v>207</v>
      </c>
    </row>
    <row r="5" spans="1:8" ht="15.75">
      <c r="A5" s="171" t="s">
        <v>207</v>
      </c>
      <c r="B5" s="172" t="s">
        <v>210</v>
      </c>
      <c r="C5" s="173">
        <v>44500500</v>
      </c>
      <c r="D5" s="170" t="s">
        <v>207</v>
      </c>
      <c r="E5" s="174" t="s">
        <v>211</v>
      </c>
      <c r="F5" s="175"/>
      <c r="G5" s="176" t="s">
        <v>207</v>
      </c>
      <c r="H5" s="176" t="s">
        <v>207</v>
      </c>
    </row>
    <row r="6" spans="1:8" ht="15.75">
      <c r="A6" s="171" t="s">
        <v>207</v>
      </c>
      <c r="B6" s="172" t="s">
        <v>212</v>
      </c>
      <c r="C6" s="177">
        <v>0.04</v>
      </c>
      <c r="D6" s="170" t="s">
        <v>207</v>
      </c>
      <c r="E6" s="170" t="s">
        <v>207</v>
      </c>
      <c r="F6" s="170" t="s">
        <v>213</v>
      </c>
      <c r="G6" s="170" t="s">
        <v>207</v>
      </c>
      <c r="H6" s="178" t="s">
        <v>214</v>
      </c>
    </row>
    <row r="7" spans="1:8" ht="15.75">
      <c r="A7" s="171" t="s">
        <v>207</v>
      </c>
      <c r="B7" s="172" t="s">
        <v>215</v>
      </c>
      <c r="C7" s="173">
        <v>3.2737399999999998E-3</v>
      </c>
      <c r="D7" s="170" t="s">
        <v>207</v>
      </c>
      <c r="E7" s="170" t="s">
        <v>207</v>
      </c>
      <c r="F7" s="170" t="s">
        <v>216</v>
      </c>
      <c r="G7" s="170" t="s">
        <v>207</v>
      </c>
      <c r="H7" s="178">
        <v>1</v>
      </c>
    </row>
    <row r="8" spans="1:8" ht="15.75">
      <c r="A8" s="171" t="s">
        <v>207</v>
      </c>
      <c r="B8" s="172" t="s">
        <v>217</v>
      </c>
      <c r="C8" s="173">
        <v>30</v>
      </c>
      <c r="D8" s="170" t="s">
        <v>207</v>
      </c>
      <c r="E8" s="170" t="s">
        <v>207</v>
      </c>
      <c r="F8" s="170" t="s">
        <v>207</v>
      </c>
      <c r="G8" s="170" t="s">
        <v>207</v>
      </c>
      <c r="H8" s="170" t="s">
        <v>207</v>
      </c>
    </row>
    <row r="9" spans="1:8" ht="15.75">
      <c r="A9" s="171" t="s">
        <v>207</v>
      </c>
      <c r="B9" s="172" t="s">
        <v>218</v>
      </c>
      <c r="C9" s="173">
        <v>12</v>
      </c>
      <c r="D9" s="170" t="s">
        <v>207</v>
      </c>
      <c r="E9" s="170" t="s">
        <v>207</v>
      </c>
      <c r="F9" s="170" t="s">
        <v>207</v>
      </c>
      <c r="G9" s="170" t="s">
        <v>207</v>
      </c>
      <c r="H9" s="170" t="s">
        <v>207</v>
      </c>
    </row>
    <row r="10" spans="1:8" ht="15.75">
      <c r="A10" s="171" t="s">
        <v>207</v>
      </c>
      <c r="B10" s="172" t="s">
        <v>219</v>
      </c>
      <c r="C10" s="173">
        <v>360</v>
      </c>
      <c r="D10" s="179" t="s">
        <v>207</v>
      </c>
      <c r="E10" s="180" t="s">
        <v>207</v>
      </c>
      <c r="F10" s="180" t="s">
        <v>207</v>
      </c>
      <c r="G10" s="180" t="s">
        <v>207</v>
      </c>
      <c r="H10" s="181" t="s">
        <v>207</v>
      </c>
    </row>
    <row r="11" spans="1:8" ht="15.75">
      <c r="A11" s="171" t="s">
        <v>207</v>
      </c>
      <c r="B11" s="172" t="s">
        <v>220</v>
      </c>
      <c r="C11" s="173" t="s">
        <v>214</v>
      </c>
      <c r="D11" s="179" t="s">
        <v>207</v>
      </c>
      <c r="E11" s="179" t="s">
        <v>207</v>
      </c>
      <c r="F11" s="179" t="s">
        <v>207</v>
      </c>
      <c r="G11" s="179" t="s">
        <v>207</v>
      </c>
      <c r="H11" s="179" t="s">
        <v>207</v>
      </c>
    </row>
    <row r="12" spans="1:8">
      <c r="A12" s="167" t="s">
        <v>221</v>
      </c>
      <c r="B12" s="168"/>
      <c r="C12" s="182" t="s">
        <v>207</v>
      </c>
      <c r="D12" s="176" t="s">
        <v>207</v>
      </c>
      <c r="E12" s="176" t="s">
        <v>207</v>
      </c>
      <c r="F12" s="176" t="s">
        <v>207</v>
      </c>
      <c r="G12" s="176" t="s">
        <v>207</v>
      </c>
      <c r="H12" s="176" t="s">
        <v>207</v>
      </c>
    </row>
    <row r="13" spans="1:8">
      <c r="A13" s="183" t="s">
        <v>207</v>
      </c>
      <c r="B13" s="184" t="s">
        <v>207</v>
      </c>
      <c r="C13" s="185" t="s">
        <v>207</v>
      </c>
      <c r="D13" s="186" t="s">
        <v>222</v>
      </c>
      <c r="E13" s="186"/>
      <c r="F13" s="186"/>
      <c r="G13" s="186"/>
      <c r="H13" s="163" t="s">
        <v>207</v>
      </c>
    </row>
    <row r="14" spans="1:8">
      <c r="A14" s="187" t="s">
        <v>207</v>
      </c>
      <c r="B14" s="188" t="s">
        <v>207</v>
      </c>
      <c r="C14" s="189" t="s">
        <v>207</v>
      </c>
      <c r="D14" s="186" t="s">
        <v>223</v>
      </c>
      <c r="E14" s="186"/>
      <c r="F14" s="186"/>
      <c r="G14" s="186"/>
      <c r="H14" s="163" t="s">
        <v>207</v>
      </c>
    </row>
    <row r="15" spans="1:8">
      <c r="A15" s="190" t="s">
        <v>224</v>
      </c>
      <c r="B15" s="191"/>
      <c r="C15" s="166" t="s">
        <v>207</v>
      </c>
      <c r="D15" s="166" t="s">
        <v>207</v>
      </c>
      <c r="E15" s="166" t="s">
        <v>207</v>
      </c>
      <c r="F15" s="166" t="s">
        <v>207</v>
      </c>
      <c r="G15" s="166" t="s">
        <v>207</v>
      </c>
      <c r="H15" s="166" t="s">
        <v>207</v>
      </c>
    </row>
    <row r="16" spans="1:8">
      <c r="A16" s="170" t="s">
        <v>207</v>
      </c>
      <c r="B16" s="170" t="s">
        <v>225</v>
      </c>
      <c r="C16" s="170" t="s">
        <v>207</v>
      </c>
      <c r="D16" s="170" t="s">
        <v>207</v>
      </c>
      <c r="E16" s="170" t="s">
        <v>207</v>
      </c>
      <c r="F16" s="170" t="s">
        <v>226</v>
      </c>
      <c r="G16" s="170" t="s">
        <v>207</v>
      </c>
      <c r="H16" s="170" t="s">
        <v>207</v>
      </c>
    </row>
    <row r="17" spans="1:8">
      <c r="A17" s="170" t="s">
        <v>207</v>
      </c>
      <c r="B17" s="170" t="s">
        <v>227</v>
      </c>
      <c r="C17" s="170">
        <v>1</v>
      </c>
      <c r="D17" s="170" t="s">
        <v>207</v>
      </c>
      <c r="E17" s="170" t="s">
        <v>207</v>
      </c>
      <c r="F17" s="170" t="s">
        <v>228</v>
      </c>
      <c r="G17" s="170" t="s">
        <v>207</v>
      </c>
      <c r="H17" s="170">
        <v>0</v>
      </c>
    </row>
    <row r="18" spans="1:8" ht="23.25">
      <c r="A18" s="192" t="s">
        <v>229</v>
      </c>
      <c r="B18" s="193"/>
      <c r="C18" s="176" t="s">
        <v>207</v>
      </c>
      <c r="D18" s="176" t="s">
        <v>207</v>
      </c>
      <c r="E18" s="176" t="s">
        <v>207</v>
      </c>
      <c r="F18" s="176" t="s">
        <v>207</v>
      </c>
      <c r="G18" s="176" t="s">
        <v>207</v>
      </c>
      <c r="H18" s="176" t="s">
        <v>207</v>
      </c>
    </row>
    <row r="19" spans="1:8">
      <c r="A19" s="194"/>
      <c r="B19" s="194"/>
      <c r="C19" s="194"/>
      <c r="D19" s="194"/>
      <c r="E19" s="194"/>
      <c r="F19" s="194"/>
      <c r="G19" s="194"/>
      <c r="H19" s="194"/>
    </row>
    <row r="20" spans="1:8">
      <c r="A20" s="341" t="s">
        <v>230</v>
      </c>
      <c r="B20" s="342"/>
      <c r="C20" s="342"/>
      <c r="D20" s="342"/>
      <c r="E20" s="342"/>
      <c r="F20" s="342"/>
      <c r="G20" s="342"/>
      <c r="H20" s="343"/>
    </row>
    <row r="21" spans="1:8">
      <c r="A21" s="344"/>
      <c r="B21" s="345"/>
      <c r="C21" s="345"/>
      <c r="D21" s="345"/>
      <c r="E21" s="345"/>
      <c r="F21" s="345"/>
      <c r="G21" s="345"/>
      <c r="H21" s="346"/>
    </row>
    <row r="22" spans="1:8">
      <c r="A22" s="196" t="s">
        <v>207</v>
      </c>
      <c r="B22" s="203" t="s">
        <v>207</v>
      </c>
      <c r="C22" s="203" t="s">
        <v>207</v>
      </c>
      <c r="D22" s="203" t="s">
        <v>207</v>
      </c>
      <c r="E22" s="203" t="s">
        <v>207</v>
      </c>
      <c r="F22" s="203" t="s">
        <v>231</v>
      </c>
      <c r="G22" s="204" t="s">
        <v>231</v>
      </c>
      <c r="H22" s="205" t="s">
        <v>232</v>
      </c>
    </row>
    <row r="23" spans="1:8">
      <c r="A23" s="197" t="s">
        <v>233</v>
      </c>
      <c r="B23" s="206" t="s">
        <v>234</v>
      </c>
      <c r="C23" s="206" t="s">
        <v>235</v>
      </c>
      <c r="D23" s="206" t="s">
        <v>232</v>
      </c>
      <c r="E23" s="206" t="s">
        <v>236</v>
      </c>
      <c r="F23" s="206" t="s">
        <v>237</v>
      </c>
      <c r="G23" s="207" t="s">
        <v>238</v>
      </c>
      <c r="H23" s="208" t="s">
        <v>239</v>
      </c>
    </row>
    <row r="24" spans="1:8">
      <c r="A24" s="198">
        <v>0</v>
      </c>
      <c r="B24" s="209" t="s">
        <v>207</v>
      </c>
      <c r="C24" s="210" t="s">
        <v>207</v>
      </c>
      <c r="D24" s="211" t="s">
        <v>207</v>
      </c>
      <c r="E24" s="212" t="s">
        <v>207</v>
      </c>
      <c r="F24" s="213">
        <v>44500500</v>
      </c>
      <c r="G24" s="214" t="s">
        <v>207</v>
      </c>
      <c r="H24" s="215" t="s">
        <v>207</v>
      </c>
    </row>
    <row r="25" spans="1:8">
      <c r="A25" s="198">
        <v>1</v>
      </c>
      <c r="B25" s="209">
        <v>2028</v>
      </c>
      <c r="C25" s="213">
        <v>2527459.69</v>
      </c>
      <c r="D25" s="216">
        <v>1734011.37</v>
      </c>
      <c r="E25" s="217">
        <v>793448.33</v>
      </c>
      <c r="F25" s="213">
        <v>43707051.670000002</v>
      </c>
      <c r="G25" s="218">
        <v>793448.33</v>
      </c>
      <c r="H25" s="219">
        <v>1734011.37</v>
      </c>
    </row>
    <row r="26" spans="1:8">
      <c r="A26" s="198">
        <v>2</v>
      </c>
      <c r="B26" s="209">
        <v>2029</v>
      </c>
      <c r="C26" s="213">
        <v>2527459.69</v>
      </c>
      <c r="D26" s="216">
        <v>1702273.43</v>
      </c>
      <c r="E26" s="217">
        <v>825186.26</v>
      </c>
      <c r="F26" s="213">
        <v>42881865.409999996</v>
      </c>
      <c r="G26" s="220">
        <v>1618634.59</v>
      </c>
      <c r="H26" s="221">
        <v>3436284.8</v>
      </c>
    </row>
    <row r="27" spans="1:8">
      <c r="A27" s="198">
        <v>3</v>
      </c>
      <c r="B27" s="209">
        <v>2030</v>
      </c>
      <c r="C27" s="213">
        <v>2527459.69</v>
      </c>
      <c r="D27" s="216">
        <v>1669265.98</v>
      </c>
      <c r="E27" s="217">
        <v>858193.71</v>
      </c>
      <c r="F27" s="213">
        <v>42023671.700000003</v>
      </c>
      <c r="G27" s="222">
        <v>2476828.2999999998</v>
      </c>
      <c r="H27" s="223">
        <v>5105550.78</v>
      </c>
    </row>
    <row r="28" spans="1:8">
      <c r="A28" s="198">
        <v>4</v>
      </c>
      <c r="B28" s="209">
        <v>2031</v>
      </c>
      <c r="C28" s="213">
        <v>2527459.69</v>
      </c>
      <c r="D28" s="216">
        <v>1634938.23</v>
      </c>
      <c r="E28" s="217">
        <v>892521.46</v>
      </c>
      <c r="F28" s="213">
        <v>41131150.25</v>
      </c>
      <c r="G28" s="222">
        <v>3369349.75</v>
      </c>
      <c r="H28" s="223">
        <v>6740489.0099999998</v>
      </c>
    </row>
    <row r="29" spans="1:8">
      <c r="A29" s="198">
        <v>5</v>
      </c>
      <c r="B29" s="209">
        <v>2032</v>
      </c>
      <c r="C29" s="213">
        <v>2527459.69</v>
      </c>
      <c r="D29" s="216">
        <v>1599237.37</v>
      </c>
      <c r="E29" s="217">
        <v>928222.32</v>
      </c>
      <c r="F29" s="213">
        <v>40202927.93</v>
      </c>
      <c r="G29" s="222">
        <v>4297572.07</v>
      </c>
      <c r="H29" s="223">
        <v>8339726.3899999997</v>
      </c>
    </row>
    <row r="30" spans="1:8">
      <c r="A30" s="198">
        <v>6</v>
      </c>
      <c r="B30" s="209">
        <v>2033</v>
      </c>
      <c r="C30" s="213">
        <v>2527459.69</v>
      </c>
      <c r="D30" s="216">
        <v>1562108.48</v>
      </c>
      <c r="E30" s="217">
        <v>965351.21</v>
      </c>
      <c r="F30" s="213">
        <v>39237576.719999999</v>
      </c>
      <c r="G30" s="222">
        <v>5262923.28</v>
      </c>
      <c r="H30" s="223">
        <v>9901834.8699999992</v>
      </c>
    </row>
    <row r="31" spans="1:8">
      <c r="A31" s="198">
        <v>7</v>
      </c>
      <c r="B31" s="209">
        <v>2034</v>
      </c>
      <c r="C31" s="213">
        <v>2527459.69</v>
      </c>
      <c r="D31" s="216">
        <v>1523494.43</v>
      </c>
      <c r="E31" s="217">
        <v>1003965.26</v>
      </c>
      <c r="F31" s="213">
        <v>38233611.460000001</v>
      </c>
      <c r="G31" s="222">
        <v>6266888.54</v>
      </c>
      <c r="H31" s="223">
        <v>11425329.300000001</v>
      </c>
    </row>
    <row r="32" spans="1:8">
      <c r="A32" s="198">
        <v>8</v>
      </c>
      <c r="B32" s="209">
        <v>2035</v>
      </c>
      <c r="C32" s="213">
        <v>2527459.69</v>
      </c>
      <c r="D32" s="216">
        <v>1483335.82</v>
      </c>
      <c r="E32" s="217">
        <v>1044123.87</v>
      </c>
      <c r="F32" s="213">
        <v>37189487.590000004</v>
      </c>
      <c r="G32" s="222">
        <v>7311012.4100000001</v>
      </c>
      <c r="H32" s="223">
        <v>12908665.130000001</v>
      </c>
    </row>
    <row r="33" spans="1:8">
      <c r="A33" s="198">
        <v>9</v>
      </c>
      <c r="B33" s="209">
        <v>2036</v>
      </c>
      <c r="C33" s="213">
        <v>2527459.69</v>
      </c>
      <c r="D33" s="216">
        <v>1441570.87</v>
      </c>
      <c r="E33" s="217">
        <v>1085888.82</v>
      </c>
      <c r="F33" s="213">
        <v>36103598.770000003</v>
      </c>
      <c r="G33" s="222">
        <v>8396901.2300000004</v>
      </c>
      <c r="H33" s="223">
        <v>14350236</v>
      </c>
    </row>
    <row r="34" spans="1:8">
      <c r="A34" s="198">
        <v>10</v>
      </c>
      <c r="B34" s="209">
        <v>2037</v>
      </c>
      <c r="C34" s="213">
        <v>2527459.69</v>
      </c>
      <c r="D34" s="216">
        <v>1398135.32</v>
      </c>
      <c r="E34" s="217">
        <v>1129324.3799999999</v>
      </c>
      <c r="F34" s="213">
        <v>34974274.399999999</v>
      </c>
      <c r="G34" s="222">
        <v>9526225.5999999996</v>
      </c>
      <c r="H34" s="223">
        <v>15748371.310000001</v>
      </c>
    </row>
    <row r="35" spans="1:8">
      <c r="A35" s="198">
        <v>11</v>
      </c>
      <c r="B35" s="209">
        <v>2038</v>
      </c>
      <c r="C35" s="213">
        <v>2527459.69</v>
      </c>
      <c r="D35" s="216">
        <v>1352962.34</v>
      </c>
      <c r="E35" s="217">
        <v>1174497.3500000001</v>
      </c>
      <c r="F35" s="213">
        <v>33799777.039999999</v>
      </c>
      <c r="G35" s="222">
        <v>10700722.960000001</v>
      </c>
      <c r="H35" s="223">
        <v>17101333.649999999</v>
      </c>
    </row>
    <row r="36" spans="1:8">
      <c r="A36" s="198">
        <v>12</v>
      </c>
      <c r="B36" s="209">
        <v>2039</v>
      </c>
      <c r="C36" s="213">
        <v>2527459.69</v>
      </c>
      <c r="D36" s="216">
        <v>1305982.45</v>
      </c>
      <c r="E36" s="217">
        <v>1221477.24</v>
      </c>
      <c r="F36" s="213">
        <v>32578299.800000001</v>
      </c>
      <c r="G36" s="222">
        <v>11922200.199999999</v>
      </c>
      <c r="H36" s="223">
        <v>18407316.100000001</v>
      </c>
    </row>
    <row r="37" spans="1:8">
      <c r="A37" s="198">
        <v>13</v>
      </c>
      <c r="B37" s="209">
        <v>2040</v>
      </c>
      <c r="C37" s="213">
        <v>2527459.69</v>
      </c>
      <c r="D37" s="216">
        <v>1257123.3600000001</v>
      </c>
      <c r="E37" s="217">
        <v>1270336.33</v>
      </c>
      <c r="F37" s="213">
        <v>31307963.469999999</v>
      </c>
      <c r="G37" s="222">
        <v>13192536.529999999</v>
      </c>
      <c r="H37" s="223">
        <v>19664439.460000001</v>
      </c>
    </row>
    <row r="38" spans="1:8">
      <c r="A38" s="198">
        <v>14</v>
      </c>
      <c r="B38" s="209">
        <v>2041</v>
      </c>
      <c r="C38" s="213">
        <v>2527459.69</v>
      </c>
      <c r="D38" s="216">
        <v>1206309.8999999999</v>
      </c>
      <c r="E38" s="217">
        <v>1321149.79</v>
      </c>
      <c r="F38" s="213">
        <v>29986813.68</v>
      </c>
      <c r="G38" s="222">
        <v>14513686.32</v>
      </c>
      <c r="H38" s="223">
        <v>20870749.359999999</v>
      </c>
    </row>
    <row r="39" spans="1:8">
      <c r="A39" s="198">
        <v>15</v>
      </c>
      <c r="B39" s="209">
        <v>2042</v>
      </c>
      <c r="C39" s="213">
        <v>2527459.69</v>
      </c>
      <c r="D39" s="216">
        <v>1153463.9099999999</v>
      </c>
      <c r="E39" s="217">
        <v>1373995.78</v>
      </c>
      <c r="F39" s="213">
        <v>28612817.899999999</v>
      </c>
      <c r="G39" s="222">
        <v>15887682.1</v>
      </c>
      <c r="H39" s="223">
        <v>22024213.27</v>
      </c>
    </row>
    <row r="40" spans="1:8">
      <c r="A40" s="198">
        <v>16</v>
      </c>
      <c r="B40" s="209">
        <v>2043</v>
      </c>
      <c r="C40" s="213">
        <v>2527459.69</v>
      </c>
      <c r="D40" s="216">
        <v>1098504.08</v>
      </c>
      <c r="E40" s="217">
        <v>1428955.61</v>
      </c>
      <c r="F40" s="213">
        <v>27183862.289999999</v>
      </c>
      <c r="G40" s="222">
        <v>17316637.710000001</v>
      </c>
      <c r="H40" s="223">
        <v>23122717.350000001</v>
      </c>
    </row>
    <row r="41" spans="1:8">
      <c r="A41" s="198">
        <v>17</v>
      </c>
      <c r="B41" s="209">
        <v>2044</v>
      </c>
      <c r="C41" s="213">
        <v>2527459.69</v>
      </c>
      <c r="D41" s="216">
        <v>1041345.86</v>
      </c>
      <c r="E41" s="217">
        <v>1486113.83</v>
      </c>
      <c r="F41" s="213">
        <v>25697748.449999999</v>
      </c>
      <c r="G41" s="222">
        <v>18802751.550000001</v>
      </c>
      <c r="H41" s="223">
        <v>24164063.210000001</v>
      </c>
    </row>
    <row r="42" spans="1:8">
      <c r="A42" s="198">
        <v>18</v>
      </c>
      <c r="B42" s="209">
        <v>2045</v>
      </c>
      <c r="C42" s="213">
        <v>2527459.69</v>
      </c>
      <c r="D42" s="216">
        <v>981901.3</v>
      </c>
      <c r="E42" s="217">
        <v>1545558.39</v>
      </c>
      <c r="F42" s="213">
        <v>24152190.059999999</v>
      </c>
      <c r="G42" s="222">
        <v>20348309.940000001</v>
      </c>
      <c r="H42" s="223">
        <v>25145964.510000002</v>
      </c>
    </row>
    <row r="43" spans="1:8">
      <c r="A43" s="198">
        <v>19</v>
      </c>
      <c r="B43" s="209">
        <v>2046</v>
      </c>
      <c r="C43" s="213">
        <v>2527459.69</v>
      </c>
      <c r="D43" s="216">
        <v>920078.97</v>
      </c>
      <c r="E43" s="217">
        <v>1607380.72</v>
      </c>
      <c r="F43" s="213">
        <v>22544809.34</v>
      </c>
      <c r="G43" s="222">
        <v>21955690.66</v>
      </c>
      <c r="H43" s="223">
        <v>26066043.48</v>
      </c>
    </row>
    <row r="44" spans="1:8">
      <c r="A44" s="198">
        <v>20</v>
      </c>
      <c r="B44" s="209">
        <v>2047</v>
      </c>
      <c r="C44" s="213">
        <v>2527459.69</v>
      </c>
      <c r="D44" s="216">
        <v>855783.74</v>
      </c>
      <c r="E44" s="217">
        <v>1671675.95</v>
      </c>
      <c r="F44" s="213">
        <v>20873133.390000001</v>
      </c>
      <c r="G44" s="222">
        <v>23627366.609999999</v>
      </c>
      <c r="H44" s="223">
        <v>26921827.219999999</v>
      </c>
    </row>
    <row r="45" spans="1:8">
      <c r="A45" s="198">
        <v>21</v>
      </c>
      <c r="B45" s="209">
        <v>2048</v>
      </c>
      <c r="C45" s="213">
        <v>2527459.69</v>
      </c>
      <c r="D45" s="216">
        <v>788916.7</v>
      </c>
      <c r="E45" s="217">
        <v>1738542.99</v>
      </c>
      <c r="F45" s="213">
        <v>19134590.399999999</v>
      </c>
      <c r="G45" s="222">
        <v>25365909.600000001</v>
      </c>
      <c r="H45" s="223">
        <v>27710743.920000002</v>
      </c>
    </row>
    <row r="46" spans="1:8">
      <c r="A46" s="198">
        <v>22</v>
      </c>
      <c r="B46" s="209">
        <v>2049</v>
      </c>
      <c r="C46" s="213">
        <v>2527459.69</v>
      </c>
      <c r="D46" s="216">
        <v>719374.98</v>
      </c>
      <c r="E46" s="217">
        <v>1808084.71</v>
      </c>
      <c r="F46" s="213">
        <v>17326505.690000001</v>
      </c>
      <c r="G46" s="222">
        <v>27173994.309999999</v>
      </c>
      <c r="H46" s="223">
        <v>28430118.899999999</v>
      </c>
    </row>
    <row r="47" spans="1:8">
      <c r="A47" s="198">
        <v>23</v>
      </c>
      <c r="B47" s="209">
        <v>2050</v>
      </c>
      <c r="C47" s="213">
        <v>2527459.69</v>
      </c>
      <c r="D47" s="216">
        <v>647051.59</v>
      </c>
      <c r="E47" s="217">
        <v>1880408.1</v>
      </c>
      <c r="F47" s="213">
        <v>15446097.59</v>
      </c>
      <c r="G47" s="222">
        <v>29054402.41</v>
      </c>
      <c r="H47" s="223">
        <v>29077170.489999998</v>
      </c>
    </row>
    <row r="48" spans="1:8">
      <c r="A48" s="198">
        <v>24</v>
      </c>
      <c r="B48" s="209">
        <v>2051</v>
      </c>
      <c r="C48" s="213">
        <v>2527459.69</v>
      </c>
      <c r="D48" s="216">
        <v>571835.27</v>
      </c>
      <c r="E48" s="217">
        <v>1955624.42</v>
      </c>
      <c r="F48" s="213">
        <v>13490473.16</v>
      </c>
      <c r="G48" s="222">
        <v>31010026.84</v>
      </c>
      <c r="H48" s="223">
        <v>29649005.760000002</v>
      </c>
    </row>
    <row r="49" spans="1:8">
      <c r="A49" s="198">
        <v>25</v>
      </c>
      <c r="B49" s="209">
        <v>2052</v>
      </c>
      <c r="C49" s="213">
        <v>2527459.69</v>
      </c>
      <c r="D49" s="216">
        <v>493610.29</v>
      </c>
      <c r="E49" s="217">
        <v>2033849.4</v>
      </c>
      <c r="F49" s="213">
        <v>11456623.76</v>
      </c>
      <c r="G49" s="222">
        <v>33043876.239999998</v>
      </c>
      <c r="H49" s="223">
        <v>30142616.050000001</v>
      </c>
    </row>
    <row r="50" spans="1:8">
      <c r="A50" s="198">
        <v>26</v>
      </c>
      <c r="B50" s="209">
        <v>2053</v>
      </c>
      <c r="C50" s="213">
        <v>2527459.69</v>
      </c>
      <c r="D50" s="216">
        <v>412256.32</v>
      </c>
      <c r="E50" s="217">
        <v>2115203.38</v>
      </c>
      <c r="F50" s="213">
        <v>9341420.3900000006</v>
      </c>
      <c r="G50" s="222">
        <v>35159079.609999999</v>
      </c>
      <c r="H50" s="223">
        <v>30554872.370000001</v>
      </c>
    </row>
    <row r="51" spans="1:8">
      <c r="A51" s="198">
        <v>27</v>
      </c>
      <c r="B51" s="209">
        <v>2054</v>
      </c>
      <c r="C51" s="213">
        <v>2527459.69</v>
      </c>
      <c r="D51" s="216">
        <v>327648.18</v>
      </c>
      <c r="E51" s="217">
        <v>2199811.5099999998</v>
      </c>
      <c r="F51" s="213">
        <v>7141608.8799999999</v>
      </c>
      <c r="G51" s="222">
        <v>37358891.119999997</v>
      </c>
      <c r="H51" s="223">
        <v>30882520.550000001</v>
      </c>
    </row>
    <row r="52" spans="1:8">
      <c r="A52" s="198">
        <v>28</v>
      </c>
      <c r="B52" s="209">
        <v>2055</v>
      </c>
      <c r="C52" s="213">
        <v>2527459.69</v>
      </c>
      <c r="D52" s="216">
        <v>239655.72</v>
      </c>
      <c r="E52" s="217">
        <v>2287803.9700000002</v>
      </c>
      <c r="F52" s="213">
        <v>4853804.91</v>
      </c>
      <c r="G52" s="222">
        <v>39646695.090000004</v>
      </c>
      <c r="H52" s="223">
        <v>31122176.27</v>
      </c>
    </row>
    <row r="53" spans="1:8">
      <c r="A53" s="198">
        <v>29</v>
      </c>
      <c r="B53" s="209">
        <v>2056</v>
      </c>
      <c r="C53" s="213">
        <v>2527459.69</v>
      </c>
      <c r="D53" s="216">
        <v>148143.56</v>
      </c>
      <c r="E53" s="217">
        <v>2379316.13</v>
      </c>
      <c r="F53" s="213">
        <v>2474488.7799999998</v>
      </c>
      <c r="G53" s="222">
        <v>42026011.219999999</v>
      </c>
      <c r="H53" s="223">
        <v>31270319.829999998</v>
      </c>
    </row>
    <row r="54" spans="1:8">
      <c r="A54" s="199">
        <v>30</v>
      </c>
      <c r="B54" s="209">
        <v>2057</v>
      </c>
      <c r="C54" s="224">
        <v>2527459.69</v>
      </c>
      <c r="D54" s="225">
        <v>52970.92</v>
      </c>
      <c r="E54" s="217">
        <v>2474488.7799999998</v>
      </c>
      <c r="F54" s="210">
        <v>0</v>
      </c>
      <c r="G54" s="222">
        <v>44500500</v>
      </c>
      <c r="H54" s="223">
        <v>31323290.75</v>
      </c>
    </row>
    <row r="55" spans="1:8">
      <c r="A55" s="347" t="s">
        <v>48</v>
      </c>
      <c r="B55" s="348"/>
      <c r="C55" s="227">
        <v>75823790.75</v>
      </c>
      <c r="D55" s="228">
        <v>31323290.75</v>
      </c>
      <c r="E55" s="229">
        <v>44500500</v>
      </c>
      <c r="F55" s="230" t="s">
        <v>207</v>
      </c>
      <c r="G55" s="230" t="s">
        <v>207</v>
      </c>
      <c r="H55" s="230" t="s">
        <v>207</v>
      </c>
    </row>
    <row r="56" spans="1:8">
      <c r="A56" s="195"/>
      <c r="B56" s="195"/>
      <c r="C56" s="195"/>
      <c r="D56" s="195"/>
      <c r="E56" s="195"/>
      <c r="F56" s="195"/>
      <c r="G56" s="195"/>
      <c r="H56" s="195"/>
    </row>
    <row r="57" spans="1:8">
      <c r="A57" s="195"/>
      <c r="B57" s="195"/>
      <c r="C57" s="195"/>
      <c r="D57" s="195"/>
      <c r="E57" s="195"/>
      <c r="F57" s="195"/>
      <c r="G57" s="195"/>
      <c r="H57" s="195"/>
    </row>
    <row r="58" spans="1:8">
      <c r="A58" s="196" t="s">
        <v>207</v>
      </c>
      <c r="B58" s="203" t="s">
        <v>240</v>
      </c>
      <c r="C58" s="203" t="s">
        <v>207</v>
      </c>
      <c r="D58" s="203" t="s">
        <v>207</v>
      </c>
      <c r="E58" s="203" t="s">
        <v>207</v>
      </c>
      <c r="F58" s="203" t="s">
        <v>231</v>
      </c>
      <c r="G58" s="204" t="s">
        <v>231</v>
      </c>
      <c r="H58" s="205" t="s">
        <v>232</v>
      </c>
    </row>
    <row r="59" spans="1:8">
      <c r="A59" s="197" t="s">
        <v>233</v>
      </c>
      <c r="B59" s="206" t="s">
        <v>241</v>
      </c>
      <c r="C59" s="206" t="s">
        <v>242</v>
      </c>
      <c r="D59" s="206" t="s">
        <v>232</v>
      </c>
      <c r="E59" s="206" t="s">
        <v>236</v>
      </c>
      <c r="F59" s="206" t="s">
        <v>237</v>
      </c>
      <c r="G59" s="207" t="s">
        <v>238</v>
      </c>
      <c r="H59" s="208" t="s">
        <v>239</v>
      </c>
    </row>
    <row r="60" spans="1:8">
      <c r="A60" s="200">
        <v>0</v>
      </c>
      <c r="B60" s="231" t="s">
        <v>207</v>
      </c>
      <c r="C60" s="210" t="s">
        <v>207</v>
      </c>
      <c r="D60" s="211" t="s">
        <v>207</v>
      </c>
      <c r="E60" s="212" t="s">
        <v>207</v>
      </c>
      <c r="F60" s="213">
        <v>44500500</v>
      </c>
      <c r="G60" s="214" t="s">
        <v>207</v>
      </c>
      <c r="H60" s="215" t="s">
        <v>207</v>
      </c>
    </row>
    <row r="61" spans="1:8">
      <c r="A61" s="201">
        <v>1</v>
      </c>
      <c r="B61" s="232" t="s">
        <v>214</v>
      </c>
      <c r="C61" s="224">
        <v>210621.64</v>
      </c>
      <c r="D61" s="225">
        <v>145683.06</v>
      </c>
      <c r="E61" s="226">
        <v>64938.58</v>
      </c>
      <c r="F61" s="224">
        <v>44435561.420000002</v>
      </c>
      <c r="G61" s="218">
        <v>64938.58</v>
      </c>
      <c r="H61" s="219">
        <v>145683.06</v>
      </c>
    </row>
    <row r="62" spans="1:8">
      <c r="A62" s="201">
        <v>2</v>
      </c>
      <c r="B62" s="232" t="s">
        <v>243</v>
      </c>
      <c r="C62" s="224">
        <v>210621.64</v>
      </c>
      <c r="D62" s="225">
        <v>145470.47</v>
      </c>
      <c r="E62" s="226">
        <v>65151.18</v>
      </c>
      <c r="F62" s="224">
        <v>44370410.240000002</v>
      </c>
      <c r="G62" s="218">
        <v>130089.76</v>
      </c>
      <c r="H62" s="219">
        <v>291153.52</v>
      </c>
    </row>
    <row r="63" spans="1:8">
      <c r="A63" s="201">
        <v>3</v>
      </c>
      <c r="B63" s="232" t="s">
        <v>244</v>
      </c>
      <c r="C63" s="224">
        <v>210621.64</v>
      </c>
      <c r="D63" s="225">
        <v>145257.18</v>
      </c>
      <c r="E63" s="226">
        <v>65364.46</v>
      </c>
      <c r="F63" s="224">
        <v>44305045.780000001</v>
      </c>
      <c r="G63" s="218">
        <v>195454.22</v>
      </c>
      <c r="H63" s="219">
        <v>436410.7</v>
      </c>
    </row>
    <row r="64" spans="1:8">
      <c r="A64" s="201">
        <v>4</v>
      </c>
      <c r="B64" s="232" t="s">
        <v>245</v>
      </c>
      <c r="C64" s="224">
        <v>210621.64</v>
      </c>
      <c r="D64" s="225">
        <v>145043.19</v>
      </c>
      <c r="E64" s="226">
        <v>65578.45</v>
      </c>
      <c r="F64" s="224">
        <v>44239467.329999998</v>
      </c>
      <c r="G64" s="218">
        <v>261032.67</v>
      </c>
      <c r="H64" s="219">
        <v>581453.89</v>
      </c>
    </row>
    <row r="65" spans="1:8">
      <c r="A65" s="201">
        <v>5</v>
      </c>
      <c r="B65" s="232" t="s">
        <v>246</v>
      </c>
      <c r="C65" s="224">
        <v>210621.64</v>
      </c>
      <c r="D65" s="225">
        <v>144828.5</v>
      </c>
      <c r="E65" s="226">
        <v>65793.14</v>
      </c>
      <c r="F65" s="224">
        <v>44173674.189999998</v>
      </c>
      <c r="G65" s="218">
        <v>326825.81</v>
      </c>
      <c r="H65" s="219">
        <v>726282.39</v>
      </c>
    </row>
    <row r="66" spans="1:8">
      <c r="A66" s="201">
        <v>6</v>
      </c>
      <c r="B66" s="232" t="s">
        <v>247</v>
      </c>
      <c r="C66" s="224">
        <v>210621.64</v>
      </c>
      <c r="D66" s="225">
        <v>144613.10999999999</v>
      </c>
      <c r="E66" s="226">
        <v>66008.53</v>
      </c>
      <c r="F66" s="224">
        <v>44107665.659999996</v>
      </c>
      <c r="G66" s="218">
        <v>392834.34</v>
      </c>
      <c r="H66" s="219">
        <v>870895.51</v>
      </c>
    </row>
    <row r="67" spans="1:8">
      <c r="A67" s="201">
        <v>7</v>
      </c>
      <c r="B67" s="232" t="s">
        <v>248</v>
      </c>
      <c r="C67" s="224">
        <v>210621.64</v>
      </c>
      <c r="D67" s="225">
        <v>144397.01999999999</v>
      </c>
      <c r="E67" s="226">
        <v>66224.62</v>
      </c>
      <c r="F67" s="224">
        <v>44041441.039999999</v>
      </c>
      <c r="G67" s="218">
        <v>459058.96</v>
      </c>
      <c r="H67" s="219">
        <v>1015292.53</v>
      </c>
    </row>
    <row r="68" spans="1:8">
      <c r="A68" s="201">
        <v>8</v>
      </c>
      <c r="B68" s="232" t="s">
        <v>249</v>
      </c>
      <c r="C68" s="224">
        <v>210621.64</v>
      </c>
      <c r="D68" s="225">
        <v>144180.22</v>
      </c>
      <c r="E68" s="226">
        <v>66441.42</v>
      </c>
      <c r="F68" s="224">
        <v>43974999.619999997</v>
      </c>
      <c r="G68" s="218">
        <v>525500.38</v>
      </c>
      <c r="H68" s="219">
        <v>1159472.75</v>
      </c>
    </row>
    <row r="69" spans="1:8">
      <c r="A69" s="201">
        <v>9</v>
      </c>
      <c r="B69" s="232" t="s">
        <v>250</v>
      </c>
      <c r="C69" s="224">
        <v>210621.64</v>
      </c>
      <c r="D69" s="225">
        <v>143962.71</v>
      </c>
      <c r="E69" s="226">
        <v>66658.94</v>
      </c>
      <c r="F69" s="224">
        <v>43908340.68</v>
      </c>
      <c r="G69" s="218">
        <v>592159.31999999995</v>
      </c>
      <c r="H69" s="219">
        <v>1303435.45</v>
      </c>
    </row>
    <row r="70" spans="1:8">
      <c r="A70" s="201">
        <v>10</v>
      </c>
      <c r="B70" s="232" t="s">
        <v>251</v>
      </c>
      <c r="C70" s="224">
        <v>210621.64</v>
      </c>
      <c r="D70" s="225">
        <v>143744.48000000001</v>
      </c>
      <c r="E70" s="226">
        <v>66877.16</v>
      </c>
      <c r="F70" s="224">
        <v>43841463.520000003</v>
      </c>
      <c r="G70" s="218">
        <v>659036.48</v>
      </c>
      <c r="H70" s="219">
        <v>1447179.93</v>
      </c>
    </row>
    <row r="71" spans="1:8">
      <c r="A71" s="201">
        <v>11</v>
      </c>
      <c r="B71" s="232" t="s">
        <v>252</v>
      </c>
      <c r="C71" s="224">
        <v>210621.64</v>
      </c>
      <c r="D71" s="225">
        <v>143525.54</v>
      </c>
      <c r="E71" s="226">
        <v>67096.100000000006</v>
      </c>
      <c r="F71" s="224">
        <v>43774367.43</v>
      </c>
      <c r="G71" s="218">
        <v>726132.57</v>
      </c>
      <c r="H71" s="219">
        <v>1590705.48</v>
      </c>
    </row>
    <row r="72" spans="1:8">
      <c r="A72" s="200">
        <v>12</v>
      </c>
      <c r="B72" s="231" t="s">
        <v>253</v>
      </c>
      <c r="C72" s="213">
        <v>210621.64</v>
      </c>
      <c r="D72" s="216">
        <v>143305.89000000001</v>
      </c>
      <c r="E72" s="217">
        <v>67315.75</v>
      </c>
      <c r="F72" s="213">
        <v>43707051.670000002</v>
      </c>
      <c r="G72" s="222">
        <v>793448.33</v>
      </c>
      <c r="H72" s="223">
        <v>1734011.37</v>
      </c>
    </row>
    <row r="73" spans="1:8">
      <c r="A73" s="201">
        <v>13</v>
      </c>
      <c r="B73" s="232" t="s">
        <v>254</v>
      </c>
      <c r="C73" s="224">
        <v>210621.64</v>
      </c>
      <c r="D73" s="225">
        <v>143085.51</v>
      </c>
      <c r="E73" s="226">
        <v>67536.13</v>
      </c>
      <c r="F73" s="224">
        <v>43639515.549999997</v>
      </c>
      <c r="G73" s="218">
        <v>860984.45</v>
      </c>
      <c r="H73" s="219">
        <v>1877096.88</v>
      </c>
    </row>
    <row r="74" spans="1:8">
      <c r="A74" s="201">
        <v>14</v>
      </c>
      <c r="B74" s="232" t="s">
        <v>255</v>
      </c>
      <c r="C74" s="224">
        <v>210621.64</v>
      </c>
      <c r="D74" s="225">
        <v>142864.42000000001</v>
      </c>
      <c r="E74" s="226">
        <v>67757.22</v>
      </c>
      <c r="F74" s="224">
        <v>43571758.32</v>
      </c>
      <c r="G74" s="218">
        <v>928741.68</v>
      </c>
      <c r="H74" s="219">
        <v>2019961.3</v>
      </c>
    </row>
    <row r="75" spans="1:8">
      <c r="A75" s="201">
        <v>15</v>
      </c>
      <c r="B75" s="232" t="s">
        <v>256</v>
      </c>
      <c r="C75" s="224">
        <v>210621.64</v>
      </c>
      <c r="D75" s="225">
        <v>142642.6</v>
      </c>
      <c r="E75" s="226">
        <v>67979.039999999994</v>
      </c>
      <c r="F75" s="224">
        <v>43503779.280000001</v>
      </c>
      <c r="G75" s="218">
        <v>996720.72</v>
      </c>
      <c r="H75" s="219">
        <v>2162603.9</v>
      </c>
    </row>
    <row r="76" spans="1:8">
      <c r="A76" s="201">
        <v>16</v>
      </c>
      <c r="B76" s="232" t="s">
        <v>257</v>
      </c>
      <c r="C76" s="224">
        <v>210621.64</v>
      </c>
      <c r="D76" s="225">
        <v>142420.04999999999</v>
      </c>
      <c r="E76" s="226">
        <v>68201.59</v>
      </c>
      <c r="F76" s="224">
        <v>43435577.689999998</v>
      </c>
      <c r="G76" s="218">
        <v>1064922.31</v>
      </c>
      <c r="H76" s="219">
        <v>2305023.9500000002</v>
      </c>
    </row>
    <row r="77" spans="1:8">
      <c r="A77" s="201">
        <v>17</v>
      </c>
      <c r="B77" s="232" t="s">
        <v>258</v>
      </c>
      <c r="C77" s="224">
        <v>210621.64</v>
      </c>
      <c r="D77" s="225">
        <v>142196.78</v>
      </c>
      <c r="E77" s="226">
        <v>68424.86</v>
      </c>
      <c r="F77" s="224">
        <v>43367152.829999998</v>
      </c>
      <c r="G77" s="218">
        <v>1133347.17</v>
      </c>
      <c r="H77" s="219">
        <v>2447220.73</v>
      </c>
    </row>
    <row r="78" spans="1:8">
      <c r="A78" s="201">
        <v>18</v>
      </c>
      <c r="B78" s="232" t="s">
        <v>259</v>
      </c>
      <c r="C78" s="224">
        <v>210621.64</v>
      </c>
      <c r="D78" s="225">
        <v>141972.76999999999</v>
      </c>
      <c r="E78" s="226">
        <v>68648.87</v>
      </c>
      <c r="F78" s="224">
        <v>43298503.960000001</v>
      </c>
      <c r="G78" s="218">
        <v>1201996.04</v>
      </c>
      <c r="H78" s="219">
        <v>2589193.5</v>
      </c>
    </row>
    <row r="79" spans="1:8">
      <c r="A79" s="201">
        <v>19</v>
      </c>
      <c r="B79" s="232" t="s">
        <v>260</v>
      </c>
      <c r="C79" s="224">
        <v>210621.64</v>
      </c>
      <c r="D79" s="225">
        <v>141748.03</v>
      </c>
      <c r="E79" s="226">
        <v>68873.61</v>
      </c>
      <c r="F79" s="224">
        <v>43229630.359999999</v>
      </c>
      <c r="G79" s="218">
        <v>1270869.6399999999</v>
      </c>
      <c r="H79" s="219">
        <v>2730941.54</v>
      </c>
    </row>
    <row r="80" spans="1:8">
      <c r="A80" s="201">
        <v>20</v>
      </c>
      <c r="B80" s="232" t="s">
        <v>261</v>
      </c>
      <c r="C80" s="224">
        <v>210621.64</v>
      </c>
      <c r="D80" s="225">
        <v>141522.56</v>
      </c>
      <c r="E80" s="226">
        <v>69099.08</v>
      </c>
      <c r="F80" s="224">
        <v>43160531.280000001</v>
      </c>
      <c r="G80" s="218">
        <v>1339968.72</v>
      </c>
      <c r="H80" s="219">
        <v>2872464.1</v>
      </c>
    </row>
    <row r="81" spans="1:8">
      <c r="A81" s="201">
        <v>21</v>
      </c>
      <c r="B81" s="232" t="s">
        <v>262</v>
      </c>
      <c r="C81" s="224">
        <v>210621.64</v>
      </c>
      <c r="D81" s="225">
        <v>141296.35</v>
      </c>
      <c r="E81" s="226">
        <v>69325.289999999994</v>
      </c>
      <c r="F81" s="224">
        <v>43091205.979999997</v>
      </c>
      <c r="G81" s="218">
        <v>1409294.02</v>
      </c>
      <c r="H81" s="219">
        <v>3013760.44</v>
      </c>
    </row>
    <row r="82" spans="1:8">
      <c r="A82" s="201">
        <v>22</v>
      </c>
      <c r="B82" s="232" t="s">
        <v>263</v>
      </c>
      <c r="C82" s="224">
        <v>210621.64</v>
      </c>
      <c r="D82" s="225">
        <v>141069.4</v>
      </c>
      <c r="E82" s="226">
        <v>69552.25</v>
      </c>
      <c r="F82" s="224">
        <v>43021653.740000002</v>
      </c>
      <c r="G82" s="218">
        <v>1478846.26</v>
      </c>
      <c r="H82" s="219">
        <v>3154829.84</v>
      </c>
    </row>
    <row r="83" spans="1:8">
      <c r="A83" s="201">
        <v>23</v>
      </c>
      <c r="B83" s="232" t="s">
        <v>264</v>
      </c>
      <c r="C83" s="224">
        <v>210621.64</v>
      </c>
      <c r="D83" s="225">
        <v>140841.70000000001</v>
      </c>
      <c r="E83" s="226">
        <v>69779.94</v>
      </c>
      <c r="F83" s="224">
        <v>42951873.799999997</v>
      </c>
      <c r="G83" s="218">
        <v>1548626.2</v>
      </c>
      <c r="H83" s="219">
        <v>3295671.54</v>
      </c>
    </row>
    <row r="84" spans="1:8">
      <c r="A84" s="200">
        <v>24</v>
      </c>
      <c r="B84" s="231" t="s">
        <v>265</v>
      </c>
      <c r="C84" s="213">
        <v>210621.64</v>
      </c>
      <c r="D84" s="216">
        <v>140613.26</v>
      </c>
      <c r="E84" s="217">
        <v>70008.38</v>
      </c>
      <c r="F84" s="213">
        <v>42881865.409999996</v>
      </c>
      <c r="G84" s="222">
        <v>1618634.59</v>
      </c>
      <c r="H84" s="223">
        <v>3436284.8</v>
      </c>
    </row>
    <row r="85" spans="1:8">
      <c r="A85" s="201">
        <v>25</v>
      </c>
      <c r="B85" s="232" t="s">
        <v>266</v>
      </c>
      <c r="C85" s="224">
        <v>210621.64</v>
      </c>
      <c r="D85" s="225">
        <v>140384.07</v>
      </c>
      <c r="E85" s="226">
        <v>70237.570000000007</v>
      </c>
      <c r="F85" s="224">
        <v>42811627.840000004</v>
      </c>
      <c r="G85" s="218">
        <v>1688872.16</v>
      </c>
      <c r="H85" s="219">
        <v>3576668.87</v>
      </c>
    </row>
    <row r="86" spans="1:8">
      <c r="A86" s="201">
        <v>26</v>
      </c>
      <c r="B86" s="232" t="s">
        <v>267</v>
      </c>
      <c r="C86" s="224">
        <v>210621.64</v>
      </c>
      <c r="D86" s="225">
        <v>140154.13</v>
      </c>
      <c r="E86" s="226">
        <v>70467.509999999995</v>
      </c>
      <c r="F86" s="224">
        <v>42741160.329999998</v>
      </c>
      <c r="G86" s="218">
        <v>1759339.67</v>
      </c>
      <c r="H86" s="219">
        <v>3716823</v>
      </c>
    </row>
    <row r="87" spans="1:8">
      <c r="A87" s="201">
        <v>27</v>
      </c>
      <c r="B87" s="232" t="s">
        <v>268</v>
      </c>
      <c r="C87" s="224">
        <v>210621.64</v>
      </c>
      <c r="D87" s="225">
        <v>139923.44</v>
      </c>
      <c r="E87" s="226">
        <v>70698.2</v>
      </c>
      <c r="F87" s="224">
        <v>42670462.130000003</v>
      </c>
      <c r="G87" s="218">
        <v>1830037.87</v>
      </c>
      <c r="H87" s="219">
        <v>3856746.43</v>
      </c>
    </row>
    <row r="88" spans="1:8">
      <c r="A88" s="201">
        <v>28</v>
      </c>
      <c r="B88" s="232" t="s">
        <v>269</v>
      </c>
      <c r="C88" s="224">
        <v>210621.64</v>
      </c>
      <c r="D88" s="225">
        <v>139691.99</v>
      </c>
      <c r="E88" s="226">
        <v>70929.649999999994</v>
      </c>
      <c r="F88" s="224">
        <v>42599532.469999999</v>
      </c>
      <c r="G88" s="218">
        <v>1900967.53</v>
      </c>
      <c r="H88" s="219">
        <v>3996438.42</v>
      </c>
    </row>
    <row r="89" spans="1:8">
      <c r="A89" s="201">
        <v>29</v>
      </c>
      <c r="B89" s="232" t="s">
        <v>270</v>
      </c>
      <c r="C89" s="224">
        <v>210621.64</v>
      </c>
      <c r="D89" s="225">
        <v>139459.78</v>
      </c>
      <c r="E89" s="226">
        <v>71161.86</v>
      </c>
      <c r="F89" s="224">
        <v>42528370.619999997</v>
      </c>
      <c r="G89" s="218">
        <v>1972129.38</v>
      </c>
      <c r="H89" s="219">
        <v>4135898.21</v>
      </c>
    </row>
    <row r="90" spans="1:8">
      <c r="A90" s="201">
        <v>30</v>
      </c>
      <c r="B90" s="232" t="s">
        <v>271</v>
      </c>
      <c r="C90" s="224">
        <v>210621.64</v>
      </c>
      <c r="D90" s="225">
        <v>139226.82</v>
      </c>
      <c r="E90" s="226">
        <v>71394.820000000007</v>
      </c>
      <c r="F90" s="224">
        <v>42456975.799999997</v>
      </c>
      <c r="G90" s="218">
        <v>2043524.2</v>
      </c>
      <c r="H90" s="219">
        <v>4275125.0199999996</v>
      </c>
    </row>
    <row r="91" spans="1:8">
      <c r="A91" s="201">
        <v>31</v>
      </c>
      <c r="B91" s="232" t="s">
        <v>272</v>
      </c>
      <c r="C91" s="224">
        <v>210621.64</v>
      </c>
      <c r="D91" s="225">
        <v>138993.09</v>
      </c>
      <c r="E91" s="226">
        <v>71628.55</v>
      </c>
      <c r="F91" s="224">
        <v>42385347.25</v>
      </c>
      <c r="G91" s="218">
        <v>2115152.75</v>
      </c>
      <c r="H91" s="219">
        <v>4414118.12</v>
      </c>
    </row>
    <row r="92" spans="1:8">
      <c r="A92" s="201">
        <v>32</v>
      </c>
      <c r="B92" s="232" t="s">
        <v>273</v>
      </c>
      <c r="C92" s="224">
        <v>210621.64</v>
      </c>
      <c r="D92" s="225">
        <v>138758.6</v>
      </c>
      <c r="E92" s="226">
        <v>71863.039999999994</v>
      </c>
      <c r="F92" s="224">
        <v>42313484.200000003</v>
      </c>
      <c r="G92" s="218">
        <v>2187015.7999999998</v>
      </c>
      <c r="H92" s="219">
        <v>4552876.71</v>
      </c>
    </row>
    <row r="93" spans="1:8">
      <c r="A93" s="201">
        <v>33</v>
      </c>
      <c r="B93" s="232" t="s">
        <v>274</v>
      </c>
      <c r="C93" s="224">
        <v>210621.64</v>
      </c>
      <c r="D93" s="225">
        <v>138523.34</v>
      </c>
      <c r="E93" s="226">
        <v>72098.3</v>
      </c>
      <c r="F93" s="224">
        <v>42241385.899999999</v>
      </c>
      <c r="G93" s="218">
        <v>2259114.1</v>
      </c>
      <c r="H93" s="219">
        <v>4691400.05</v>
      </c>
    </row>
    <row r="94" spans="1:8">
      <c r="A94" s="201">
        <v>34</v>
      </c>
      <c r="B94" s="232" t="s">
        <v>275</v>
      </c>
      <c r="C94" s="224">
        <v>210621.64</v>
      </c>
      <c r="D94" s="225">
        <v>138287.31</v>
      </c>
      <c r="E94" s="226">
        <v>72334.34</v>
      </c>
      <c r="F94" s="224">
        <v>42169051.560000002</v>
      </c>
      <c r="G94" s="218">
        <v>2331448.44</v>
      </c>
      <c r="H94" s="219">
        <v>4829687.3499999996</v>
      </c>
    </row>
    <row r="95" spans="1:8">
      <c r="A95" s="201">
        <v>35</v>
      </c>
      <c r="B95" s="232" t="s">
        <v>276</v>
      </c>
      <c r="C95" s="224">
        <v>210621.64</v>
      </c>
      <c r="D95" s="225">
        <v>138050.5</v>
      </c>
      <c r="E95" s="226">
        <v>72571.14</v>
      </c>
      <c r="F95" s="224">
        <v>42096480.420000002</v>
      </c>
      <c r="G95" s="218">
        <v>2404019.58</v>
      </c>
      <c r="H95" s="219">
        <v>4967737.8600000003</v>
      </c>
    </row>
    <row r="96" spans="1:8">
      <c r="A96" s="200">
        <v>36</v>
      </c>
      <c r="B96" s="231" t="s">
        <v>277</v>
      </c>
      <c r="C96" s="213">
        <v>210621.64</v>
      </c>
      <c r="D96" s="216">
        <v>137812.92000000001</v>
      </c>
      <c r="E96" s="217">
        <v>72808.72</v>
      </c>
      <c r="F96" s="213">
        <v>42023671.700000003</v>
      </c>
      <c r="G96" s="222">
        <v>2476828.2999999998</v>
      </c>
      <c r="H96" s="223">
        <v>5105550.78</v>
      </c>
    </row>
    <row r="97" spans="1:8">
      <c r="A97" s="201">
        <v>37</v>
      </c>
      <c r="B97" s="232" t="s">
        <v>278</v>
      </c>
      <c r="C97" s="224">
        <v>210621.64</v>
      </c>
      <c r="D97" s="225">
        <v>137574.57</v>
      </c>
      <c r="E97" s="226">
        <v>73047.08</v>
      </c>
      <c r="F97" s="224">
        <v>41950624.630000003</v>
      </c>
      <c r="G97" s="218">
        <v>2549875.37</v>
      </c>
      <c r="H97" s="219">
        <v>5243125.34</v>
      </c>
    </row>
    <row r="98" spans="1:8">
      <c r="A98" s="201">
        <v>38</v>
      </c>
      <c r="B98" s="232" t="s">
        <v>279</v>
      </c>
      <c r="C98" s="224">
        <v>210621.64</v>
      </c>
      <c r="D98" s="225">
        <v>137335.43</v>
      </c>
      <c r="E98" s="226">
        <v>73286.210000000006</v>
      </c>
      <c r="F98" s="224">
        <v>41877338.420000002</v>
      </c>
      <c r="G98" s="218">
        <v>2623161.58</v>
      </c>
      <c r="H98" s="219">
        <v>5380460.7699999996</v>
      </c>
    </row>
    <row r="99" spans="1:8">
      <c r="A99" s="201">
        <v>39</v>
      </c>
      <c r="B99" s="232" t="s">
        <v>280</v>
      </c>
      <c r="C99" s="224">
        <v>210621.64</v>
      </c>
      <c r="D99" s="225">
        <v>137095.51</v>
      </c>
      <c r="E99" s="226">
        <v>73526.13</v>
      </c>
      <c r="F99" s="224">
        <v>41803812.280000001</v>
      </c>
      <c r="G99" s="218">
        <v>2696687.72</v>
      </c>
      <c r="H99" s="219">
        <v>5517556.2800000003</v>
      </c>
    </row>
    <row r="100" spans="1:8">
      <c r="A100" s="201">
        <v>40</v>
      </c>
      <c r="B100" s="232" t="s">
        <v>281</v>
      </c>
      <c r="C100" s="224">
        <v>210621.64</v>
      </c>
      <c r="D100" s="225">
        <v>136854.79999999999</v>
      </c>
      <c r="E100" s="226">
        <v>73766.84</v>
      </c>
      <c r="F100" s="224">
        <v>41730045.450000003</v>
      </c>
      <c r="G100" s="218">
        <v>2770454.55</v>
      </c>
      <c r="H100" s="219">
        <v>5654411.0899999999</v>
      </c>
    </row>
    <row r="101" spans="1:8">
      <c r="A101" s="201">
        <v>41</v>
      </c>
      <c r="B101" s="232" t="s">
        <v>282</v>
      </c>
      <c r="C101" s="224">
        <v>210621.64</v>
      </c>
      <c r="D101" s="225">
        <v>136613.31</v>
      </c>
      <c r="E101" s="226">
        <v>74008.33</v>
      </c>
      <c r="F101" s="224">
        <v>41656037.119999997</v>
      </c>
      <c r="G101" s="218">
        <v>2844462.88</v>
      </c>
      <c r="H101" s="219">
        <v>5791024.4000000004</v>
      </c>
    </row>
    <row r="102" spans="1:8">
      <c r="A102" s="201">
        <v>42</v>
      </c>
      <c r="B102" s="232" t="s">
        <v>283</v>
      </c>
      <c r="C102" s="224">
        <v>210621.64</v>
      </c>
      <c r="D102" s="225">
        <v>136371.03</v>
      </c>
      <c r="E102" s="226">
        <v>74250.62</v>
      </c>
      <c r="F102" s="224">
        <v>41581786.5</v>
      </c>
      <c r="G102" s="218">
        <v>2918713.5</v>
      </c>
      <c r="H102" s="219">
        <v>5927395.4199999999</v>
      </c>
    </row>
    <row r="103" spans="1:8">
      <c r="A103" s="201">
        <v>43</v>
      </c>
      <c r="B103" s="232" t="s">
        <v>284</v>
      </c>
      <c r="C103" s="224">
        <v>210621.64</v>
      </c>
      <c r="D103" s="225">
        <v>136127.95000000001</v>
      </c>
      <c r="E103" s="226">
        <v>74493.69</v>
      </c>
      <c r="F103" s="224">
        <v>41507292.810000002</v>
      </c>
      <c r="G103" s="218">
        <v>2993207.19</v>
      </c>
      <c r="H103" s="219">
        <v>6063523.3700000001</v>
      </c>
    </row>
    <row r="104" spans="1:8">
      <c r="A104" s="201">
        <v>44</v>
      </c>
      <c r="B104" s="232" t="s">
        <v>285</v>
      </c>
      <c r="C104" s="224">
        <v>210621.64</v>
      </c>
      <c r="D104" s="225">
        <v>135884.07999999999</v>
      </c>
      <c r="E104" s="226">
        <v>74737.570000000007</v>
      </c>
      <c r="F104" s="224">
        <v>41432555.240000002</v>
      </c>
      <c r="G104" s="218">
        <v>3067944.76</v>
      </c>
      <c r="H104" s="219">
        <v>6199407.4500000002</v>
      </c>
    </row>
    <row r="105" spans="1:8">
      <c r="A105" s="201">
        <v>45</v>
      </c>
      <c r="B105" s="232" t="s">
        <v>286</v>
      </c>
      <c r="C105" s="224">
        <v>210621.64</v>
      </c>
      <c r="D105" s="225">
        <v>135639.4</v>
      </c>
      <c r="E105" s="226">
        <v>74982.240000000005</v>
      </c>
      <c r="F105" s="224">
        <v>41357573.009999998</v>
      </c>
      <c r="G105" s="218">
        <v>3142926.99</v>
      </c>
      <c r="H105" s="219">
        <v>6335046.8499999996</v>
      </c>
    </row>
    <row r="106" spans="1:8">
      <c r="A106" s="201">
        <v>46</v>
      </c>
      <c r="B106" s="232" t="s">
        <v>287</v>
      </c>
      <c r="C106" s="224">
        <v>210621.64</v>
      </c>
      <c r="D106" s="225">
        <v>135393.93</v>
      </c>
      <c r="E106" s="226">
        <v>75227.710000000006</v>
      </c>
      <c r="F106" s="224">
        <v>41282345.299999997</v>
      </c>
      <c r="G106" s="218">
        <v>3218154.7</v>
      </c>
      <c r="H106" s="219">
        <v>6470440.7800000003</v>
      </c>
    </row>
    <row r="107" spans="1:8">
      <c r="A107" s="201">
        <v>47</v>
      </c>
      <c r="B107" s="232" t="s">
        <v>288</v>
      </c>
      <c r="C107" s="224">
        <v>210621.64</v>
      </c>
      <c r="D107" s="225">
        <v>135147.66</v>
      </c>
      <c r="E107" s="226">
        <v>75473.98</v>
      </c>
      <c r="F107" s="224">
        <v>41206871.310000002</v>
      </c>
      <c r="G107" s="218">
        <v>3293628.69</v>
      </c>
      <c r="H107" s="219">
        <v>6605588.4400000004</v>
      </c>
    </row>
    <row r="108" spans="1:8">
      <c r="A108" s="200">
        <v>48</v>
      </c>
      <c r="B108" s="231" t="s">
        <v>289</v>
      </c>
      <c r="C108" s="213">
        <v>210621.64</v>
      </c>
      <c r="D108" s="216">
        <v>134900.57</v>
      </c>
      <c r="E108" s="217">
        <v>75721.070000000007</v>
      </c>
      <c r="F108" s="213">
        <v>41131150.25</v>
      </c>
      <c r="G108" s="222">
        <v>3369349.75</v>
      </c>
      <c r="H108" s="223">
        <v>6740489.0099999998</v>
      </c>
    </row>
    <row r="109" spans="1:8">
      <c r="A109" s="201">
        <v>49</v>
      </c>
      <c r="B109" s="232" t="s">
        <v>290</v>
      </c>
      <c r="C109" s="224">
        <v>210621.64</v>
      </c>
      <c r="D109" s="225">
        <v>134652.68</v>
      </c>
      <c r="E109" s="226">
        <v>75968.960000000006</v>
      </c>
      <c r="F109" s="224">
        <v>41055181.289999999</v>
      </c>
      <c r="G109" s="218">
        <v>3445318.71</v>
      </c>
      <c r="H109" s="219">
        <v>6875141.6900000004</v>
      </c>
    </row>
    <row r="110" spans="1:8">
      <c r="A110" s="201">
        <v>50</v>
      </c>
      <c r="B110" s="232" t="s">
        <v>291</v>
      </c>
      <c r="C110" s="224">
        <v>210621.64</v>
      </c>
      <c r="D110" s="225">
        <v>134403.98000000001</v>
      </c>
      <c r="E110" s="226">
        <v>76217.66</v>
      </c>
      <c r="F110" s="224">
        <v>40978963.630000003</v>
      </c>
      <c r="G110" s="218">
        <v>3521536.37</v>
      </c>
      <c r="H110" s="219">
        <v>7009545.6799999997</v>
      </c>
    </row>
    <row r="111" spans="1:8">
      <c r="A111" s="201">
        <v>51</v>
      </c>
      <c r="B111" s="232" t="s">
        <v>292</v>
      </c>
      <c r="C111" s="224">
        <v>210621.64</v>
      </c>
      <c r="D111" s="225">
        <v>134154.46</v>
      </c>
      <c r="E111" s="226">
        <v>76467.179999999993</v>
      </c>
      <c r="F111" s="224">
        <v>40902496.450000003</v>
      </c>
      <c r="G111" s="218">
        <v>3598003.55</v>
      </c>
      <c r="H111" s="219">
        <v>7143700.1399999997</v>
      </c>
    </row>
    <row r="112" spans="1:8">
      <c r="A112" s="201">
        <v>52</v>
      </c>
      <c r="B112" s="232" t="s">
        <v>293</v>
      </c>
      <c r="C112" s="224">
        <v>210621.64</v>
      </c>
      <c r="D112" s="225">
        <v>133904.13</v>
      </c>
      <c r="E112" s="226">
        <v>76717.509999999995</v>
      </c>
      <c r="F112" s="224">
        <v>40825778.939999998</v>
      </c>
      <c r="G112" s="218">
        <v>3674721.06</v>
      </c>
      <c r="H112" s="219">
        <v>7277604.2699999996</v>
      </c>
    </row>
    <row r="113" spans="1:8">
      <c r="A113" s="201">
        <v>53</v>
      </c>
      <c r="B113" s="232" t="s">
        <v>294</v>
      </c>
      <c r="C113" s="224">
        <v>210621.64</v>
      </c>
      <c r="D113" s="225">
        <v>133652.98000000001</v>
      </c>
      <c r="E113" s="226">
        <v>76968.66</v>
      </c>
      <c r="F113" s="224">
        <v>40748810.270000003</v>
      </c>
      <c r="G113" s="218">
        <v>3751689.73</v>
      </c>
      <c r="H113" s="219">
        <v>7411257.25</v>
      </c>
    </row>
    <row r="114" spans="1:8">
      <c r="A114" s="201">
        <v>54</v>
      </c>
      <c r="B114" s="232" t="s">
        <v>295</v>
      </c>
      <c r="C114" s="224">
        <v>210621.64</v>
      </c>
      <c r="D114" s="225">
        <v>133401</v>
      </c>
      <c r="E114" s="226">
        <v>77220.639999999999</v>
      </c>
      <c r="F114" s="224">
        <v>40671589.630000003</v>
      </c>
      <c r="G114" s="218">
        <v>3828910.37</v>
      </c>
      <c r="H114" s="219">
        <v>7544658.25</v>
      </c>
    </row>
    <row r="115" spans="1:8">
      <c r="A115" s="201">
        <v>55</v>
      </c>
      <c r="B115" s="232" t="s">
        <v>296</v>
      </c>
      <c r="C115" s="224">
        <v>210621.64</v>
      </c>
      <c r="D115" s="225">
        <v>133148.20000000001</v>
      </c>
      <c r="E115" s="226">
        <v>77473.440000000002</v>
      </c>
      <c r="F115" s="224">
        <v>40594116.189999998</v>
      </c>
      <c r="G115" s="218">
        <v>3906383.81</v>
      </c>
      <c r="H115" s="219">
        <v>7677806.4500000002</v>
      </c>
    </row>
    <row r="116" spans="1:8">
      <c r="A116" s="201">
        <v>56</v>
      </c>
      <c r="B116" s="232" t="s">
        <v>297</v>
      </c>
      <c r="C116" s="224">
        <v>210621.64</v>
      </c>
      <c r="D116" s="225">
        <v>132894.57</v>
      </c>
      <c r="E116" s="226">
        <v>77727.070000000007</v>
      </c>
      <c r="F116" s="224">
        <v>40516389.130000003</v>
      </c>
      <c r="G116" s="218">
        <v>3984110.87</v>
      </c>
      <c r="H116" s="219">
        <v>7810701.0199999996</v>
      </c>
    </row>
    <row r="117" spans="1:8">
      <c r="A117" s="201">
        <v>57</v>
      </c>
      <c r="B117" s="232" t="s">
        <v>298</v>
      </c>
      <c r="C117" s="224">
        <v>210621.64</v>
      </c>
      <c r="D117" s="225">
        <v>132640.10999999999</v>
      </c>
      <c r="E117" s="226">
        <v>77981.53</v>
      </c>
      <c r="F117" s="224">
        <v>40438407.600000001</v>
      </c>
      <c r="G117" s="218">
        <v>4062092.4</v>
      </c>
      <c r="H117" s="219">
        <v>7943341.1399999997</v>
      </c>
    </row>
    <row r="118" spans="1:8">
      <c r="A118" s="201">
        <v>58</v>
      </c>
      <c r="B118" s="232" t="s">
        <v>299</v>
      </c>
      <c r="C118" s="224">
        <v>210621.64</v>
      </c>
      <c r="D118" s="225">
        <v>132384.82</v>
      </c>
      <c r="E118" s="226">
        <v>78236.820000000007</v>
      </c>
      <c r="F118" s="224">
        <v>40360170.780000001</v>
      </c>
      <c r="G118" s="218">
        <v>4140329.22</v>
      </c>
      <c r="H118" s="219">
        <v>8075725.96</v>
      </c>
    </row>
    <row r="119" spans="1:8">
      <c r="A119" s="201">
        <v>59</v>
      </c>
      <c r="B119" s="232" t="s">
        <v>300</v>
      </c>
      <c r="C119" s="224">
        <v>210621.64</v>
      </c>
      <c r="D119" s="225">
        <v>132128.70000000001</v>
      </c>
      <c r="E119" s="226">
        <v>78492.94</v>
      </c>
      <c r="F119" s="224">
        <v>40281677.840000004</v>
      </c>
      <c r="G119" s="218">
        <v>4218822.16</v>
      </c>
      <c r="H119" s="219">
        <v>8207854.6600000001</v>
      </c>
    </row>
    <row r="120" spans="1:8">
      <c r="A120" s="200">
        <v>60</v>
      </c>
      <c r="B120" s="231" t="s">
        <v>301</v>
      </c>
      <c r="C120" s="213">
        <v>210621.64</v>
      </c>
      <c r="D120" s="216">
        <v>131871.73000000001</v>
      </c>
      <c r="E120" s="217">
        <v>78749.91</v>
      </c>
      <c r="F120" s="213">
        <v>40202927.93</v>
      </c>
      <c r="G120" s="222">
        <v>4297572.07</v>
      </c>
      <c r="H120" s="223">
        <v>8339726.3899999997</v>
      </c>
    </row>
    <row r="121" spans="1:8">
      <c r="A121" s="201">
        <v>61</v>
      </c>
      <c r="B121" s="232" t="s">
        <v>302</v>
      </c>
      <c r="C121" s="224">
        <v>210621.64</v>
      </c>
      <c r="D121" s="225">
        <v>131613.92000000001</v>
      </c>
      <c r="E121" s="226">
        <v>79007.72</v>
      </c>
      <c r="F121" s="224">
        <v>40123920.210000001</v>
      </c>
      <c r="G121" s="218">
        <v>4376579.79</v>
      </c>
      <c r="H121" s="219">
        <v>8471340.3100000005</v>
      </c>
    </row>
    <row r="122" spans="1:8">
      <c r="A122" s="201">
        <v>62</v>
      </c>
      <c r="B122" s="232" t="s">
        <v>303</v>
      </c>
      <c r="C122" s="224">
        <v>210621.64</v>
      </c>
      <c r="D122" s="225">
        <v>131355.26999999999</v>
      </c>
      <c r="E122" s="226">
        <v>79266.37</v>
      </c>
      <c r="F122" s="224">
        <v>40044653.850000001</v>
      </c>
      <c r="G122" s="218">
        <v>4455846.1500000004</v>
      </c>
      <c r="H122" s="219">
        <v>8602695.5899999999</v>
      </c>
    </row>
    <row r="123" spans="1:8">
      <c r="A123" s="201">
        <v>63</v>
      </c>
      <c r="B123" s="232" t="s">
        <v>304</v>
      </c>
      <c r="C123" s="224">
        <v>210621.64</v>
      </c>
      <c r="D123" s="225">
        <v>131095.78</v>
      </c>
      <c r="E123" s="226">
        <v>79525.86</v>
      </c>
      <c r="F123" s="224">
        <v>39965127.979999997</v>
      </c>
      <c r="G123" s="218">
        <v>4535372.0199999996</v>
      </c>
      <c r="H123" s="219">
        <v>8733791.3599999994</v>
      </c>
    </row>
    <row r="124" spans="1:8">
      <c r="A124" s="201">
        <v>64</v>
      </c>
      <c r="B124" s="232" t="s">
        <v>305</v>
      </c>
      <c r="C124" s="224">
        <v>210621.64</v>
      </c>
      <c r="D124" s="225">
        <v>130835.43</v>
      </c>
      <c r="E124" s="226">
        <v>79786.210000000006</v>
      </c>
      <c r="F124" s="224">
        <v>39885341.770000003</v>
      </c>
      <c r="G124" s="218">
        <v>4615158.2300000004</v>
      </c>
      <c r="H124" s="219">
        <v>8864626.7899999991</v>
      </c>
    </row>
    <row r="125" spans="1:8">
      <c r="A125" s="201">
        <v>65</v>
      </c>
      <c r="B125" s="232" t="s">
        <v>306</v>
      </c>
      <c r="C125" s="224">
        <v>210621.64</v>
      </c>
      <c r="D125" s="225">
        <v>130574.23</v>
      </c>
      <c r="E125" s="226">
        <v>80047.41</v>
      </c>
      <c r="F125" s="224">
        <v>39805294.359999999</v>
      </c>
      <c r="G125" s="218">
        <v>4695205.6399999997</v>
      </c>
      <c r="H125" s="219">
        <v>8995201.0199999996</v>
      </c>
    </row>
    <row r="126" spans="1:8">
      <c r="A126" s="201">
        <v>66</v>
      </c>
      <c r="B126" s="232" t="s">
        <v>307</v>
      </c>
      <c r="C126" s="224">
        <v>210621.64</v>
      </c>
      <c r="D126" s="225">
        <v>130312.18</v>
      </c>
      <c r="E126" s="226">
        <v>80309.47</v>
      </c>
      <c r="F126" s="224">
        <v>39724984.890000001</v>
      </c>
      <c r="G126" s="218">
        <v>4775515.1100000003</v>
      </c>
      <c r="H126" s="219">
        <v>9125513.1999999993</v>
      </c>
    </row>
    <row r="127" spans="1:8">
      <c r="A127" s="201">
        <v>67</v>
      </c>
      <c r="B127" s="232" t="s">
        <v>308</v>
      </c>
      <c r="C127" s="224">
        <v>210621.64</v>
      </c>
      <c r="D127" s="225">
        <v>130049.26</v>
      </c>
      <c r="E127" s="226">
        <v>80572.38</v>
      </c>
      <c r="F127" s="224">
        <v>39644412.520000003</v>
      </c>
      <c r="G127" s="218">
        <v>4856087.4800000004</v>
      </c>
      <c r="H127" s="219">
        <v>9255562.4600000009</v>
      </c>
    </row>
    <row r="128" spans="1:8">
      <c r="A128" s="201">
        <v>68</v>
      </c>
      <c r="B128" s="232" t="s">
        <v>309</v>
      </c>
      <c r="C128" s="224">
        <v>210621.64</v>
      </c>
      <c r="D128" s="225">
        <v>129785.49</v>
      </c>
      <c r="E128" s="226">
        <v>80836.149999999994</v>
      </c>
      <c r="F128" s="224">
        <v>39563576.359999999</v>
      </c>
      <c r="G128" s="218">
        <v>4936923.6399999997</v>
      </c>
      <c r="H128" s="219">
        <v>9385347.9499999993</v>
      </c>
    </row>
    <row r="129" spans="1:8">
      <c r="A129" s="201">
        <v>69</v>
      </c>
      <c r="B129" s="232" t="s">
        <v>310</v>
      </c>
      <c r="C129" s="224">
        <v>210621.64</v>
      </c>
      <c r="D129" s="225">
        <v>129520.85</v>
      </c>
      <c r="E129" s="226">
        <v>81100.789999999994</v>
      </c>
      <c r="F129" s="224">
        <v>39482475.579999998</v>
      </c>
      <c r="G129" s="218">
        <v>5018024.42</v>
      </c>
      <c r="H129" s="219">
        <v>9514868.8000000007</v>
      </c>
    </row>
    <row r="130" spans="1:8">
      <c r="A130" s="201">
        <v>70</v>
      </c>
      <c r="B130" s="232" t="s">
        <v>311</v>
      </c>
      <c r="C130" s="224">
        <v>210621.64</v>
      </c>
      <c r="D130" s="225">
        <v>129255.35</v>
      </c>
      <c r="E130" s="226">
        <v>81366.289999999994</v>
      </c>
      <c r="F130" s="224">
        <v>39401109.289999999</v>
      </c>
      <c r="G130" s="218">
        <v>5099390.71</v>
      </c>
      <c r="H130" s="219">
        <v>9644124.1600000001</v>
      </c>
    </row>
    <row r="131" spans="1:8">
      <c r="A131" s="201">
        <v>71</v>
      </c>
      <c r="B131" s="232" t="s">
        <v>312</v>
      </c>
      <c r="C131" s="224">
        <v>210621.64</v>
      </c>
      <c r="D131" s="225">
        <v>128988.98</v>
      </c>
      <c r="E131" s="226">
        <v>81632.66</v>
      </c>
      <c r="F131" s="224">
        <v>39319476.630000003</v>
      </c>
      <c r="G131" s="218">
        <v>5181023.37</v>
      </c>
      <c r="H131" s="219">
        <v>9773113.1300000008</v>
      </c>
    </row>
    <row r="132" spans="1:8">
      <c r="A132" s="200">
        <v>72</v>
      </c>
      <c r="B132" s="231" t="s">
        <v>313</v>
      </c>
      <c r="C132" s="213">
        <v>210621.64</v>
      </c>
      <c r="D132" s="216">
        <v>128721.73</v>
      </c>
      <c r="E132" s="217">
        <v>81899.91</v>
      </c>
      <c r="F132" s="213">
        <v>39237576.719999999</v>
      </c>
      <c r="G132" s="222">
        <v>5262923.28</v>
      </c>
      <c r="H132" s="223">
        <v>9901834.8699999992</v>
      </c>
    </row>
    <row r="133" spans="1:8">
      <c r="A133" s="201">
        <v>73</v>
      </c>
      <c r="B133" s="232" t="s">
        <v>314</v>
      </c>
      <c r="C133" s="224">
        <v>210621.64</v>
      </c>
      <c r="D133" s="225">
        <v>128453.62</v>
      </c>
      <c r="E133" s="226">
        <v>82168.03</v>
      </c>
      <c r="F133" s="224">
        <v>39155408.689999998</v>
      </c>
      <c r="G133" s="218">
        <v>5345091.3099999996</v>
      </c>
      <c r="H133" s="219">
        <v>10030288.49</v>
      </c>
    </row>
    <row r="134" spans="1:8">
      <c r="A134" s="201">
        <v>74</v>
      </c>
      <c r="B134" s="232" t="s">
        <v>315</v>
      </c>
      <c r="C134" s="224">
        <v>210621.64</v>
      </c>
      <c r="D134" s="225">
        <v>128184.62</v>
      </c>
      <c r="E134" s="226">
        <v>82437.02</v>
      </c>
      <c r="F134" s="224">
        <v>39072971.670000002</v>
      </c>
      <c r="G134" s="218">
        <v>5427528.3300000001</v>
      </c>
      <c r="H134" s="219">
        <v>10158473.1</v>
      </c>
    </row>
    <row r="135" spans="1:8">
      <c r="A135" s="201">
        <v>75</v>
      </c>
      <c r="B135" s="232" t="s">
        <v>316</v>
      </c>
      <c r="C135" s="224">
        <v>210621.64</v>
      </c>
      <c r="D135" s="225">
        <v>127914.74</v>
      </c>
      <c r="E135" s="226">
        <v>82706.899999999994</v>
      </c>
      <c r="F135" s="224">
        <v>38990264.770000003</v>
      </c>
      <c r="G135" s="218">
        <v>5510235.2300000004</v>
      </c>
      <c r="H135" s="219">
        <v>10286387.85</v>
      </c>
    </row>
    <row r="136" spans="1:8">
      <c r="A136" s="201">
        <v>76</v>
      </c>
      <c r="B136" s="232" t="s">
        <v>317</v>
      </c>
      <c r="C136" s="224">
        <v>210621.64</v>
      </c>
      <c r="D136" s="225">
        <v>127643.98</v>
      </c>
      <c r="E136" s="226">
        <v>82977.66</v>
      </c>
      <c r="F136" s="224">
        <v>38907287.109999999</v>
      </c>
      <c r="G136" s="218">
        <v>5593212.8899999997</v>
      </c>
      <c r="H136" s="219">
        <v>10414031.83</v>
      </c>
    </row>
    <row r="137" spans="1:8">
      <c r="A137" s="201">
        <v>77</v>
      </c>
      <c r="B137" s="232" t="s">
        <v>318</v>
      </c>
      <c r="C137" s="224">
        <v>210621.64</v>
      </c>
      <c r="D137" s="225">
        <v>127372.33</v>
      </c>
      <c r="E137" s="226">
        <v>83249.31</v>
      </c>
      <c r="F137" s="224">
        <v>38824037.810000002</v>
      </c>
      <c r="G137" s="218">
        <v>5676462.1900000004</v>
      </c>
      <c r="H137" s="219">
        <v>10541404.16</v>
      </c>
    </row>
    <row r="138" spans="1:8">
      <c r="A138" s="201">
        <v>78</v>
      </c>
      <c r="B138" s="232" t="s">
        <v>319</v>
      </c>
      <c r="C138" s="224">
        <v>210621.64</v>
      </c>
      <c r="D138" s="225">
        <v>127099.8</v>
      </c>
      <c r="E138" s="226">
        <v>83521.84</v>
      </c>
      <c r="F138" s="224">
        <v>38740515.960000001</v>
      </c>
      <c r="G138" s="218">
        <v>5759984.04</v>
      </c>
      <c r="H138" s="219">
        <v>10668503.960000001</v>
      </c>
    </row>
    <row r="139" spans="1:8">
      <c r="A139" s="201">
        <v>79</v>
      </c>
      <c r="B139" s="232" t="s">
        <v>320</v>
      </c>
      <c r="C139" s="224">
        <v>210621.64</v>
      </c>
      <c r="D139" s="225">
        <v>126826.37</v>
      </c>
      <c r="E139" s="226">
        <v>83795.27</v>
      </c>
      <c r="F139" s="224">
        <v>38656720.689999998</v>
      </c>
      <c r="G139" s="218">
        <v>5843779.3099999996</v>
      </c>
      <c r="H139" s="219">
        <v>10795330.33</v>
      </c>
    </row>
    <row r="140" spans="1:8">
      <c r="A140" s="201">
        <v>80</v>
      </c>
      <c r="B140" s="232" t="s">
        <v>321</v>
      </c>
      <c r="C140" s="224">
        <v>210621.64</v>
      </c>
      <c r="D140" s="225">
        <v>126552.04</v>
      </c>
      <c r="E140" s="226">
        <v>84069.6</v>
      </c>
      <c r="F140" s="224">
        <v>38572651.090000004</v>
      </c>
      <c r="G140" s="218">
        <v>5927848.9100000001</v>
      </c>
      <c r="H140" s="219">
        <v>10921882.369999999</v>
      </c>
    </row>
    <row r="141" spans="1:8">
      <c r="A141" s="201">
        <v>81</v>
      </c>
      <c r="B141" s="232" t="s">
        <v>322</v>
      </c>
      <c r="C141" s="224">
        <v>210621.64</v>
      </c>
      <c r="D141" s="225">
        <v>126276.82</v>
      </c>
      <c r="E141" s="226">
        <v>84344.82</v>
      </c>
      <c r="F141" s="224">
        <v>38488306.270000003</v>
      </c>
      <c r="G141" s="218">
        <v>6012193.7300000004</v>
      </c>
      <c r="H141" s="219">
        <v>11048159.189999999</v>
      </c>
    </row>
    <row r="142" spans="1:8">
      <c r="A142" s="201">
        <v>82</v>
      </c>
      <c r="B142" s="232" t="s">
        <v>323</v>
      </c>
      <c r="C142" s="224">
        <v>210621.64</v>
      </c>
      <c r="D142" s="225">
        <v>126000.7</v>
      </c>
      <c r="E142" s="226">
        <v>84620.94</v>
      </c>
      <c r="F142" s="224">
        <v>38403685.329999998</v>
      </c>
      <c r="G142" s="218">
        <v>6096814.6699999999</v>
      </c>
      <c r="H142" s="219">
        <v>11174159.890000001</v>
      </c>
    </row>
    <row r="143" spans="1:8">
      <c r="A143" s="201">
        <v>83</v>
      </c>
      <c r="B143" s="232" t="s">
        <v>324</v>
      </c>
      <c r="C143" s="224">
        <v>210621.64</v>
      </c>
      <c r="D143" s="225">
        <v>125723.67</v>
      </c>
      <c r="E143" s="226">
        <v>84897.97</v>
      </c>
      <c r="F143" s="224">
        <v>38318787.359999999</v>
      </c>
      <c r="G143" s="218">
        <v>6181712.6399999997</v>
      </c>
      <c r="H143" s="219">
        <v>11299883.560000001</v>
      </c>
    </row>
    <row r="144" spans="1:8">
      <c r="A144" s="200">
        <v>84</v>
      </c>
      <c r="B144" s="231" t="s">
        <v>325</v>
      </c>
      <c r="C144" s="213">
        <v>210621.64</v>
      </c>
      <c r="D144" s="216">
        <v>125445.74</v>
      </c>
      <c r="E144" s="217">
        <v>85175.9</v>
      </c>
      <c r="F144" s="213">
        <v>38233611.460000001</v>
      </c>
      <c r="G144" s="222">
        <v>6266888.54</v>
      </c>
      <c r="H144" s="223">
        <v>11425329.300000001</v>
      </c>
    </row>
    <row r="145" spans="1:8">
      <c r="A145" s="201">
        <v>85</v>
      </c>
      <c r="B145" s="232" t="s">
        <v>327</v>
      </c>
      <c r="C145" s="224">
        <v>210621.64</v>
      </c>
      <c r="D145" s="225">
        <v>125166.89</v>
      </c>
      <c r="E145" s="226">
        <v>85454.75</v>
      </c>
      <c r="F145" s="224">
        <v>38148156.719999999</v>
      </c>
      <c r="G145" s="218">
        <v>6352343.2800000003</v>
      </c>
      <c r="H145" s="219">
        <v>11550496.199999999</v>
      </c>
    </row>
    <row r="146" spans="1:8">
      <c r="A146" s="201">
        <v>86</v>
      </c>
      <c r="B146" s="232" t="s">
        <v>328</v>
      </c>
      <c r="C146" s="224">
        <v>210621.64</v>
      </c>
      <c r="D146" s="225">
        <v>124887.14</v>
      </c>
      <c r="E146" s="226">
        <v>85734.5</v>
      </c>
      <c r="F146" s="224">
        <v>38062422.210000001</v>
      </c>
      <c r="G146" s="218">
        <v>6438077.79</v>
      </c>
      <c r="H146" s="219">
        <v>11675383.34</v>
      </c>
    </row>
    <row r="147" spans="1:8">
      <c r="A147" s="201">
        <v>87</v>
      </c>
      <c r="B147" s="232" t="s">
        <v>329</v>
      </c>
      <c r="C147" s="224">
        <v>210621.64</v>
      </c>
      <c r="D147" s="225">
        <v>124606.47</v>
      </c>
      <c r="E147" s="226">
        <v>86015.18</v>
      </c>
      <c r="F147" s="224">
        <v>37976407.039999999</v>
      </c>
      <c r="G147" s="218">
        <v>6524092.96</v>
      </c>
      <c r="H147" s="219">
        <v>11799989.800000001</v>
      </c>
    </row>
    <row r="148" spans="1:8">
      <c r="A148" s="201">
        <v>88</v>
      </c>
      <c r="B148" s="232" t="s">
        <v>330</v>
      </c>
      <c r="C148" s="224">
        <v>210621.64</v>
      </c>
      <c r="D148" s="225">
        <v>124324.87</v>
      </c>
      <c r="E148" s="226">
        <v>86296.77</v>
      </c>
      <c r="F148" s="224">
        <v>37890110.270000003</v>
      </c>
      <c r="G148" s="218">
        <v>6610389.7300000004</v>
      </c>
      <c r="H148" s="219">
        <v>11924314.68</v>
      </c>
    </row>
    <row r="149" spans="1:8">
      <c r="A149" s="201">
        <v>89</v>
      </c>
      <c r="B149" s="232" t="s">
        <v>331</v>
      </c>
      <c r="C149" s="224">
        <v>210621.64</v>
      </c>
      <c r="D149" s="225">
        <v>124042.36</v>
      </c>
      <c r="E149" s="226">
        <v>86579.28</v>
      </c>
      <c r="F149" s="224">
        <v>37803530.990000002</v>
      </c>
      <c r="G149" s="218">
        <v>6696969.0099999998</v>
      </c>
      <c r="H149" s="219">
        <v>12048357.039999999</v>
      </c>
    </row>
    <row r="150" spans="1:8">
      <c r="A150" s="201">
        <v>90</v>
      </c>
      <c r="B150" s="232" t="s">
        <v>332</v>
      </c>
      <c r="C150" s="224">
        <v>210621.64</v>
      </c>
      <c r="D150" s="225">
        <v>123758.92</v>
      </c>
      <c r="E150" s="226">
        <v>86862.720000000001</v>
      </c>
      <c r="F150" s="224">
        <v>37716668.270000003</v>
      </c>
      <c r="G150" s="218">
        <v>6783831.7300000004</v>
      </c>
      <c r="H150" s="219">
        <v>12172115.960000001</v>
      </c>
    </row>
    <row r="151" spans="1:8">
      <c r="A151" s="201">
        <v>91</v>
      </c>
      <c r="B151" s="232" t="s">
        <v>333</v>
      </c>
      <c r="C151" s="224">
        <v>210621.64</v>
      </c>
      <c r="D151" s="225">
        <v>123474.56</v>
      </c>
      <c r="E151" s="226">
        <v>87147.08</v>
      </c>
      <c r="F151" s="224">
        <v>37629521.189999998</v>
      </c>
      <c r="G151" s="218">
        <v>6870978.8099999996</v>
      </c>
      <c r="H151" s="219">
        <v>12295590.52</v>
      </c>
    </row>
    <row r="152" spans="1:8">
      <c r="A152" s="201">
        <v>92</v>
      </c>
      <c r="B152" s="232" t="s">
        <v>334</v>
      </c>
      <c r="C152" s="224">
        <v>210621.64</v>
      </c>
      <c r="D152" s="225">
        <v>123189.26</v>
      </c>
      <c r="E152" s="226">
        <v>87432.38</v>
      </c>
      <c r="F152" s="224">
        <v>37542088.810000002</v>
      </c>
      <c r="G152" s="218">
        <v>6958411.1900000004</v>
      </c>
      <c r="H152" s="219">
        <v>12418779.779999999</v>
      </c>
    </row>
    <row r="153" spans="1:8">
      <c r="A153" s="201">
        <v>93</v>
      </c>
      <c r="B153" s="232" t="s">
        <v>335</v>
      </c>
      <c r="C153" s="224">
        <v>210621.64</v>
      </c>
      <c r="D153" s="225">
        <v>122903.03</v>
      </c>
      <c r="E153" s="226">
        <v>87718.61</v>
      </c>
      <c r="F153" s="224">
        <v>37454370.200000003</v>
      </c>
      <c r="G153" s="218">
        <v>7046129.7999999998</v>
      </c>
      <c r="H153" s="219">
        <v>12541682.810000001</v>
      </c>
    </row>
    <row r="154" spans="1:8">
      <c r="A154" s="201">
        <v>94</v>
      </c>
      <c r="B154" s="232" t="s">
        <v>336</v>
      </c>
      <c r="C154" s="224">
        <v>210621.64</v>
      </c>
      <c r="D154" s="225">
        <v>122615.86</v>
      </c>
      <c r="E154" s="226">
        <v>88005.78</v>
      </c>
      <c r="F154" s="224">
        <v>37366364.420000002</v>
      </c>
      <c r="G154" s="218">
        <v>7134135.5800000001</v>
      </c>
      <c r="H154" s="219">
        <v>12664298.67</v>
      </c>
    </row>
    <row r="155" spans="1:8">
      <c r="A155" s="201">
        <v>95</v>
      </c>
      <c r="B155" s="232" t="s">
        <v>337</v>
      </c>
      <c r="C155" s="224">
        <v>210621.64</v>
      </c>
      <c r="D155" s="225">
        <v>122327.75</v>
      </c>
      <c r="E155" s="226">
        <v>88293.89</v>
      </c>
      <c r="F155" s="224">
        <v>37278070.530000001</v>
      </c>
      <c r="G155" s="218">
        <v>7222429.4699999997</v>
      </c>
      <c r="H155" s="219">
        <v>12786626.42</v>
      </c>
    </row>
    <row r="156" spans="1:8">
      <c r="A156" s="200">
        <v>96</v>
      </c>
      <c r="B156" s="231" t="s">
        <v>338</v>
      </c>
      <c r="C156" s="213">
        <v>210621.64</v>
      </c>
      <c r="D156" s="216">
        <v>122038.7</v>
      </c>
      <c r="E156" s="217">
        <v>88582.94</v>
      </c>
      <c r="F156" s="213">
        <v>37189487.590000004</v>
      </c>
      <c r="G156" s="222">
        <v>7311012.4100000001</v>
      </c>
      <c r="H156" s="223">
        <v>12908665.130000001</v>
      </c>
    </row>
    <row r="157" spans="1:8">
      <c r="A157" s="201">
        <v>97</v>
      </c>
      <c r="B157" s="232" t="s">
        <v>339</v>
      </c>
      <c r="C157" s="224">
        <v>210621.64</v>
      </c>
      <c r="D157" s="225">
        <v>121748.71</v>
      </c>
      <c r="E157" s="226">
        <v>88872.94</v>
      </c>
      <c r="F157" s="224">
        <v>37100614.659999996</v>
      </c>
      <c r="G157" s="218">
        <v>7399885.3399999999</v>
      </c>
      <c r="H157" s="219">
        <v>13030413.83</v>
      </c>
    </row>
    <row r="158" spans="1:8">
      <c r="A158" s="201">
        <v>98</v>
      </c>
      <c r="B158" s="232" t="s">
        <v>340</v>
      </c>
      <c r="C158" s="224">
        <v>210621.64</v>
      </c>
      <c r="D158" s="225">
        <v>121457.76</v>
      </c>
      <c r="E158" s="226">
        <v>89163.88</v>
      </c>
      <c r="F158" s="224">
        <v>37011450.780000001</v>
      </c>
      <c r="G158" s="218">
        <v>7489049.2199999997</v>
      </c>
      <c r="H158" s="219">
        <v>13151871.59</v>
      </c>
    </row>
    <row r="159" spans="1:8">
      <c r="A159" s="201">
        <v>99</v>
      </c>
      <c r="B159" s="232" t="s">
        <v>341</v>
      </c>
      <c r="C159" s="224">
        <v>210621.64</v>
      </c>
      <c r="D159" s="225">
        <v>121165.86</v>
      </c>
      <c r="E159" s="226">
        <v>89455.78</v>
      </c>
      <c r="F159" s="224">
        <v>36921994.990000002</v>
      </c>
      <c r="G159" s="218">
        <v>7578505.0099999998</v>
      </c>
      <c r="H159" s="219">
        <v>13273037.449999999</v>
      </c>
    </row>
    <row r="160" spans="1:8">
      <c r="A160" s="201">
        <v>100</v>
      </c>
      <c r="B160" s="232" t="s">
        <v>342</v>
      </c>
      <c r="C160" s="224">
        <v>210621.64</v>
      </c>
      <c r="D160" s="225">
        <v>120873</v>
      </c>
      <c r="E160" s="226">
        <v>89748.64</v>
      </c>
      <c r="F160" s="224">
        <v>36832246.359999999</v>
      </c>
      <c r="G160" s="218">
        <v>7668253.6399999997</v>
      </c>
      <c r="H160" s="219">
        <v>13393910.449999999</v>
      </c>
    </row>
    <row r="161" spans="1:8">
      <c r="A161" s="201">
        <v>101</v>
      </c>
      <c r="B161" s="232" t="s">
        <v>343</v>
      </c>
      <c r="C161" s="224">
        <v>210621.64</v>
      </c>
      <c r="D161" s="225">
        <v>120579.19</v>
      </c>
      <c r="E161" s="226">
        <v>90042.45</v>
      </c>
      <c r="F161" s="224">
        <v>36742203.909999996</v>
      </c>
      <c r="G161" s="218">
        <v>7758296.0899999999</v>
      </c>
      <c r="H161" s="219">
        <v>13514489.640000001</v>
      </c>
    </row>
    <row r="162" spans="1:8">
      <c r="A162" s="201">
        <v>102</v>
      </c>
      <c r="B162" s="232" t="s">
        <v>344</v>
      </c>
      <c r="C162" s="224">
        <v>210621.64</v>
      </c>
      <c r="D162" s="225">
        <v>120284.41</v>
      </c>
      <c r="E162" s="226">
        <v>90337.23</v>
      </c>
      <c r="F162" s="224">
        <v>36651866.68</v>
      </c>
      <c r="G162" s="218">
        <v>7848633.3200000003</v>
      </c>
      <c r="H162" s="219">
        <v>13634774.060000001</v>
      </c>
    </row>
    <row r="163" spans="1:8">
      <c r="A163" s="201">
        <v>103</v>
      </c>
      <c r="B163" s="232" t="s">
        <v>345</v>
      </c>
      <c r="C163" s="224">
        <v>210621.64</v>
      </c>
      <c r="D163" s="225">
        <v>119988.67</v>
      </c>
      <c r="E163" s="226">
        <v>90632.97</v>
      </c>
      <c r="F163" s="224">
        <v>36561233.710000001</v>
      </c>
      <c r="G163" s="218">
        <v>7939266.29</v>
      </c>
      <c r="H163" s="219">
        <v>13754762.73</v>
      </c>
    </row>
    <row r="164" spans="1:8">
      <c r="A164" s="201">
        <v>104</v>
      </c>
      <c r="B164" s="232" t="s">
        <v>346</v>
      </c>
      <c r="C164" s="224">
        <v>210621.64</v>
      </c>
      <c r="D164" s="225">
        <v>119691.97</v>
      </c>
      <c r="E164" s="226">
        <v>90929.68</v>
      </c>
      <c r="F164" s="224">
        <v>36470304.039999999</v>
      </c>
      <c r="G164" s="218">
        <v>8030195.96</v>
      </c>
      <c r="H164" s="219">
        <v>13874454.699999999</v>
      </c>
    </row>
    <row r="165" spans="1:8">
      <c r="A165" s="201">
        <v>105</v>
      </c>
      <c r="B165" s="232" t="s">
        <v>347</v>
      </c>
      <c r="C165" s="224">
        <v>210621.64</v>
      </c>
      <c r="D165" s="225">
        <v>119394.29</v>
      </c>
      <c r="E165" s="226">
        <v>91227.36</v>
      </c>
      <c r="F165" s="224">
        <v>36379076.68</v>
      </c>
      <c r="G165" s="218">
        <v>8121423.3200000003</v>
      </c>
      <c r="H165" s="219">
        <v>13993848.98</v>
      </c>
    </row>
    <row r="166" spans="1:8">
      <c r="A166" s="201">
        <v>106</v>
      </c>
      <c r="B166" s="232" t="s">
        <v>348</v>
      </c>
      <c r="C166" s="224">
        <v>210621.64</v>
      </c>
      <c r="D166" s="225">
        <v>119095.63</v>
      </c>
      <c r="E166" s="226">
        <v>91526.01</v>
      </c>
      <c r="F166" s="224">
        <v>36287550.670000002</v>
      </c>
      <c r="G166" s="218">
        <v>8212949.3300000001</v>
      </c>
      <c r="H166" s="219">
        <v>14112944.609999999</v>
      </c>
    </row>
    <row r="167" spans="1:8">
      <c r="A167" s="201">
        <v>107</v>
      </c>
      <c r="B167" s="232" t="s">
        <v>349</v>
      </c>
      <c r="C167" s="224">
        <v>210621.64</v>
      </c>
      <c r="D167" s="225">
        <v>118796</v>
      </c>
      <c r="E167" s="226">
        <v>91825.64</v>
      </c>
      <c r="F167" s="224">
        <v>36195725.030000001</v>
      </c>
      <c r="G167" s="218">
        <v>8304774.9699999997</v>
      </c>
      <c r="H167" s="219">
        <v>14231740.609999999</v>
      </c>
    </row>
    <row r="168" spans="1:8">
      <c r="A168" s="200">
        <v>108</v>
      </c>
      <c r="B168" s="231" t="s">
        <v>350</v>
      </c>
      <c r="C168" s="213">
        <v>210621.64</v>
      </c>
      <c r="D168" s="216">
        <v>118495.38</v>
      </c>
      <c r="E168" s="217">
        <v>92126.26</v>
      </c>
      <c r="F168" s="213">
        <v>36103598.770000003</v>
      </c>
      <c r="G168" s="222">
        <v>8396901.2300000004</v>
      </c>
      <c r="H168" s="223">
        <v>14350236</v>
      </c>
    </row>
    <row r="169" spans="1:8">
      <c r="A169" s="201">
        <v>109</v>
      </c>
      <c r="B169" s="232" t="s">
        <v>351</v>
      </c>
      <c r="C169" s="224">
        <v>210621.64</v>
      </c>
      <c r="D169" s="225">
        <v>118193.79</v>
      </c>
      <c r="E169" s="226">
        <v>92427.85</v>
      </c>
      <c r="F169" s="224">
        <v>36011170.920000002</v>
      </c>
      <c r="G169" s="218">
        <v>8489329.0800000001</v>
      </c>
      <c r="H169" s="219">
        <v>14468429.779999999</v>
      </c>
    </row>
    <row r="170" spans="1:8">
      <c r="A170" s="201">
        <v>110</v>
      </c>
      <c r="B170" s="232" t="s">
        <v>352</v>
      </c>
      <c r="C170" s="224">
        <v>210621.64</v>
      </c>
      <c r="D170" s="225">
        <v>117891.2</v>
      </c>
      <c r="E170" s="226">
        <v>92730.44</v>
      </c>
      <c r="F170" s="224">
        <v>35918440.479999997</v>
      </c>
      <c r="G170" s="218">
        <v>8582059.5199999996</v>
      </c>
      <c r="H170" s="219">
        <v>14586320.99</v>
      </c>
    </row>
    <row r="171" spans="1:8">
      <c r="A171" s="201">
        <v>111</v>
      </c>
      <c r="B171" s="232" t="s">
        <v>353</v>
      </c>
      <c r="C171" s="224">
        <v>210621.64</v>
      </c>
      <c r="D171" s="225">
        <v>117587.63</v>
      </c>
      <c r="E171" s="226">
        <v>93034.01</v>
      </c>
      <c r="F171" s="224">
        <v>35825406.469999999</v>
      </c>
      <c r="G171" s="218">
        <v>8675093.5299999993</v>
      </c>
      <c r="H171" s="219">
        <v>14703908.609999999</v>
      </c>
    </row>
    <row r="172" spans="1:8">
      <c r="A172" s="201">
        <v>112</v>
      </c>
      <c r="B172" s="232" t="s">
        <v>354</v>
      </c>
      <c r="C172" s="224">
        <v>210621.64</v>
      </c>
      <c r="D172" s="225">
        <v>117283.06</v>
      </c>
      <c r="E172" s="226">
        <v>93338.58</v>
      </c>
      <c r="F172" s="224">
        <v>35732067.880000003</v>
      </c>
      <c r="G172" s="218">
        <v>8768432.1199999992</v>
      </c>
      <c r="H172" s="219">
        <v>14821191.67</v>
      </c>
    </row>
    <row r="173" spans="1:8">
      <c r="A173" s="201">
        <v>113</v>
      </c>
      <c r="B173" s="232" t="s">
        <v>355</v>
      </c>
      <c r="C173" s="224">
        <v>210621.64</v>
      </c>
      <c r="D173" s="225">
        <v>116977.49</v>
      </c>
      <c r="E173" s="226">
        <v>93644.15</v>
      </c>
      <c r="F173" s="224">
        <v>35638423.729999997</v>
      </c>
      <c r="G173" s="218">
        <v>8862076.2699999996</v>
      </c>
      <c r="H173" s="219">
        <v>14938169.16</v>
      </c>
    </row>
    <row r="174" spans="1:8">
      <c r="A174" s="201">
        <v>114</v>
      </c>
      <c r="B174" s="232" t="s">
        <v>356</v>
      </c>
      <c r="C174" s="224">
        <v>210621.64</v>
      </c>
      <c r="D174" s="225">
        <v>116670.93</v>
      </c>
      <c r="E174" s="226">
        <v>93950.720000000001</v>
      </c>
      <c r="F174" s="224">
        <v>35544473.020000003</v>
      </c>
      <c r="G174" s="218">
        <v>8956026.9800000004</v>
      </c>
      <c r="H174" s="219">
        <v>15054840.09</v>
      </c>
    </row>
    <row r="175" spans="1:8">
      <c r="A175" s="201">
        <v>115</v>
      </c>
      <c r="B175" s="232" t="s">
        <v>357</v>
      </c>
      <c r="C175" s="224">
        <v>210621.64</v>
      </c>
      <c r="D175" s="225">
        <v>116363.36</v>
      </c>
      <c r="E175" s="226">
        <v>94258.29</v>
      </c>
      <c r="F175" s="224">
        <v>35450214.729999997</v>
      </c>
      <c r="G175" s="218">
        <v>9050285.2699999996</v>
      </c>
      <c r="H175" s="219">
        <v>15171203.439999999</v>
      </c>
    </row>
    <row r="176" spans="1:8">
      <c r="A176" s="201">
        <v>116</v>
      </c>
      <c r="B176" s="232" t="s">
        <v>358</v>
      </c>
      <c r="C176" s="224">
        <v>210621.64</v>
      </c>
      <c r="D176" s="225">
        <v>116054.78</v>
      </c>
      <c r="E176" s="226">
        <v>94566.86</v>
      </c>
      <c r="F176" s="224">
        <v>35355647.869999997</v>
      </c>
      <c r="G176" s="218">
        <v>9144852.1300000008</v>
      </c>
      <c r="H176" s="219">
        <v>15287258.220000001</v>
      </c>
    </row>
    <row r="177" spans="1:8">
      <c r="A177" s="201">
        <v>117</v>
      </c>
      <c r="B177" s="232" t="s">
        <v>359</v>
      </c>
      <c r="C177" s="224">
        <v>210621.64</v>
      </c>
      <c r="D177" s="225">
        <v>115745.19</v>
      </c>
      <c r="E177" s="226">
        <v>94876.45</v>
      </c>
      <c r="F177" s="224">
        <v>35260771.420000002</v>
      </c>
      <c r="G177" s="218">
        <v>9239728.5800000001</v>
      </c>
      <c r="H177" s="219">
        <v>15403003.41</v>
      </c>
    </row>
    <row r="178" spans="1:8">
      <c r="A178" s="201">
        <v>118</v>
      </c>
      <c r="B178" s="232" t="s">
        <v>360</v>
      </c>
      <c r="C178" s="224">
        <v>210621.64</v>
      </c>
      <c r="D178" s="225">
        <v>115434.59</v>
      </c>
      <c r="E178" s="226">
        <v>95187.05</v>
      </c>
      <c r="F178" s="224">
        <v>35165584.369999997</v>
      </c>
      <c r="G178" s="218">
        <v>9334915.6300000008</v>
      </c>
      <c r="H178" s="219">
        <v>15518438</v>
      </c>
    </row>
    <row r="179" spans="1:8">
      <c r="A179" s="201">
        <v>119</v>
      </c>
      <c r="B179" s="232" t="s">
        <v>361</v>
      </c>
      <c r="C179" s="224">
        <v>210621.64</v>
      </c>
      <c r="D179" s="225">
        <v>115122.97</v>
      </c>
      <c r="E179" s="226">
        <v>95498.67</v>
      </c>
      <c r="F179" s="224">
        <v>35070085.700000003</v>
      </c>
      <c r="G179" s="218">
        <v>9430414.3000000007</v>
      </c>
      <c r="H179" s="219">
        <v>15633560.98</v>
      </c>
    </row>
    <row r="180" spans="1:8">
      <c r="A180" s="200">
        <v>120</v>
      </c>
      <c r="B180" s="231" t="s">
        <v>362</v>
      </c>
      <c r="C180" s="213">
        <v>210621.64</v>
      </c>
      <c r="D180" s="216">
        <v>114810.33</v>
      </c>
      <c r="E180" s="217">
        <v>95811.31</v>
      </c>
      <c r="F180" s="213">
        <v>34974274.399999999</v>
      </c>
      <c r="G180" s="222">
        <v>9526225.5999999996</v>
      </c>
      <c r="H180" s="223">
        <v>15748371.310000001</v>
      </c>
    </row>
    <row r="181" spans="1:8">
      <c r="A181" s="201">
        <v>121</v>
      </c>
      <c r="B181" s="232" t="s">
        <v>363</v>
      </c>
      <c r="C181" s="224">
        <v>210621.64</v>
      </c>
      <c r="D181" s="225">
        <v>114496.67</v>
      </c>
      <c r="E181" s="226">
        <v>96124.97</v>
      </c>
      <c r="F181" s="224">
        <v>34878149.43</v>
      </c>
      <c r="G181" s="218">
        <v>9622350.5700000003</v>
      </c>
      <c r="H181" s="219">
        <v>15862867.99</v>
      </c>
    </row>
    <row r="182" spans="1:8">
      <c r="A182" s="201">
        <v>122</v>
      </c>
      <c r="B182" s="232" t="s">
        <v>364</v>
      </c>
      <c r="C182" s="224">
        <v>210621.64</v>
      </c>
      <c r="D182" s="225">
        <v>114181.99</v>
      </c>
      <c r="E182" s="226">
        <v>96439.66</v>
      </c>
      <c r="F182" s="224">
        <v>34781709.770000003</v>
      </c>
      <c r="G182" s="218">
        <v>9718790.2300000004</v>
      </c>
      <c r="H182" s="219">
        <v>15977049.970000001</v>
      </c>
    </row>
    <row r="183" spans="1:8">
      <c r="A183" s="201">
        <v>123</v>
      </c>
      <c r="B183" s="232" t="s">
        <v>365</v>
      </c>
      <c r="C183" s="224">
        <v>210621.64</v>
      </c>
      <c r="D183" s="225">
        <v>113866.27</v>
      </c>
      <c r="E183" s="226">
        <v>96755.37</v>
      </c>
      <c r="F183" s="224">
        <v>34684954.399999999</v>
      </c>
      <c r="G183" s="218">
        <v>9815545.5999999996</v>
      </c>
      <c r="H183" s="219">
        <v>16090916.24</v>
      </c>
    </row>
    <row r="184" spans="1:8">
      <c r="A184" s="201">
        <v>124</v>
      </c>
      <c r="B184" s="232" t="s">
        <v>366</v>
      </c>
      <c r="C184" s="224">
        <v>210621.64</v>
      </c>
      <c r="D184" s="225">
        <v>113549.52</v>
      </c>
      <c r="E184" s="226">
        <v>97072.13</v>
      </c>
      <c r="F184" s="224">
        <v>34587882.270000003</v>
      </c>
      <c r="G184" s="218">
        <v>9912617.7300000004</v>
      </c>
      <c r="H184" s="219">
        <v>16204465.75</v>
      </c>
    </row>
    <row r="185" spans="1:8">
      <c r="A185" s="201">
        <v>125</v>
      </c>
      <c r="B185" s="232" t="s">
        <v>367</v>
      </c>
      <c r="C185" s="224">
        <v>210621.64</v>
      </c>
      <c r="D185" s="225">
        <v>113231.73</v>
      </c>
      <c r="E185" s="226">
        <v>97389.91</v>
      </c>
      <c r="F185" s="224">
        <v>34490492.359999999</v>
      </c>
      <c r="G185" s="218">
        <v>10010007.640000001</v>
      </c>
      <c r="H185" s="219">
        <v>16317697.48</v>
      </c>
    </row>
    <row r="186" spans="1:8">
      <c r="A186" s="201">
        <v>126</v>
      </c>
      <c r="B186" s="232" t="s">
        <v>368</v>
      </c>
      <c r="C186" s="224">
        <v>210621.64</v>
      </c>
      <c r="D186" s="225">
        <v>112912.9</v>
      </c>
      <c r="E186" s="226">
        <v>97708.74</v>
      </c>
      <c r="F186" s="224">
        <v>34392783.609999999</v>
      </c>
      <c r="G186" s="218">
        <v>10107716.390000001</v>
      </c>
      <c r="H186" s="219">
        <v>16430610.380000001</v>
      </c>
    </row>
    <row r="187" spans="1:8">
      <c r="A187" s="201">
        <v>127</v>
      </c>
      <c r="B187" s="232" t="s">
        <v>369</v>
      </c>
      <c r="C187" s="224">
        <v>210621.64</v>
      </c>
      <c r="D187" s="225">
        <v>112593.02</v>
      </c>
      <c r="E187" s="226">
        <v>98028.62</v>
      </c>
      <c r="F187" s="224">
        <v>34294755</v>
      </c>
      <c r="G187" s="218">
        <v>10205745</v>
      </c>
      <c r="H187" s="219">
        <v>16543203.4</v>
      </c>
    </row>
    <row r="188" spans="1:8">
      <c r="A188" s="201">
        <v>128</v>
      </c>
      <c r="B188" s="232" t="s">
        <v>370</v>
      </c>
      <c r="C188" s="224">
        <v>210621.64</v>
      </c>
      <c r="D188" s="225">
        <v>112272.1</v>
      </c>
      <c r="E188" s="226">
        <v>98349.54</v>
      </c>
      <c r="F188" s="224">
        <v>34196405.460000001</v>
      </c>
      <c r="G188" s="218">
        <v>10304094.539999999</v>
      </c>
      <c r="H188" s="219">
        <v>16655475.5</v>
      </c>
    </row>
    <row r="189" spans="1:8">
      <c r="A189" s="201">
        <v>129</v>
      </c>
      <c r="B189" s="232" t="s">
        <v>371</v>
      </c>
      <c r="C189" s="224">
        <v>210621.64</v>
      </c>
      <c r="D189" s="225">
        <v>111950.13</v>
      </c>
      <c r="E189" s="226">
        <v>98671.51</v>
      </c>
      <c r="F189" s="224">
        <v>34097733.950000003</v>
      </c>
      <c r="G189" s="218">
        <v>10402766.050000001</v>
      </c>
      <c r="H189" s="219">
        <v>16767425.640000001</v>
      </c>
    </row>
    <row r="190" spans="1:8">
      <c r="A190" s="201">
        <v>130</v>
      </c>
      <c r="B190" s="232" t="s">
        <v>372</v>
      </c>
      <c r="C190" s="224">
        <v>210621.64</v>
      </c>
      <c r="D190" s="225">
        <v>111627.11</v>
      </c>
      <c r="E190" s="226">
        <v>98994.53</v>
      </c>
      <c r="F190" s="224">
        <v>33998739.420000002</v>
      </c>
      <c r="G190" s="218">
        <v>10501760.58</v>
      </c>
      <c r="H190" s="219">
        <v>16879052.739999998</v>
      </c>
    </row>
    <row r="191" spans="1:8">
      <c r="A191" s="201">
        <v>131</v>
      </c>
      <c r="B191" s="232" t="s">
        <v>373</v>
      </c>
      <c r="C191" s="224">
        <v>210621.64</v>
      </c>
      <c r="D191" s="225">
        <v>111303.03</v>
      </c>
      <c r="E191" s="226">
        <v>99318.62</v>
      </c>
      <c r="F191" s="224">
        <v>33899420.799999997</v>
      </c>
      <c r="G191" s="218">
        <v>10601079.199999999</v>
      </c>
      <c r="H191" s="219">
        <v>16990355.77</v>
      </c>
    </row>
    <row r="192" spans="1:8">
      <c r="A192" s="200">
        <v>132</v>
      </c>
      <c r="B192" s="231" t="s">
        <v>374</v>
      </c>
      <c r="C192" s="213">
        <v>210621.64</v>
      </c>
      <c r="D192" s="216">
        <v>110977.88</v>
      </c>
      <c r="E192" s="217">
        <v>99643.76</v>
      </c>
      <c r="F192" s="213">
        <v>33799777.039999999</v>
      </c>
      <c r="G192" s="222">
        <v>10700722.960000001</v>
      </c>
      <c r="H192" s="223">
        <v>17101333.649999999</v>
      </c>
    </row>
    <row r="193" spans="1:8">
      <c r="A193" s="201">
        <v>133</v>
      </c>
      <c r="B193" s="232" t="s">
        <v>375</v>
      </c>
      <c r="C193" s="224">
        <v>210621.64</v>
      </c>
      <c r="D193" s="225">
        <v>110651.67</v>
      </c>
      <c r="E193" s="226">
        <v>99969.97</v>
      </c>
      <c r="F193" s="224">
        <v>33699807.079999998</v>
      </c>
      <c r="G193" s="218">
        <v>10800692.92</v>
      </c>
      <c r="H193" s="219">
        <v>17211985.329999998</v>
      </c>
    </row>
    <row r="194" spans="1:8">
      <c r="A194" s="201">
        <v>134</v>
      </c>
      <c r="B194" s="232" t="s">
        <v>376</v>
      </c>
      <c r="C194" s="224">
        <v>210621.64</v>
      </c>
      <c r="D194" s="225">
        <v>110324.4</v>
      </c>
      <c r="E194" s="226">
        <v>100297.24</v>
      </c>
      <c r="F194" s="224">
        <v>33599509.840000004</v>
      </c>
      <c r="G194" s="218">
        <v>10900990.16</v>
      </c>
      <c r="H194" s="219">
        <v>17322309.73</v>
      </c>
    </row>
    <row r="195" spans="1:8">
      <c r="A195" s="201">
        <v>135</v>
      </c>
      <c r="B195" s="232" t="s">
        <v>377</v>
      </c>
      <c r="C195" s="224">
        <v>210621.64</v>
      </c>
      <c r="D195" s="225">
        <v>109996.05</v>
      </c>
      <c r="E195" s="226">
        <v>100625.59</v>
      </c>
      <c r="F195" s="224">
        <v>33498884.25</v>
      </c>
      <c r="G195" s="218">
        <v>11001615.75</v>
      </c>
      <c r="H195" s="219">
        <v>17432305.780000001</v>
      </c>
    </row>
    <row r="196" spans="1:8">
      <c r="A196" s="201">
        <v>136</v>
      </c>
      <c r="B196" s="232" t="s">
        <v>378</v>
      </c>
      <c r="C196" s="224">
        <v>210621.64</v>
      </c>
      <c r="D196" s="225">
        <v>109666.63</v>
      </c>
      <c r="E196" s="226">
        <v>100955.01</v>
      </c>
      <c r="F196" s="224">
        <v>33397929.239999998</v>
      </c>
      <c r="G196" s="218">
        <v>11102570.76</v>
      </c>
      <c r="H196" s="219">
        <v>17541972.41</v>
      </c>
    </row>
    <row r="197" spans="1:8">
      <c r="A197" s="201">
        <v>137</v>
      </c>
      <c r="B197" s="232" t="s">
        <v>379</v>
      </c>
      <c r="C197" s="224">
        <v>210621.64</v>
      </c>
      <c r="D197" s="225">
        <v>109336.13</v>
      </c>
      <c r="E197" s="226">
        <v>101285.51</v>
      </c>
      <c r="F197" s="224">
        <v>33296643.73</v>
      </c>
      <c r="G197" s="218">
        <v>11203856.27</v>
      </c>
      <c r="H197" s="219">
        <v>17651308.539999999</v>
      </c>
    </row>
    <row r="198" spans="1:8">
      <c r="A198" s="201">
        <v>138</v>
      </c>
      <c r="B198" s="232" t="s">
        <v>380</v>
      </c>
      <c r="C198" s="224">
        <v>210621.64</v>
      </c>
      <c r="D198" s="225">
        <v>109004.55</v>
      </c>
      <c r="E198" s="226">
        <v>101617.09</v>
      </c>
      <c r="F198" s="224">
        <v>33195026.629999999</v>
      </c>
      <c r="G198" s="218">
        <v>11305473.369999999</v>
      </c>
      <c r="H198" s="219">
        <v>17760313.09</v>
      </c>
    </row>
    <row r="199" spans="1:8">
      <c r="A199" s="201">
        <v>139</v>
      </c>
      <c r="B199" s="232" t="s">
        <v>381</v>
      </c>
      <c r="C199" s="224">
        <v>210621.64</v>
      </c>
      <c r="D199" s="225">
        <v>108671.88</v>
      </c>
      <c r="E199" s="226">
        <v>101949.75999999999</v>
      </c>
      <c r="F199" s="224">
        <v>33093076.870000001</v>
      </c>
      <c r="G199" s="218">
        <v>11407423.130000001</v>
      </c>
      <c r="H199" s="219">
        <v>17868984.960000001</v>
      </c>
    </row>
    <row r="200" spans="1:8">
      <c r="A200" s="201">
        <v>140</v>
      </c>
      <c r="B200" s="232" t="s">
        <v>382</v>
      </c>
      <c r="C200" s="224">
        <v>210621.64</v>
      </c>
      <c r="D200" s="225">
        <v>108338.12</v>
      </c>
      <c r="E200" s="226">
        <v>102283.52</v>
      </c>
      <c r="F200" s="224">
        <v>32990793.350000001</v>
      </c>
      <c r="G200" s="218">
        <v>11509706.65</v>
      </c>
      <c r="H200" s="219">
        <v>17977323.09</v>
      </c>
    </row>
    <row r="201" spans="1:8">
      <c r="A201" s="201">
        <v>141</v>
      </c>
      <c r="B201" s="232" t="s">
        <v>383</v>
      </c>
      <c r="C201" s="224">
        <v>210621.64</v>
      </c>
      <c r="D201" s="225">
        <v>108003.27</v>
      </c>
      <c r="E201" s="226">
        <v>102618.37</v>
      </c>
      <c r="F201" s="224">
        <v>32888174.98</v>
      </c>
      <c r="G201" s="218">
        <v>11612325.02</v>
      </c>
      <c r="H201" s="219">
        <v>18085326.359999999</v>
      </c>
    </row>
    <row r="202" spans="1:8">
      <c r="A202" s="201">
        <v>142</v>
      </c>
      <c r="B202" s="232" t="s">
        <v>384</v>
      </c>
      <c r="C202" s="224">
        <v>210621.64</v>
      </c>
      <c r="D202" s="225">
        <v>107667.33</v>
      </c>
      <c r="E202" s="226">
        <v>102954.31</v>
      </c>
      <c r="F202" s="224">
        <v>32785220.670000002</v>
      </c>
      <c r="G202" s="218">
        <v>11715279.33</v>
      </c>
      <c r="H202" s="219">
        <v>18192993.690000001</v>
      </c>
    </row>
    <row r="203" spans="1:8">
      <c r="A203" s="201">
        <v>143</v>
      </c>
      <c r="B203" s="232" t="s">
        <v>385</v>
      </c>
      <c r="C203" s="224">
        <v>210621.64</v>
      </c>
      <c r="D203" s="225">
        <v>107330.28</v>
      </c>
      <c r="E203" s="226">
        <v>103291.36</v>
      </c>
      <c r="F203" s="224">
        <v>32681929.309999999</v>
      </c>
      <c r="G203" s="218">
        <v>11818570.689999999</v>
      </c>
      <c r="H203" s="219">
        <v>18300323.969999999</v>
      </c>
    </row>
    <row r="204" spans="1:8">
      <c r="A204" s="200">
        <v>144</v>
      </c>
      <c r="B204" s="231" t="s">
        <v>386</v>
      </c>
      <c r="C204" s="213">
        <v>210621.64</v>
      </c>
      <c r="D204" s="216">
        <v>106992.13</v>
      </c>
      <c r="E204" s="217">
        <v>103629.51</v>
      </c>
      <c r="F204" s="213">
        <v>32578299.800000001</v>
      </c>
      <c r="G204" s="222">
        <v>11922200.199999999</v>
      </c>
      <c r="H204" s="223">
        <v>18407316.100000001</v>
      </c>
    </row>
    <row r="205" spans="1:8">
      <c r="A205" s="201">
        <v>145</v>
      </c>
      <c r="B205" s="232" t="s">
        <v>387</v>
      </c>
      <c r="C205" s="224">
        <v>210621.64</v>
      </c>
      <c r="D205" s="225">
        <v>106652.88</v>
      </c>
      <c r="E205" s="226">
        <v>103968.76</v>
      </c>
      <c r="F205" s="224">
        <v>32474331.039999999</v>
      </c>
      <c r="G205" s="218">
        <v>12026168.960000001</v>
      </c>
      <c r="H205" s="219">
        <v>18513968.98</v>
      </c>
    </row>
    <row r="206" spans="1:8">
      <c r="A206" s="201">
        <v>146</v>
      </c>
      <c r="B206" s="232" t="s">
        <v>388</v>
      </c>
      <c r="C206" s="224">
        <v>210621.64</v>
      </c>
      <c r="D206" s="225">
        <v>106312.51</v>
      </c>
      <c r="E206" s="226">
        <v>104309.13</v>
      </c>
      <c r="F206" s="224">
        <v>32370021.899999999</v>
      </c>
      <c r="G206" s="218">
        <v>12130478.1</v>
      </c>
      <c r="H206" s="219">
        <v>18620281.48</v>
      </c>
    </row>
    <row r="207" spans="1:8">
      <c r="A207" s="201">
        <v>147</v>
      </c>
      <c r="B207" s="232" t="s">
        <v>389</v>
      </c>
      <c r="C207" s="224">
        <v>210621.64</v>
      </c>
      <c r="D207" s="225">
        <v>105971.03</v>
      </c>
      <c r="E207" s="226">
        <v>104650.61</v>
      </c>
      <c r="F207" s="224">
        <v>32265371.289999999</v>
      </c>
      <c r="G207" s="218">
        <v>12235128.710000001</v>
      </c>
      <c r="H207" s="219">
        <v>18726252.510000002</v>
      </c>
    </row>
    <row r="208" spans="1:8">
      <c r="A208" s="201">
        <v>148</v>
      </c>
      <c r="B208" s="232" t="s">
        <v>390</v>
      </c>
      <c r="C208" s="224">
        <v>210621.64</v>
      </c>
      <c r="D208" s="225">
        <v>105628.43</v>
      </c>
      <c r="E208" s="226">
        <v>104993.21</v>
      </c>
      <c r="F208" s="224">
        <v>32160378.079999998</v>
      </c>
      <c r="G208" s="218">
        <v>12340121.92</v>
      </c>
      <c r="H208" s="219">
        <v>18831880.940000001</v>
      </c>
    </row>
    <row r="209" spans="1:8">
      <c r="A209" s="201">
        <v>149</v>
      </c>
      <c r="B209" s="232" t="s">
        <v>391</v>
      </c>
      <c r="C209" s="224">
        <v>210621.64</v>
      </c>
      <c r="D209" s="225">
        <v>105284.71</v>
      </c>
      <c r="E209" s="226">
        <v>105336.93</v>
      </c>
      <c r="F209" s="224">
        <v>32055041.149999999</v>
      </c>
      <c r="G209" s="218">
        <v>12445458.85</v>
      </c>
      <c r="H209" s="219">
        <v>18937165.649999999</v>
      </c>
    </row>
    <row r="210" spans="1:8">
      <c r="A210" s="201">
        <v>150</v>
      </c>
      <c r="B210" s="232" t="s">
        <v>392</v>
      </c>
      <c r="C210" s="224">
        <v>210621.64</v>
      </c>
      <c r="D210" s="225">
        <v>104939.86</v>
      </c>
      <c r="E210" s="226">
        <v>105681.78</v>
      </c>
      <c r="F210" s="224">
        <v>31949359.370000001</v>
      </c>
      <c r="G210" s="218">
        <v>12551140.630000001</v>
      </c>
      <c r="H210" s="219">
        <v>19042105.52</v>
      </c>
    </row>
    <row r="211" spans="1:8">
      <c r="A211" s="201">
        <v>151</v>
      </c>
      <c r="B211" s="232" t="s">
        <v>393</v>
      </c>
      <c r="C211" s="224">
        <v>210621.64</v>
      </c>
      <c r="D211" s="225">
        <v>104593.89</v>
      </c>
      <c r="E211" s="226">
        <v>106027.75</v>
      </c>
      <c r="F211" s="224">
        <v>31843331.620000001</v>
      </c>
      <c r="G211" s="218">
        <v>12657168.380000001</v>
      </c>
      <c r="H211" s="219">
        <v>19146699.399999999</v>
      </c>
    </row>
    <row r="212" spans="1:8">
      <c r="A212" s="201">
        <v>152</v>
      </c>
      <c r="B212" s="232" t="s">
        <v>394</v>
      </c>
      <c r="C212" s="224">
        <v>210621.64</v>
      </c>
      <c r="D212" s="225">
        <v>104246.78</v>
      </c>
      <c r="E212" s="226">
        <v>106374.86</v>
      </c>
      <c r="F212" s="224">
        <v>31736956.760000002</v>
      </c>
      <c r="G212" s="218">
        <v>12763543.24</v>
      </c>
      <c r="H212" s="219">
        <v>19250946.190000001</v>
      </c>
    </row>
    <row r="213" spans="1:8">
      <c r="A213" s="201">
        <v>153</v>
      </c>
      <c r="B213" s="232" t="s">
        <v>395</v>
      </c>
      <c r="C213" s="224">
        <v>210621.64</v>
      </c>
      <c r="D213" s="225">
        <v>103898.54</v>
      </c>
      <c r="E213" s="226">
        <v>106723.1</v>
      </c>
      <c r="F213" s="224">
        <v>31630233.66</v>
      </c>
      <c r="G213" s="218">
        <v>12870266.34</v>
      </c>
      <c r="H213" s="219">
        <v>19354844.719999999</v>
      </c>
    </row>
    <row r="214" spans="1:8">
      <c r="A214" s="201">
        <v>154</v>
      </c>
      <c r="B214" s="232" t="s">
        <v>396</v>
      </c>
      <c r="C214" s="224">
        <v>210621.64</v>
      </c>
      <c r="D214" s="225">
        <v>103549.15</v>
      </c>
      <c r="E214" s="226">
        <v>107072.49</v>
      </c>
      <c r="F214" s="224">
        <v>31523161.170000002</v>
      </c>
      <c r="G214" s="218">
        <v>12977338.83</v>
      </c>
      <c r="H214" s="219">
        <v>19458393.879999999</v>
      </c>
    </row>
    <row r="215" spans="1:8">
      <c r="A215" s="201">
        <v>155</v>
      </c>
      <c r="B215" s="232" t="s">
        <v>397</v>
      </c>
      <c r="C215" s="224">
        <v>210621.64</v>
      </c>
      <c r="D215" s="225">
        <v>103198.63</v>
      </c>
      <c r="E215" s="226">
        <v>107423.01</v>
      </c>
      <c r="F215" s="224">
        <v>31415738.149999999</v>
      </c>
      <c r="G215" s="218">
        <v>13084761.85</v>
      </c>
      <c r="H215" s="219">
        <v>19561592.5</v>
      </c>
    </row>
    <row r="216" spans="1:8">
      <c r="A216" s="200">
        <v>156</v>
      </c>
      <c r="B216" s="231" t="s">
        <v>398</v>
      </c>
      <c r="C216" s="213">
        <v>210621.64</v>
      </c>
      <c r="D216" s="216">
        <v>102846.95</v>
      </c>
      <c r="E216" s="217">
        <v>107774.69</v>
      </c>
      <c r="F216" s="213">
        <v>31307963.469999999</v>
      </c>
      <c r="G216" s="222">
        <v>13192536.529999999</v>
      </c>
      <c r="H216" s="223">
        <v>19664439.460000001</v>
      </c>
    </row>
    <row r="217" spans="1:8">
      <c r="A217" s="201">
        <v>157</v>
      </c>
      <c r="B217" s="232" t="s">
        <v>399</v>
      </c>
      <c r="C217" s="224">
        <v>210621.64</v>
      </c>
      <c r="D217" s="225">
        <v>102494.13</v>
      </c>
      <c r="E217" s="226">
        <v>108127.52</v>
      </c>
      <c r="F217" s="224">
        <v>31199835.949999999</v>
      </c>
      <c r="G217" s="218">
        <v>13300664.050000001</v>
      </c>
      <c r="H217" s="219">
        <v>19766933.579999998</v>
      </c>
    </row>
    <row r="218" spans="1:8">
      <c r="A218" s="201">
        <v>158</v>
      </c>
      <c r="B218" s="232" t="s">
        <v>400</v>
      </c>
      <c r="C218" s="224">
        <v>210621.64</v>
      </c>
      <c r="D218" s="225">
        <v>102140.14</v>
      </c>
      <c r="E218" s="226">
        <v>108481.5</v>
      </c>
      <c r="F218" s="224">
        <v>31091354.449999999</v>
      </c>
      <c r="G218" s="218">
        <v>13409145.550000001</v>
      </c>
      <c r="H218" s="219">
        <v>19869073.73</v>
      </c>
    </row>
    <row r="219" spans="1:8">
      <c r="A219" s="201">
        <v>159</v>
      </c>
      <c r="B219" s="232" t="s">
        <v>401</v>
      </c>
      <c r="C219" s="224">
        <v>210621.64</v>
      </c>
      <c r="D219" s="225">
        <v>101785</v>
      </c>
      <c r="E219" s="226">
        <v>108836.64</v>
      </c>
      <c r="F219" s="224">
        <v>30982517.82</v>
      </c>
      <c r="G219" s="218">
        <v>13517982.18</v>
      </c>
      <c r="H219" s="219">
        <v>19970858.73</v>
      </c>
    </row>
    <row r="220" spans="1:8">
      <c r="A220" s="201">
        <v>160</v>
      </c>
      <c r="B220" s="232" t="s">
        <v>402</v>
      </c>
      <c r="C220" s="224">
        <v>210621.64</v>
      </c>
      <c r="D220" s="225">
        <v>101428.7</v>
      </c>
      <c r="E220" s="226">
        <v>109192.94</v>
      </c>
      <c r="F220" s="224">
        <v>30873324.879999999</v>
      </c>
      <c r="G220" s="218">
        <v>13627175.119999999</v>
      </c>
      <c r="H220" s="219">
        <v>20072287.43</v>
      </c>
    </row>
    <row r="221" spans="1:8">
      <c r="A221" s="201">
        <v>161</v>
      </c>
      <c r="B221" s="232" t="s">
        <v>403</v>
      </c>
      <c r="C221" s="224">
        <v>210621.64</v>
      </c>
      <c r="D221" s="225">
        <v>101071.23</v>
      </c>
      <c r="E221" s="226">
        <v>109550.41</v>
      </c>
      <c r="F221" s="224">
        <v>30763774.469999999</v>
      </c>
      <c r="G221" s="218">
        <v>13736725.529999999</v>
      </c>
      <c r="H221" s="219">
        <v>20173358.66</v>
      </c>
    </row>
    <row r="222" spans="1:8">
      <c r="A222" s="201">
        <v>162</v>
      </c>
      <c r="B222" s="232" t="s">
        <v>404</v>
      </c>
      <c r="C222" s="224">
        <v>210621.64</v>
      </c>
      <c r="D222" s="225">
        <v>100712.59</v>
      </c>
      <c r="E222" s="226">
        <v>109909.05</v>
      </c>
      <c r="F222" s="224">
        <v>30653865.420000002</v>
      </c>
      <c r="G222" s="218">
        <v>13846634.58</v>
      </c>
      <c r="H222" s="219">
        <v>20274071.260000002</v>
      </c>
    </row>
    <row r="223" spans="1:8">
      <c r="A223" s="201">
        <v>163</v>
      </c>
      <c r="B223" s="232" t="s">
        <v>405</v>
      </c>
      <c r="C223" s="224">
        <v>210621.64</v>
      </c>
      <c r="D223" s="225">
        <v>100352.78</v>
      </c>
      <c r="E223" s="226">
        <v>110268.86</v>
      </c>
      <c r="F223" s="224">
        <v>30543596.559999999</v>
      </c>
      <c r="G223" s="218">
        <v>13956903.439999999</v>
      </c>
      <c r="H223" s="219">
        <v>20374424.030000001</v>
      </c>
    </row>
    <row r="224" spans="1:8">
      <c r="A224" s="201">
        <v>164</v>
      </c>
      <c r="B224" s="232" t="s">
        <v>406</v>
      </c>
      <c r="C224" s="224">
        <v>210621.64</v>
      </c>
      <c r="D224" s="225">
        <v>99991.79</v>
      </c>
      <c r="E224" s="226">
        <v>110629.85</v>
      </c>
      <c r="F224" s="224">
        <v>30432966.699999999</v>
      </c>
      <c r="G224" s="218">
        <v>14067533.300000001</v>
      </c>
      <c r="H224" s="219">
        <v>20474415.82</v>
      </c>
    </row>
    <row r="225" spans="1:8">
      <c r="A225" s="201">
        <v>165</v>
      </c>
      <c r="B225" s="232" t="s">
        <v>407</v>
      </c>
      <c r="C225" s="224">
        <v>210621.64</v>
      </c>
      <c r="D225" s="225">
        <v>99629.61</v>
      </c>
      <c r="E225" s="226">
        <v>110992.03</v>
      </c>
      <c r="F225" s="224">
        <v>30321974.68</v>
      </c>
      <c r="G225" s="218">
        <v>14178525.32</v>
      </c>
      <c r="H225" s="219">
        <v>20574045.440000001</v>
      </c>
    </row>
    <row r="226" spans="1:8">
      <c r="A226" s="201">
        <v>166</v>
      </c>
      <c r="B226" s="232" t="s">
        <v>408</v>
      </c>
      <c r="C226" s="224">
        <v>210621.64</v>
      </c>
      <c r="D226" s="225">
        <v>99266.25</v>
      </c>
      <c r="E226" s="226">
        <v>111355.39</v>
      </c>
      <c r="F226" s="224">
        <v>30210619.289999999</v>
      </c>
      <c r="G226" s="218">
        <v>14289880.710000001</v>
      </c>
      <c r="H226" s="219">
        <v>20673311.690000001</v>
      </c>
    </row>
    <row r="227" spans="1:8">
      <c r="A227" s="201">
        <v>167</v>
      </c>
      <c r="B227" s="232" t="s">
        <v>409</v>
      </c>
      <c r="C227" s="224">
        <v>210621.64</v>
      </c>
      <c r="D227" s="225">
        <v>98901.71</v>
      </c>
      <c r="E227" s="226">
        <v>111719.93</v>
      </c>
      <c r="F227" s="224">
        <v>30098899.350000001</v>
      </c>
      <c r="G227" s="218">
        <v>14401600.65</v>
      </c>
      <c r="H227" s="219">
        <v>20772213.399999999</v>
      </c>
    </row>
    <row r="228" spans="1:8">
      <c r="A228" s="200">
        <v>168</v>
      </c>
      <c r="B228" s="231" t="s">
        <v>410</v>
      </c>
      <c r="C228" s="213">
        <v>210621.64</v>
      </c>
      <c r="D228" s="216">
        <v>98535.96</v>
      </c>
      <c r="E228" s="217">
        <v>112085.68</v>
      </c>
      <c r="F228" s="213">
        <v>29986813.68</v>
      </c>
      <c r="G228" s="222">
        <v>14513686.32</v>
      </c>
      <c r="H228" s="223">
        <v>20870749.359999999</v>
      </c>
    </row>
    <row r="229" spans="1:8">
      <c r="A229" s="201">
        <v>169</v>
      </c>
      <c r="B229" s="232" t="s">
        <v>411</v>
      </c>
      <c r="C229" s="224">
        <v>210621.64</v>
      </c>
      <c r="D229" s="225">
        <v>98169.02</v>
      </c>
      <c r="E229" s="226">
        <v>112452.62</v>
      </c>
      <c r="F229" s="224">
        <v>29874361.059999999</v>
      </c>
      <c r="G229" s="218">
        <v>14626138.939999999</v>
      </c>
      <c r="H229" s="219">
        <v>20968918.390000001</v>
      </c>
    </row>
    <row r="230" spans="1:8">
      <c r="A230" s="201">
        <v>170</v>
      </c>
      <c r="B230" s="232" t="s">
        <v>412</v>
      </c>
      <c r="C230" s="224">
        <v>210621.64</v>
      </c>
      <c r="D230" s="225">
        <v>97800.88</v>
      </c>
      <c r="E230" s="226">
        <v>112820.76</v>
      </c>
      <c r="F230" s="224">
        <v>29761540.309999999</v>
      </c>
      <c r="G230" s="218">
        <v>14738959.689999999</v>
      </c>
      <c r="H230" s="219">
        <v>21066719.27</v>
      </c>
    </row>
    <row r="231" spans="1:8">
      <c r="A231" s="201">
        <v>171</v>
      </c>
      <c r="B231" s="232" t="s">
        <v>413</v>
      </c>
      <c r="C231" s="224">
        <v>210621.64</v>
      </c>
      <c r="D231" s="225">
        <v>97431.54</v>
      </c>
      <c r="E231" s="226">
        <v>113190.1</v>
      </c>
      <c r="F231" s="224">
        <v>29648350.199999999</v>
      </c>
      <c r="G231" s="218">
        <v>14852149.800000001</v>
      </c>
      <c r="H231" s="219">
        <v>21164150.809999999</v>
      </c>
    </row>
    <row r="232" spans="1:8">
      <c r="A232" s="201">
        <v>172</v>
      </c>
      <c r="B232" s="232" t="s">
        <v>414</v>
      </c>
      <c r="C232" s="224">
        <v>210621.64</v>
      </c>
      <c r="D232" s="225">
        <v>97060.98</v>
      </c>
      <c r="E232" s="226">
        <v>113560.66</v>
      </c>
      <c r="F232" s="224">
        <v>29534789.550000001</v>
      </c>
      <c r="G232" s="218">
        <v>14965710.449999999</v>
      </c>
      <c r="H232" s="219">
        <v>21261211.789999999</v>
      </c>
    </row>
    <row r="233" spans="1:8">
      <c r="A233" s="201">
        <v>173</v>
      </c>
      <c r="B233" s="232" t="s">
        <v>415</v>
      </c>
      <c r="C233" s="224">
        <v>210621.64</v>
      </c>
      <c r="D233" s="225">
        <v>96689.22</v>
      </c>
      <c r="E233" s="226">
        <v>113932.43</v>
      </c>
      <c r="F233" s="224">
        <v>29420857.120000001</v>
      </c>
      <c r="G233" s="218">
        <v>15079642.880000001</v>
      </c>
      <c r="H233" s="219">
        <v>21357901.010000002</v>
      </c>
    </row>
    <row r="234" spans="1:8">
      <c r="A234" s="201">
        <v>174</v>
      </c>
      <c r="B234" s="232" t="s">
        <v>416</v>
      </c>
      <c r="C234" s="224">
        <v>210621.64</v>
      </c>
      <c r="D234" s="225">
        <v>96316.23</v>
      </c>
      <c r="E234" s="226">
        <v>114305.41</v>
      </c>
      <c r="F234" s="224">
        <v>29306551.710000001</v>
      </c>
      <c r="G234" s="218">
        <v>15193948.289999999</v>
      </c>
      <c r="H234" s="219">
        <v>21454217.239999998</v>
      </c>
    </row>
    <row r="235" spans="1:8">
      <c r="A235" s="201">
        <v>175</v>
      </c>
      <c r="B235" s="232" t="s">
        <v>417</v>
      </c>
      <c r="C235" s="224">
        <v>210621.64</v>
      </c>
      <c r="D235" s="225">
        <v>95942.02</v>
      </c>
      <c r="E235" s="226">
        <v>114679.62</v>
      </c>
      <c r="F235" s="224">
        <v>29191872.09</v>
      </c>
      <c r="G235" s="218">
        <v>15308627.91</v>
      </c>
      <c r="H235" s="219">
        <v>21550159.260000002</v>
      </c>
    </row>
    <row r="236" spans="1:8">
      <c r="A236" s="201">
        <v>176</v>
      </c>
      <c r="B236" s="232" t="s">
        <v>418</v>
      </c>
      <c r="C236" s="224">
        <v>210621.64</v>
      </c>
      <c r="D236" s="225">
        <v>95566.59</v>
      </c>
      <c r="E236" s="226">
        <v>115055.05</v>
      </c>
      <c r="F236" s="224">
        <v>29076817.039999999</v>
      </c>
      <c r="G236" s="218">
        <v>15423682.960000001</v>
      </c>
      <c r="H236" s="219">
        <v>21645725.850000001</v>
      </c>
    </row>
    <row r="237" spans="1:8">
      <c r="A237" s="201">
        <v>177</v>
      </c>
      <c r="B237" s="232" t="s">
        <v>419</v>
      </c>
      <c r="C237" s="224">
        <v>210621.64</v>
      </c>
      <c r="D237" s="225">
        <v>95189.93</v>
      </c>
      <c r="E237" s="226">
        <v>115431.71</v>
      </c>
      <c r="F237" s="224">
        <v>28961385.34</v>
      </c>
      <c r="G237" s="218">
        <v>15539114.66</v>
      </c>
      <c r="H237" s="219">
        <v>21740915.789999999</v>
      </c>
    </row>
    <row r="238" spans="1:8">
      <c r="A238" s="201">
        <v>178</v>
      </c>
      <c r="B238" s="232" t="s">
        <v>420</v>
      </c>
      <c r="C238" s="224">
        <v>210621.64</v>
      </c>
      <c r="D238" s="225">
        <v>94812.04</v>
      </c>
      <c r="E238" s="226">
        <v>115809.60000000001</v>
      </c>
      <c r="F238" s="224">
        <v>28845575.73</v>
      </c>
      <c r="G238" s="218">
        <v>15654924.27</v>
      </c>
      <c r="H238" s="219">
        <v>21835727.829999998</v>
      </c>
    </row>
    <row r="239" spans="1:8">
      <c r="A239" s="201">
        <v>179</v>
      </c>
      <c r="B239" s="232" t="s">
        <v>421</v>
      </c>
      <c r="C239" s="224">
        <v>210621.64</v>
      </c>
      <c r="D239" s="225">
        <v>94432.91</v>
      </c>
      <c r="E239" s="226">
        <v>116188.73</v>
      </c>
      <c r="F239" s="224">
        <v>28729387</v>
      </c>
      <c r="G239" s="218">
        <v>15771113</v>
      </c>
      <c r="H239" s="219">
        <v>21930160.739999998</v>
      </c>
    </row>
    <row r="240" spans="1:8">
      <c r="A240" s="200">
        <v>180</v>
      </c>
      <c r="B240" s="231" t="s">
        <v>422</v>
      </c>
      <c r="C240" s="213">
        <v>210621.64</v>
      </c>
      <c r="D240" s="216">
        <v>94052.54</v>
      </c>
      <c r="E240" s="217">
        <v>116569.1</v>
      </c>
      <c r="F240" s="213">
        <v>28612817.899999999</v>
      </c>
      <c r="G240" s="222">
        <v>15887682.1</v>
      </c>
      <c r="H240" s="223">
        <v>22024213.27</v>
      </c>
    </row>
    <row r="241" spans="1:8">
      <c r="A241" s="201">
        <v>181</v>
      </c>
      <c r="B241" s="232" t="s">
        <v>423</v>
      </c>
      <c r="C241" s="224">
        <v>210621.64</v>
      </c>
      <c r="D241" s="225">
        <v>93670.92</v>
      </c>
      <c r="E241" s="226">
        <v>116950.72</v>
      </c>
      <c r="F241" s="224">
        <v>28495867.18</v>
      </c>
      <c r="G241" s="218">
        <v>16004632.82</v>
      </c>
      <c r="H241" s="219">
        <v>22117884.190000001</v>
      </c>
    </row>
    <row r="242" spans="1:8">
      <c r="A242" s="201">
        <v>182</v>
      </c>
      <c r="B242" s="232" t="s">
        <v>424</v>
      </c>
      <c r="C242" s="224">
        <v>210621.64</v>
      </c>
      <c r="D242" s="225">
        <v>93288.05</v>
      </c>
      <c r="E242" s="226">
        <v>117333.59</v>
      </c>
      <c r="F242" s="224">
        <v>28378533.59</v>
      </c>
      <c r="G242" s="218">
        <v>16121966.41</v>
      </c>
      <c r="H242" s="219">
        <v>22211172.25</v>
      </c>
    </row>
    <row r="243" spans="1:8">
      <c r="A243" s="201">
        <v>183</v>
      </c>
      <c r="B243" s="232" t="s">
        <v>425</v>
      </c>
      <c r="C243" s="224">
        <v>210621.64</v>
      </c>
      <c r="D243" s="225">
        <v>92903.93</v>
      </c>
      <c r="E243" s="226">
        <v>117717.71</v>
      </c>
      <c r="F243" s="224">
        <v>28260815.879999999</v>
      </c>
      <c r="G243" s="218">
        <v>16239684.119999999</v>
      </c>
      <c r="H243" s="219">
        <v>22304076.18</v>
      </c>
    </row>
    <row r="244" spans="1:8">
      <c r="A244" s="201">
        <v>184</v>
      </c>
      <c r="B244" s="232" t="s">
        <v>426</v>
      </c>
      <c r="C244" s="224">
        <v>210621.64</v>
      </c>
      <c r="D244" s="225">
        <v>92518.56</v>
      </c>
      <c r="E244" s="226">
        <v>118103.08</v>
      </c>
      <c r="F244" s="224">
        <v>28142712.800000001</v>
      </c>
      <c r="G244" s="218">
        <v>16357787.199999999</v>
      </c>
      <c r="H244" s="219">
        <v>22396594.739999998</v>
      </c>
    </row>
    <row r="245" spans="1:8">
      <c r="A245" s="201">
        <v>185</v>
      </c>
      <c r="B245" s="232" t="s">
        <v>427</v>
      </c>
      <c r="C245" s="224">
        <v>210621.64</v>
      </c>
      <c r="D245" s="225">
        <v>92131.92</v>
      </c>
      <c r="E245" s="226">
        <v>118489.72</v>
      </c>
      <c r="F245" s="224">
        <v>28024223.079999998</v>
      </c>
      <c r="G245" s="218">
        <v>16476276.92</v>
      </c>
      <c r="H245" s="219">
        <v>22488726.66</v>
      </c>
    </row>
    <row r="246" spans="1:8">
      <c r="A246" s="201">
        <v>186</v>
      </c>
      <c r="B246" s="232" t="s">
        <v>428</v>
      </c>
      <c r="C246" s="224">
        <v>210621.64</v>
      </c>
      <c r="D246" s="225">
        <v>91744.01</v>
      </c>
      <c r="E246" s="226">
        <v>118877.63</v>
      </c>
      <c r="F246" s="224">
        <v>27905345.449999999</v>
      </c>
      <c r="G246" s="218">
        <v>16595154.550000001</v>
      </c>
      <c r="H246" s="219">
        <v>22580470.670000002</v>
      </c>
    </row>
    <row r="247" spans="1:8">
      <c r="A247" s="201">
        <v>187</v>
      </c>
      <c r="B247" s="232" t="s">
        <v>429</v>
      </c>
      <c r="C247" s="224">
        <v>210621.64</v>
      </c>
      <c r="D247" s="225">
        <v>91354.84</v>
      </c>
      <c r="E247" s="226">
        <v>119266.8</v>
      </c>
      <c r="F247" s="224">
        <v>27786078.649999999</v>
      </c>
      <c r="G247" s="218">
        <v>16714421.35</v>
      </c>
      <c r="H247" s="219">
        <v>22671825.510000002</v>
      </c>
    </row>
    <row r="248" spans="1:8">
      <c r="A248" s="201">
        <v>188</v>
      </c>
      <c r="B248" s="232" t="s">
        <v>430</v>
      </c>
      <c r="C248" s="224">
        <v>210621.64</v>
      </c>
      <c r="D248" s="225">
        <v>90964.39</v>
      </c>
      <c r="E248" s="226">
        <v>119657.25</v>
      </c>
      <c r="F248" s="224">
        <v>27666421.399999999</v>
      </c>
      <c r="G248" s="218">
        <v>16834078.600000001</v>
      </c>
      <c r="H248" s="219">
        <v>22762789.899999999</v>
      </c>
    </row>
    <row r="249" spans="1:8">
      <c r="A249" s="201">
        <v>189</v>
      </c>
      <c r="B249" s="232" t="s">
        <v>431</v>
      </c>
      <c r="C249" s="224">
        <v>210621.64</v>
      </c>
      <c r="D249" s="225">
        <v>90572.66</v>
      </c>
      <c r="E249" s="226">
        <v>120048.98</v>
      </c>
      <c r="F249" s="224">
        <v>27546372.420000002</v>
      </c>
      <c r="G249" s="218">
        <v>16954127.579999998</v>
      </c>
      <c r="H249" s="219">
        <v>22853362.57</v>
      </c>
    </row>
    <row r="250" spans="1:8">
      <c r="A250" s="201">
        <v>190</v>
      </c>
      <c r="B250" s="232" t="s">
        <v>432</v>
      </c>
      <c r="C250" s="224">
        <v>210621.64</v>
      </c>
      <c r="D250" s="225">
        <v>90179.66</v>
      </c>
      <c r="E250" s="226">
        <v>120441.99</v>
      </c>
      <c r="F250" s="224">
        <v>27425930.440000001</v>
      </c>
      <c r="G250" s="218">
        <v>17074569.559999999</v>
      </c>
      <c r="H250" s="219">
        <v>22943542.219999999</v>
      </c>
    </row>
    <row r="251" spans="1:8">
      <c r="A251" s="201">
        <v>191</v>
      </c>
      <c r="B251" s="232" t="s">
        <v>433</v>
      </c>
      <c r="C251" s="224">
        <v>210621.64</v>
      </c>
      <c r="D251" s="225">
        <v>89785.36</v>
      </c>
      <c r="E251" s="226">
        <v>120836.28</v>
      </c>
      <c r="F251" s="224">
        <v>27305094.16</v>
      </c>
      <c r="G251" s="218">
        <v>17195405.84</v>
      </c>
      <c r="H251" s="219">
        <v>23033327.579999998</v>
      </c>
    </row>
    <row r="252" spans="1:8">
      <c r="A252" s="200">
        <v>192</v>
      </c>
      <c r="B252" s="231" t="s">
        <v>434</v>
      </c>
      <c r="C252" s="213">
        <v>210621.64</v>
      </c>
      <c r="D252" s="216">
        <v>89389.77</v>
      </c>
      <c r="E252" s="217">
        <v>121231.87</v>
      </c>
      <c r="F252" s="213">
        <v>27183862.289999999</v>
      </c>
      <c r="G252" s="222">
        <v>17316637.710000001</v>
      </c>
      <c r="H252" s="223">
        <v>23122717.350000001</v>
      </c>
    </row>
    <row r="253" spans="1:8">
      <c r="A253" s="201">
        <v>193</v>
      </c>
      <c r="B253" s="232" t="s">
        <v>435</v>
      </c>
      <c r="C253" s="224">
        <v>210621.64</v>
      </c>
      <c r="D253" s="225">
        <v>88992.89</v>
      </c>
      <c r="E253" s="226">
        <v>121628.75</v>
      </c>
      <c r="F253" s="224">
        <v>27062233.539999999</v>
      </c>
      <c r="G253" s="218">
        <v>17438266.460000001</v>
      </c>
      <c r="H253" s="219">
        <v>23211710.239999998</v>
      </c>
    </row>
    <row r="254" spans="1:8">
      <c r="A254" s="201">
        <v>194</v>
      </c>
      <c r="B254" s="232" t="s">
        <v>436</v>
      </c>
      <c r="C254" s="224">
        <v>210621.64</v>
      </c>
      <c r="D254" s="225">
        <v>88594.71</v>
      </c>
      <c r="E254" s="226">
        <v>122026.93</v>
      </c>
      <c r="F254" s="224">
        <v>26940206.609999999</v>
      </c>
      <c r="G254" s="218">
        <v>17560293.390000001</v>
      </c>
      <c r="H254" s="219">
        <v>23300304.960000001</v>
      </c>
    </row>
    <row r="255" spans="1:8">
      <c r="A255" s="201">
        <v>195</v>
      </c>
      <c r="B255" s="232" t="s">
        <v>437</v>
      </c>
      <c r="C255" s="224">
        <v>210621.64</v>
      </c>
      <c r="D255" s="225">
        <v>88195.23</v>
      </c>
      <c r="E255" s="226">
        <v>122426.41</v>
      </c>
      <c r="F255" s="224">
        <v>26817780.190000001</v>
      </c>
      <c r="G255" s="218">
        <v>17682719.809999999</v>
      </c>
      <c r="H255" s="219">
        <v>23388500.18</v>
      </c>
    </row>
    <row r="256" spans="1:8">
      <c r="A256" s="201">
        <v>196</v>
      </c>
      <c r="B256" s="232" t="s">
        <v>438</v>
      </c>
      <c r="C256" s="224">
        <v>210621.64</v>
      </c>
      <c r="D256" s="225">
        <v>87794.43</v>
      </c>
      <c r="E256" s="226">
        <v>122827.21</v>
      </c>
      <c r="F256" s="224">
        <v>26694952.989999998</v>
      </c>
      <c r="G256" s="218">
        <v>17805547.010000002</v>
      </c>
      <c r="H256" s="219">
        <v>23476294.620000001</v>
      </c>
    </row>
    <row r="257" spans="1:8">
      <c r="A257" s="201">
        <v>197</v>
      </c>
      <c r="B257" s="232" t="s">
        <v>439</v>
      </c>
      <c r="C257" s="224">
        <v>210621.64</v>
      </c>
      <c r="D257" s="225">
        <v>87392.33</v>
      </c>
      <c r="E257" s="226">
        <v>123229.31</v>
      </c>
      <c r="F257" s="224">
        <v>26571723.670000002</v>
      </c>
      <c r="G257" s="218">
        <v>17928776.329999998</v>
      </c>
      <c r="H257" s="219">
        <v>23563686.949999999</v>
      </c>
    </row>
    <row r="258" spans="1:8">
      <c r="A258" s="201">
        <v>198</v>
      </c>
      <c r="B258" s="232" t="s">
        <v>440</v>
      </c>
      <c r="C258" s="224">
        <v>210621.64</v>
      </c>
      <c r="D258" s="225">
        <v>86988.91</v>
      </c>
      <c r="E258" s="226">
        <v>123632.73</v>
      </c>
      <c r="F258" s="224">
        <v>26448090.940000001</v>
      </c>
      <c r="G258" s="218">
        <v>18052409.059999999</v>
      </c>
      <c r="H258" s="219">
        <v>23650675.850000001</v>
      </c>
    </row>
    <row r="259" spans="1:8">
      <c r="A259" s="201">
        <v>199</v>
      </c>
      <c r="B259" s="232" t="s">
        <v>441</v>
      </c>
      <c r="C259" s="224">
        <v>210621.64</v>
      </c>
      <c r="D259" s="225">
        <v>86584.17</v>
      </c>
      <c r="E259" s="226">
        <v>124037.47</v>
      </c>
      <c r="F259" s="224">
        <v>26324053.469999999</v>
      </c>
      <c r="G259" s="218">
        <v>18176446.530000001</v>
      </c>
      <c r="H259" s="219">
        <v>23737260.02</v>
      </c>
    </row>
    <row r="260" spans="1:8">
      <c r="A260" s="201">
        <v>200</v>
      </c>
      <c r="B260" s="232" t="s">
        <v>442</v>
      </c>
      <c r="C260" s="224">
        <v>210621.64</v>
      </c>
      <c r="D260" s="225">
        <v>86178.1</v>
      </c>
      <c r="E260" s="226">
        <v>124443.54</v>
      </c>
      <c r="F260" s="224">
        <v>26199609.93</v>
      </c>
      <c r="G260" s="218">
        <v>18300890.07</v>
      </c>
      <c r="H260" s="219">
        <v>23823438.120000001</v>
      </c>
    </row>
    <row r="261" spans="1:8">
      <c r="A261" s="201">
        <v>201</v>
      </c>
      <c r="B261" s="232" t="s">
        <v>443</v>
      </c>
      <c r="C261" s="224">
        <v>210621.64</v>
      </c>
      <c r="D261" s="225">
        <v>85770.71</v>
      </c>
      <c r="E261" s="226">
        <v>124850.94</v>
      </c>
      <c r="F261" s="224">
        <v>26074758.989999998</v>
      </c>
      <c r="G261" s="218">
        <v>18425741.010000002</v>
      </c>
      <c r="H261" s="219">
        <v>23909208.829999998</v>
      </c>
    </row>
    <row r="262" spans="1:8">
      <c r="A262" s="201">
        <v>202</v>
      </c>
      <c r="B262" s="232" t="s">
        <v>444</v>
      </c>
      <c r="C262" s="224">
        <v>210621.64</v>
      </c>
      <c r="D262" s="225">
        <v>85361.98</v>
      </c>
      <c r="E262" s="226">
        <v>125259.67</v>
      </c>
      <c r="F262" s="224">
        <v>25949499.329999998</v>
      </c>
      <c r="G262" s="218">
        <v>18551000.670000002</v>
      </c>
      <c r="H262" s="219">
        <v>23994570.800000001</v>
      </c>
    </row>
    <row r="263" spans="1:8">
      <c r="A263" s="201">
        <v>203</v>
      </c>
      <c r="B263" s="232" t="s">
        <v>445</v>
      </c>
      <c r="C263" s="224">
        <v>210621.64</v>
      </c>
      <c r="D263" s="225">
        <v>84951.91</v>
      </c>
      <c r="E263" s="226">
        <v>125669.73</v>
      </c>
      <c r="F263" s="224">
        <v>25823829.600000001</v>
      </c>
      <c r="G263" s="218">
        <v>18676670.399999999</v>
      </c>
      <c r="H263" s="219">
        <v>24079522.710000001</v>
      </c>
    </row>
    <row r="264" spans="1:8">
      <c r="A264" s="200">
        <v>204</v>
      </c>
      <c r="B264" s="231" t="s">
        <v>446</v>
      </c>
      <c r="C264" s="213">
        <v>210621.64</v>
      </c>
      <c r="D264" s="216">
        <v>84540.5</v>
      </c>
      <c r="E264" s="217">
        <v>126081.14</v>
      </c>
      <c r="F264" s="213">
        <v>25697748.449999999</v>
      </c>
      <c r="G264" s="222">
        <v>18802751.550000001</v>
      </c>
      <c r="H264" s="223">
        <v>24164063.210000001</v>
      </c>
    </row>
    <row r="265" spans="1:8">
      <c r="A265" s="201">
        <v>205</v>
      </c>
      <c r="B265" s="232" t="s">
        <v>447</v>
      </c>
      <c r="C265" s="224">
        <v>210621.64</v>
      </c>
      <c r="D265" s="225">
        <v>84127.74</v>
      </c>
      <c r="E265" s="226">
        <v>126493.9</v>
      </c>
      <c r="F265" s="224">
        <v>25571254.550000001</v>
      </c>
      <c r="G265" s="218">
        <v>18929245.449999999</v>
      </c>
      <c r="H265" s="219">
        <v>24248190.949999999</v>
      </c>
    </row>
    <row r="266" spans="1:8">
      <c r="A266" s="201">
        <v>206</v>
      </c>
      <c r="B266" s="232" t="s">
        <v>448</v>
      </c>
      <c r="C266" s="224">
        <v>210621.64</v>
      </c>
      <c r="D266" s="225">
        <v>83713.63</v>
      </c>
      <c r="E266" s="226">
        <v>126908.01</v>
      </c>
      <c r="F266" s="224">
        <v>25444346.550000001</v>
      </c>
      <c r="G266" s="218">
        <v>19056153.449999999</v>
      </c>
      <c r="H266" s="219">
        <v>24331904.579999998</v>
      </c>
    </row>
    <row r="267" spans="1:8">
      <c r="A267" s="201">
        <v>207</v>
      </c>
      <c r="B267" s="232" t="s">
        <v>449</v>
      </c>
      <c r="C267" s="224">
        <v>210621.64</v>
      </c>
      <c r="D267" s="225">
        <v>83298.17</v>
      </c>
      <c r="E267" s="226">
        <v>127323.47</v>
      </c>
      <c r="F267" s="224">
        <v>25317023.07</v>
      </c>
      <c r="G267" s="218">
        <v>19183476.93</v>
      </c>
      <c r="H267" s="219">
        <v>24415202.75</v>
      </c>
    </row>
    <row r="268" spans="1:8">
      <c r="A268" s="201">
        <v>208</v>
      </c>
      <c r="B268" s="232" t="s">
        <v>450</v>
      </c>
      <c r="C268" s="224">
        <v>210621.64</v>
      </c>
      <c r="D268" s="225">
        <v>82881.350000000006</v>
      </c>
      <c r="E268" s="226">
        <v>127740.3</v>
      </c>
      <c r="F268" s="224">
        <v>25189282.780000001</v>
      </c>
      <c r="G268" s="218">
        <v>19311217.219999999</v>
      </c>
      <c r="H268" s="219">
        <v>24498084.100000001</v>
      </c>
    </row>
    <row r="269" spans="1:8">
      <c r="A269" s="201">
        <v>209</v>
      </c>
      <c r="B269" s="232" t="s">
        <v>451</v>
      </c>
      <c r="C269" s="224">
        <v>210621.64</v>
      </c>
      <c r="D269" s="225">
        <v>82463.16</v>
      </c>
      <c r="E269" s="226">
        <v>128158.48</v>
      </c>
      <c r="F269" s="224">
        <v>25061124.300000001</v>
      </c>
      <c r="G269" s="218">
        <v>19439375.699999999</v>
      </c>
      <c r="H269" s="219">
        <v>24580547.260000002</v>
      </c>
    </row>
    <row r="270" spans="1:8">
      <c r="A270" s="201">
        <v>210</v>
      </c>
      <c r="B270" s="232" t="s">
        <v>452</v>
      </c>
      <c r="C270" s="224">
        <v>210621.64</v>
      </c>
      <c r="D270" s="225">
        <v>82043.600000000006</v>
      </c>
      <c r="E270" s="226">
        <v>128578.04</v>
      </c>
      <c r="F270" s="224">
        <v>24932546.25</v>
      </c>
      <c r="G270" s="218">
        <v>19567953.75</v>
      </c>
      <c r="H270" s="219">
        <v>24662590.859999999</v>
      </c>
    </row>
    <row r="271" spans="1:8">
      <c r="A271" s="201">
        <v>211</v>
      </c>
      <c r="B271" s="232" t="s">
        <v>453</v>
      </c>
      <c r="C271" s="224">
        <v>210621.64</v>
      </c>
      <c r="D271" s="225">
        <v>81622.67</v>
      </c>
      <c r="E271" s="226">
        <v>128998.97</v>
      </c>
      <c r="F271" s="224">
        <v>24803547.280000001</v>
      </c>
      <c r="G271" s="218">
        <v>19696952.719999999</v>
      </c>
      <c r="H271" s="219">
        <v>24744213.530000001</v>
      </c>
    </row>
    <row r="272" spans="1:8">
      <c r="A272" s="201">
        <v>212</v>
      </c>
      <c r="B272" s="232" t="s">
        <v>454</v>
      </c>
      <c r="C272" s="224">
        <v>210621.64</v>
      </c>
      <c r="D272" s="225">
        <v>81200.36</v>
      </c>
      <c r="E272" s="226">
        <v>129421.28</v>
      </c>
      <c r="F272" s="224">
        <v>24674126</v>
      </c>
      <c r="G272" s="218">
        <v>19826374</v>
      </c>
      <c r="H272" s="219">
        <v>24825413.879999999</v>
      </c>
    </row>
    <row r="273" spans="1:8">
      <c r="A273" s="201">
        <v>213</v>
      </c>
      <c r="B273" s="232" t="s">
        <v>455</v>
      </c>
      <c r="C273" s="224">
        <v>210621.64</v>
      </c>
      <c r="D273" s="225">
        <v>80776.67</v>
      </c>
      <c r="E273" s="226">
        <v>129844.97</v>
      </c>
      <c r="F273" s="224">
        <v>24544281.030000001</v>
      </c>
      <c r="G273" s="218">
        <v>19956218.969999999</v>
      </c>
      <c r="H273" s="219">
        <v>24906190.550000001</v>
      </c>
    </row>
    <row r="274" spans="1:8">
      <c r="A274" s="201">
        <v>214</v>
      </c>
      <c r="B274" s="232" t="s">
        <v>456</v>
      </c>
      <c r="C274" s="224">
        <v>210621.64</v>
      </c>
      <c r="D274" s="225">
        <v>80351.59</v>
      </c>
      <c r="E274" s="226">
        <v>130270.05</v>
      </c>
      <c r="F274" s="224">
        <v>24414010.969999999</v>
      </c>
      <c r="G274" s="218">
        <v>20086489.030000001</v>
      </c>
      <c r="H274" s="219">
        <v>24986542.140000001</v>
      </c>
    </row>
    <row r="275" spans="1:8">
      <c r="A275" s="201">
        <v>215</v>
      </c>
      <c r="B275" s="232" t="s">
        <v>457</v>
      </c>
      <c r="C275" s="224">
        <v>210621.64</v>
      </c>
      <c r="D275" s="225">
        <v>79925.119999999995</v>
      </c>
      <c r="E275" s="226">
        <v>130696.52</v>
      </c>
      <c r="F275" s="224">
        <v>24283314.449999999</v>
      </c>
      <c r="G275" s="218">
        <v>20217185.550000001</v>
      </c>
      <c r="H275" s="219">
        <v>25066467.260000002</v>
      </c>
    </row>
    <row r="276" spans="1:8">
      <c r="A276" s="200">
        <v>216</v>
      </c>
      <c r="B276" s="231" t="s">
        <v>458</v>
      </c>
      <c r="C276" s="213">
        <v>210621.64</v>
      </c>
      <c r="D276" s="216">
        <v>79497.25</v>
      </c>
      <c r="E276" s="217">
        <v>131124.39000000001</v>
      </c>
      <c r="F276" s="213">
        <v>24152190.059999999</v>
      </c>
      <c r="G276" s="222">
        <v>20348309.940000001</v>
      </c>
      <c r="H276" s="223">
        <v>25145964.510000002</v>
      </c>
    </row>
    <row r="277" spans="1:8">
      <c r="A277" s="201">
        <v>217</v>
      </c>
      <c r="B277" s="232" t="s">
        <v>459</v>
      </c>
      <c r="C277" s="224">
        <v>210621.64</v>
      </c>
      <c r="D277" s="225">
        <v>79067.990000000005</v>
      </c>
      <c r="E277" s="226">
        <v>131553.66</v>
      </c>
      <c r="F277" s="224">
        <v>24020636.41</v>
      </c>
      <c r="G277" s="218">
        <v>20479863.59</v>
      </c>
      <c r="H277" s="219">
        <v>25225032.5</v>
      </c>
    </row>
    <row r="278" spans="1:8">
      <c r="A278" s="201">
        <v>218</v>
      </c>
      <c r="B278" s="232" t="s">
        <v>460</v>
      </c>
      <c r="C278" s="224">
        <v>210621.64</v>
      </c>
      <c r="D278" s="225">
        <v>78637.31</v>
      </c>
      <c r="E278" s="226">
        <v>131984.32999999999</v>
      </c>
      <c r="F278" s="224">
        <v>23888652.079999998</v>
      </c>
      <c r="G278" s="218">
        <v>20611847.920000002</v>
      </c>
      <c r="H278" s="219">
        <v>25303669.809999999</v>
      </c>
    </row>
    <row r="279" spans="1:8">
      <c r="A279" s="201">
        <v>219</v>
      </c>
      <c r="B279" s="232" t="s">
        <v>461</v>
      </c>
      <c r="C279" s="224">
        <v>210621.64</v>
      </c>
      <c r="D279" s="225">
        <v>78205.23</v>
      </c>
      <c r="E279" s="226">
        <v>132416.41</v>
      </c>
      <c r="F279" s="224">
        <v>23756235.670000002</v>
      </c>
      <c r="G279" s="218">
        <v>20744264.329999998</v>
      </c>
      <c r="H279" s="219">
        <v>25381875.039999999</v>
      </c>
    </row>
    <row r="280" spans="1:8">
      <c r="A280" s="201">
        <v>220</v>
      </c>
      <c r="B280" s="232" t="s">
        <v>462</v>
      </c>
      <c r="C280" s="224">
        <v>210621.64</v>
      </c>
      <c r="D280" s="225">
        <v>77771.73</v>
      </c>
      <c r="E280" s="226">
        <v>132849.91</v>
      </c>
      <c r="F280" s="224">
        <v>23623385.760000002</v>
      </c>
      <c r="G280" s="218">
        <v>20877114.239999998</v>
      </c>
      <c r="H280" s="219">
        <v>25459646.780000001</v>
      </c>
    </row>
    <row r="281" spans="1:8">
      <c r="A281" s="201">
        <v>221</v>
      </c>
      <c r="B281" s="232" t="s">
        <v>463</v>
      </c>
      <c r="C281" s="224">
        <v>210621.64</v>
      </c>
      <c r="D281" s="225">
        <v>77336.820000000007</v>
      </c>
      <c r="E281" s="226">
        <v>133284.82</v>
      </c>
      <c r="F281" s="224">
        <v>23490100.940000001</v>
      </c>
      <c r="G281" s="218">
        <v>21010399.059999999</v>
      </c>
      <c r="H281" s="219">
        <v>25536983.59</v>
      </c>
    </row>
    <row r="282" spans="1:8">
      <c r="A282" s="201">
        <v>222</v>
      </c>
      <c r="B282" s="232" t="s">
        <v>464</v>
      </c>
      <c r="C282" s="224">
        <v>210621.64</v>
      </c>
      <c r="D282" s="225">
        <v>76900.479999999996</v>
      </c>
      <c r="E282" s="226">
        <v>133721.16</v>
      </c>
      <c r="F282" s="224">
        <v>23356379.780000001</v>
      </c>
      <c r="G282" s="218">
        <v>21144120.219999999</v>
      </c>
      <c r="H282" s="219">
        <v>25613884.07</v>
      </c>
    </row>
    <row r="283" spans="1:8">
      <c r="A283" s="201">
        <v>223</v>
      </c>
      <c r="B283" s="232" t="s">
        <v>465</v>
      </c>
      <c r="C283" s="224">
        <v>210621.64</v>
      </c>
      <c r="D283" s="225">
        <v>76462.710000000006</v>
      </c>
      <c r="E283" s="226">
        <v>134158.93</v>
      </c>
      <c r="F283" s="224">
        <v>23222220.850000001</v>
      </c>
      <c r="G283" s="218">
        <v>21278279.149999999</v>
      </c>
      <c r="H283" s="219">
        <v>25690346.780000001</v>
      </c>
    </row>
    <row r="284" spans="1:8">
      <c r="A284" s="201">
        <v>224</v>
      </c>
      <c r="B284" s="232" t="s">
        <v>466</v>
      </c>
      <c r="C284" s="224">
        <v>210621.64</v>
      </c>
      <c r="D284" s="225">
        <v>76023.509999999995</v>
      </c>
      <c r="E284" s="226">
        <v>134598.13</v>
      </c>
      <c r="F284" s="224">
        <v>23087622.710000001</v>
      </c>
      <c r="G284" s="218">
        <v>21412877.289999999</v>
      </c>
      <c r="H284" s="219">
        <v>25766370.289999999</v>
      </c>
    </row>
    <row r="285" spans="1:8">
      <c r="A285" s="201">
        <v>225</v>
      </c>
      <c r="B285" s="232" t="s">
        <v>467</v>
      </c>
      <c r="C285" s="224">
        <v>210621.64</v>
      </c>
      <c r="D285" s="225">
        <v>75582.87</v>
      </c>
      <c r="E285" s="226">
        <v>135038.76999999999</v>
      </c>
      <c r="F285" s="224">
        <v>22952583.940000001</v>
      </c>
      <c r="G285" s="218">
        <v>21547916.059999999</v>
      </c>
      <c r="H285" s="219">
        <v>25841953.16</v>
      </c>
    </row>
    <row r="286" spans="1:8">
      <c r="A286" s="201">
        <v>226</v>
      </c>
      <c r="B286" s="232" t="s">
        <v>468</v>
      </c>
      <c r="C286" s="224">
        <v>210621.64</v>
      </c>
      <c r="D286" s="225">
        <v>75140.789999999994</v>
      </c>
      <c r="E286" s="226">
        <v>135480.85</v>
      </c>
      <c r="F286" s="224">
        <v>22817103.09</v>
      </c>
      <c r="G286" s="218">
        <v>21683396.91</v>
      </c>
      <c r="H286" s="219">
        <v>25917093.949999999</v>
      </c>
    </row>
    <row r="287" spans="1:8">
      <c r="A287" s="201">
        <v>227</v>
      </c>
      <c r="B287" s="232" t="s">
        <v>469</v>
      </c>
      <c r="C287" s="224">
        <v>210621.64</v>
      </c>
      <c r="D287" s="225">
        <v>74697.259999999995</v>
      </c>
      <c r="E287" s="226">
        <v>135924.38</v>
      </c>
      <c r="F287" s="224">
        <v>22681178.699999999</v>
      </c>
      <c r="G287" s="218">
        <v>21819321.300000001</v>
      </c>
      <c r="H287" s="219">
        <v>25991791.199999999</v>
      </c>
    </row>
    <row r="288" spans="1:8">
      <c r="A288" s="200">
        <v>228</v>
      </c>
      <c r="B288" s="231" t="s">
        <v>470</v>
      </c>
      <c r="C288" s="213">
        <v>210621.64</v>
      </c>
      <c r="D288" s="216">
        <v>74252.28</v>
      </c>
      <c r="E288" s="217">
        <v>136369.35999999999</v>
      </c>
      <c r="F288" s="213">
        <v>22544809.34</v>
      </c>
      <c r="G288" s="222">
        <v>21955690.66</v>
      </c>
      <c r="H288" s="223">
        <v>26066043.48</v>
      </c>
    </row>
    <row r="289" spans="1:8">
      <c r="A289" s="201">
        <v>229</v>
      </c>
      <c r="B289" s="232" t="s">
        <v>471</v>
      </c>
      <c r="C289" s="224">
        <v>210621.64</v>
      </c>
      <c r="D289" s="225">
        <v>73805.84</v>
      </c>
      <c r="E289" s="226">
        <v>136815.79999999999</v>
      </c>
      <c r="F289" s="224">
        <v>22407993.539999999</v>
      </c>
      <c r="G289" s="218">
        <v>22092506.460000001</v>
      </c>
      <c r="H289" s="219">
        <v>26139849.32</v>
      </c>
    </row>
    <row r="290" spans="1:8">
      <c r="A290" s="201">
        <v>230</v>
      </c>
      <c r="B290" s="232" t="s">
        <v>472</v>
      </c>
      <c r="C290" s="224">
        <v>210621.64</v>
      </c>
      <c r="D290" s="225">
        <v>73357.94</v>
      </c>
      <c r="E290" s="226">
        <v>137263.70000000001</v>
      </c>
      <c r="F290" s="224">
        <v>22270729.84</v>
      </c>
      <c r="G290" s="218">
        <v>22229770.16</v>
      </c>
      <c r="H290" s="219">
        <v>26213207.260000002</v>
      </c>
    </row>
    <row r="291" spans="1:8">
      <c r="A291" s="201">
        <v>231</v>
      </c>
      <c r="B291" s="232" t="s">
        <v>473</v>
      </c>
      <c r="C291" s="224">
        <v>210621.64</v>
      </c>
      <c r="D291" s="225">
        <v>72908.570000000007</v>
      </c>
      <c r="E291" s="226">
        <v>137713.07</v>
      </c>
      <c r="F291" s="224">
        <v>22133016.77</v>
      </c>
      <c r="G291" s="218">
        <v>22367483.23</v>
      </c>
      <c r="H291" s="219">
        <v>26286115.829999998</v>
      </c>
    </row>
    <row r="292" spans="1:8">
      <c r="A292" s="201">
        <v>232</v>
      </c>
      <c r="B292" s="232" t="s">
        <v>474</v>
      </c>
      <c r="C292" s="224">
        <v>210621.64</v>
      </c>
      <c r="D292" s="225">
        <v>72457.740000000005</v>
      </c>
      <c r="E292" s="226">
        <v>138163.9</v>
      </c>
      <c r="F292" s="224">
        <v>21994852.870000001</v>
      </c>
      <c r="G292" s="218">
        <v>22505647.129999999</v>
      </c>
      <c r="H292" s="219">
        <v>26358573.57</v>
      </c>
    </row>
    <row r="293" spans="1:8">
      <c r="A293" s="201">
        <v>233</v>
      </c>
      <c r="B293" s="232" t="s">
        <v>475</v>
      </c>
      <c r="C293" s="224">
        <v>210621.64</v>
      </c>
      <c r="D293" s="225">
        <v>72005.42</v>
      </c>
      <c r="E293" s="226">
        <v>138616.22</v>
      </c>
      <c r="F293" s="224">
        <v>21856236.649999999</v>
      </c>
      <c r="G293" s="218">
        <v>22644263.350000001</v>
      </c>
      <c r="H293" s="219">
        <v>26430579</v>
      </c>
    </row>
    <row r="294" spans="1:8">
      <c r="A294" s="201">
        <v>234</v>
      </c>
      <c r="B294" s="232" t="s">
        <v>476</v>
      </c>
      <c r="C294" s="224">
        <v>210621.64</v>
      </c>
      <c r="D294" s="225">
        <v>71551.63</v>
      </c>
      <c r="E294" s="226">
        <v>139070.01</v>
      </c>
      <c r="F294" s="224">
        <v>21717166.640000001</v>
      </c>
      <c r="G294" s="218">
        <v>22783333.359999999</v>
      </c>
      <c r="H294" s="219">
        <v>26502130.629999999</v>
      </c>
    </row>
    <row r="295" spans="1:8">
      <c r="A295" s="201">
        <v>235</v>
      </c>
      <c r="B295" s="232" t="s">
        <v>477</v>
      </c>
      <c r="C295" s="224">
        <v>210621.64</v>
      </c>
      <c r="D295" s="225">
        <v>71096.350000000006</v>
      </c>
      <c r="E295" s="226">
        <v>139525.29</v>
      </c>
      <c r="F295" s="224">
        <v>21577641.350000001</v>
      </c>
      <c r="G295" s="218">
        <v>22922858.649999999</v>
      </c>
      <c r="H295" s="219">
        <v>26573226.98</v>
      </c>
    </row>
    <row r="296" spans="1:8">
      <c r="A296" s="201">
        <v>236</v>
      </c>
      <c r="B296" s="232" t="s">
        <v>478</v>
      </c>
      <c r="C296" s="224">
        <v>210621.64</v>
      </c>
      <c r="D296" s="225">
        <v>70639.58</v>
      </c>
      <c r="E296" s="226">
        <v>139982.06</v>
      </c>
      <c r="F296" s="224">
        <v>21437659.300000001</v>
      </c>
      <c r="G296" s="218">
        <v>23062840.699999999</v>
      </c>
      <c r="H296" s="219">
        <v>26643866.559999999</v>
      </c>
    </row>
    <row r="297" spans="1:8">
      <c r="A297" s="201">
        <v>237</v>
      </c>
      <c r="B297" s="232" t="s">
        <v>479</v>
      </c>
      <c r="C297" s="224">
        <v>210621.64</v>
      </c>
      <c r="D297" s="225">
        <v>70181.320000000007</v>
      </c>
      <c r="E297" s="226">
        <v>140440.32000000001</v>
      </c>
      <c r="F297" s="224">
        <v>21297218.969999999</v>
      </c>
      <c r="G297" s="218">
        <v>23203281.030000001</v>
      </c>
      <c r="H297" s="219">
        <v>26714047.879999999</v>
      </c>
    </row>
    <row r="298" spans="1:8">
      <c r="A298" s="201">
        <v>238</v>
      </c>
      <c r="B298" s="232" t="s">
        <v>480</v>
      </c>
      <c r="C298" s="224">
        <v>210621.64</v>
      </c>
      <c r="D298" s="225">
        <v>69721.55</v>
      </c>
      <c r="E298" s="226">
        <v>140900.09</v>
      </c>
      <c r="F298" s="224">
        <v>21156318.879999999</v>
      </c>
      <c r="G298" s="218">
        <v>23344181.120000001</v>
      </c>
      <c r="H298" s="219">
        <v>26783769.43</v>
      </c>
    </row>
    <row r="299" spans="1:8">
      <c r="A299" s="201">
        <v>239</v>
      </c>
      <c r="B299" s="232" t="s">
        <v>481</v>
      </c>
      <c r="C299" s="224">
        <v>210621.64</v>
      </c>
      <c r="D299" s="225">
        <v>69260.28</v>
      </c>
      <c r="E299" s="226">
        <v>141361.35999999999</v>
      </c>
      <c r="F299" s="224">
        <v>21014957.530000001</v>
      </c>
      <c r="G299" s="218">
        <v>23485542.469999999</v>
      </c>
      <c r="H299" s="219">
        <v>26853029.719999999</v>
      </c>
    </row>
    <row r="300" spans="1:8">
      <c r="A300" s="200">
        <v>240</v>
      </c>
      <c r="B300" s="231" t="s">
        <v>482</v>
      </c>
      <c r="C300" s="213">
        <v>210621.64</v>
      </c>
      <c r="D300" s="216">
        <v>68797.5</v>
      </c>
      <c r="E300" s="217">
        <v>141824.14000000001</v>
      </c>
      <c r="F300" s="213">
        <v>20873133.390000001</v>
      </c>
      <c r="G300" s="222">
        <v>23627366.609999999</v>
      </c>
      <c r="H300" s="223">
        <v>26921827.219999999</v>
      </c>
    </row>
    <row r="301" spans="1:8">
      <c r="A301" s="201">
        <v>241</v>
      </c>
      <c r="B301" s="232" t="s">
        <v>483</v>
      </c>
      <c r="C301" s="224">
        <v>210621.64</v>
      </c>
      <c r="D301" s="225">
        <v>68333.210000000006</v>
      </c>
      <c r="E301" s="226">
        <v>142288.43</v>
      </c>
      <c r="F301" s="224">
        <v>20730844.949999999</v>
      </c>
      <c r="G301" s="218">
        <v>23769655.050000001</v>
      </c>
      <c r="H301" s="219">
        <v>26990160.43</v>
      </c>
    </row>
    <row r="302" spans="1:8">
      <c r="A302" s="201">
        <v>242</v>
      </c>
      <c r="B302" s="232" t="s">
        <v>484</v>
      </c>
      <c r="C302" s="224">
        <v>210621.64</v>
      </c>
      <c r="D302" s="225">
        <v>67867.39</v>
      </c>
      <c r="E302" s="226">
        <v>142754.25</v>
      </c>
      <c r="F302" s="224">
        <v>20588090.699999999</v>
      </c>
      <c r="G302" s="218">
        <v>23912409.300000001</v>
      </c>
      <c r="H302" s="219">
        <v>27058027.82</v>
      </c>
    </row>
    <row r="303" spans="1:8">
      <c r="A303" s="201">
        <v>243</v>
      </c>
      <c r="B303" s="232" t="s">
        <v>485</v>
      </c>
      <c r="C303" s="224">
        <v>210621.64</v>
      </c>
      <c r="D303" s="225">
        <v>67400.05</v>
      </c>
      <c r="E303" s="226">
        <v>143221.59</v>
      </c>
      <c r="F303" s="224">
        <v>20444869.120000001</v>
      </c>
      <c r="G303" s="218">
        <v>24055630.879999999</v>
      </c>
      <c r="H303" s="219">
        <v>27125427.870000001</v>
      </c>
    </row>
    <row r="304" spans="1:8">
      <c r="A304" s="201">
        <v>244</v>
      </c>
      <c r="B304" s="232" t="s">
        <v>486</v>
      </c>
      <c r="C304" s="224">
        <v>210621.64</v>
      </c>
      <c r="D304" s="225">
        <v>66931.179999999993</v>
      </c>
      <c r="E304" s="226">
        <v>143690.46</v>
      </c>
      <c r="F304" s="224">
        <v>20301178.66</v>
      </c>
      <c r="G304" s="218">
        <v>24199321.34</v>
      </c>
      <c r="H304" s="219">
        <v>27192359.050000001</v>
      </c>
    </row>
    <row r="305" spans="1:8">
      <c r="A305" s="201">
        <v>245</v>
      </c>
      <c r="B305" s="232" t="s">
        <v>487</v>
      </c>
      <c r="C305" s="224">
        <v>210621.64</v>
      </c>
      <c r="D305" s="225">
        <v>66460.78</v>
      </c>
      <c r="E305" s="226">
        <v>144160.85999999999</v>
      </c>
      <c r="F305" s="224">
        <v>20157017.789999999</v>
      </c>
      <c r="G305" s="218">
        <v>24343482.210000001</v>
      </c>
      <c r="H305" s="219">
        <v>27258819.829999998</v>
      </c>
    </row>
    <row r="306" spans="1:8">
      <c r="A306" s="201">
        <v>246</v>
      </c>
      <c r="B306" s="232" t="s">
        <v>488</v>
      </c>
      <c r="C306" s="224">
        <v>210621.64</v>
      </c>
      <c r="D306" s="225">
        <v>65988.83</v>
      </c>
      <c r="E306" s="226">
        <v>144632.81</v>
      </c>
      <c r="F306" s="224">
        <v>20012384.98</v>
      </c>
      <c r="G306" s="218">
        <v>24488115.02</v>
      </c>
      <c r="H306" s="219">
        <v>27324808.66</v>
      </c>
    </row>
    <row r="307" spans="1:8">
      <c r="A307" s="201">
        <v>247</v>
      </c>
      <c r="B307" s="232" t="s">
        <v>489</v>
      </c>
      <c r="C307" s="224">
        <v>210621.64</v>
      </c>
      <c r="D307" s="225">
        <v>65515.34</v>
      </c>
      <c r="E307" s="226">
        <v>145106.29999999999</v>
      </c>
      <c r="F307" s="224">
        <v>19867278.68</v>
      </c>
      <c r="G307" s="218">
        <v>24633221.32</v>
      </c>
      <c r="H307" s="219">
        <v>27390324</v>
      </c>
    </row>
    <row r="308" spans="1:8">
      <c r="A308" s="201">
        <v>248</v>
      </c>
      <c r="B308" s="232" t="s">
        <v>490</v>
      </c>
      <c r="C308" s="224">
        <v>210621.64</v>
      </c>
      <c r="D308" s="225">
        <v>65040.3</v>
      </c>
      <c r="E308" s="226">
        <v>145581.34</v>
      </c>
      <c r="F308" s="224">
        <v>19721697.34</v>
      </c>
      <c r="G308" s="218">
        <v>24778802.66</v>
      </c>
      <c r="H308" s="219">
        <v>27455364.300000001</v>
      </c>
    </row>
    <row r="309" spans="1:8">
      <c r="A309" s="201">
        <v>249</v>
      </c>
      <c r="B309" s="232" t="s">
        <v>491</v>
      </c>
      <c r="C309" s="224">
        <v>210621.64</v>
      </c>
      <c r="D309" s="225">
        <v>64563.71</v>
      </c>
      <c r="E309" s="226">
        <v>146057.94</v>
      </c>
      <c r="F309" s="224">
        <v>19575639.399999999</v>
      </c>
      <c r="G309" s="218">
        <v>24924860.600000001</v>
      </c>
      <c r="H309" s="219">
        <v>27519928.010000002</v>
      </c>
    </row>
    <row r="310" spans="1:8">
      <c r="A310" s="201">
        <v>250</v>
      </c>
      <c r="B310" s="232" t="s">
        <v>492</v>
      </c>
      <c r="C310" s="224">
        <v>210621.64</v>
      </c>
      <c r="D310" s="225">
        <v>64085.55</v>
      </c>
      <c r="E310" s="226">
        <v>146536.09</v>
      </c>
      <c r="F310" s="224">
        <v>19429103.309999999</v>
      </c>
      <c r="G310" s="218">
        <v>25071396.690000001</v>
      </c>
      <c r="H310" s="219">
        <v>27584013.559999999</v>
      </c>
    </row>
    <row r="311" spans="1:8">
      <c r="A311" s="201">
        <v>251</v>
      </c>
      <c r="B311" s="232" t="s">
        <v>493</v>
      </c>
      <c r="C311" s="224">
        <v>210621.64</v>
      </c>
      <c r="D311" s="225">
        <v>63605.83</v>
      </c>
      <c r="E311" s="226">
        <v>147015.81</v>
      </c>
      <c r="F311" s="224">
        <v>19282087.5</v>
      </c>
      <c r="G311" s="218">
        <v>25218412.5</v>
      </c>
      <c r="H311" s="219">
        <v>27647619.379999999</v>
      </c>
    </row>
    <row r="312" spans="1:8">
      <c r="A312" s="200">
        <v>252</v>
      </c>
      <c r="B312" s="231" t="s">
        <v>494</v>
      </c>
      <c r="C312" s="213">
        <v>210621.64</v>
      </c>
      <c r="D312" s="216">
        <v>63124.54</v>
      </c>
      <c r="E312" s="217">
        <v>147497.1</v>
      </c>
      <c r="F312" s="213">
        <v>19134590.399999999</v>
      </c>
      <c r="G312" s="222">
        <v>25365909.600000001</v>
      </c>
      <c r="H312" s="223">
        <v>27710743.920000002</v>
      </c>
    </row>
    <row r="313" spans="1:8">
      <c r="A313" s="201">
        <v>253</v>
      </c>
      <c r="B313" s="232" t="s">
        <v>495</v>
      </c>
      <c r="C313" s="224">
        <v>210621.64</v>
      </c>
      <c r="D313" s="225">
        <v>62641.67</v>
      </c>
      <c r="E313" s="226">
        <v>147979.97</v>
      </c>
      <c r="F313" s="224">
        <v>18986610.43</v>
      </c>
      <c r="G313" s="218">
        <v>25513889.57</v>
      </c>
      <c r="H313" s="219">
        <v>27773385.59</v>
      </c>
    </row>
    <row r="314" spans="1:8">
      <c r="A314" s="201">
        <v>254</v>
      </c>
      <c r="B314" s="232" t="s">
        <v>496</v>
      </c>
      <c r="C314" s="224">
        <v>210621.64</v>
      </c>
      <c r="D314" s="225">
        <v>62157.22</v>
      </c>
      <c r="E314" s="226">
        <v>148464.42000000001</v>
      </c>
      <c r="F314" s="224">
        <v>18838146.010000002</v>
      </c>
      <c r="G314" s="218">
        <v>25662353.989999998</v>
      </c>
      <c r="H314" s="219">
        <v>27835542.809999999</v>
      </c>
    </row>
    <row r="315" spans="1:8">
      <c r="A315" s="201">
        <v>255</v>
      </c>
      <c r="B315" s="232" t="s">
        <v>497</v>
      </c>
      <c r="C315" s="224">
        <v>210621.64</v>
      </c>
      <c r="D315" s="225">
        <v>61671.19</v>
      </c>
      <c r="E315" s="226">
        <v>148950.45000000001</v>
      </c>
      <c r="F315" s="224">
        <v>18689195.550000001</v>
      </c>
      <c r="G315" s="218">
        <v>25811304.449999999</v>
      </c>
      <c r="H315" s="219">
        <v>27897214</v>
      </c>
    </row>
    <row r="316" spans="1:8">
      <c r="A316" s="201">
        <v>256</v>
      </c>
      <c r="B316" s="232" t="s">
        <v>498</v>
      </c>
      <c r="C316" s="224">
        <v>210621.64</v>
      </c>
      <c r="D316" s="225">
        <v>61183.56</v>
      </c>
      <c r="E316" s="226">
        <v>149438.07999999999</v>
      </c>
      <c r="F316" s="224">
        <v>18539757.48</v>
      </c>
      <c r="G316" s="218">
        <v>25960742.52</v>
      </c>
      <c r="H316" s="219">
        <v>27958397.559999999</v>
      </c>
    </row>
    <row r="317" spans="1:8">
      <c r="A317" s="201">
        <v>257</v>
      </c>
      <c r="B317" s="232" t="s">
        <v>499</v>
      </c>
      <c r="C317" s="224">
        <v>210621.64</v>
      </c>
      <c r="D317" s="225">
        <v>60694.34</v>
      </c>
      <c r="E317" s="226">
        <v>149927.29999999999</v>
      </c>
      <c r="F317" s="224">
        <v>18389830.18</v>
      </c>
      <c r="G317" s="218">
        <v>26110669.82</v>
      </c>
      <c r="H317" s="219">
        <v>28019091.899999999</v>
      </c>
    </row>
    <row r="318" spans="1:8">
      <c r="A318" s="201">
        <v>258</v>
      </c>
      <c r="B318" s="232" t="s">
        <v>500</v>
      </c>
      <c r="C318" s="224">
        <v>210621.64</v>
      </c>
      <c r="D318" s="225">
        <v>60203.519999999997</v>
      </c>
      <c r="E318" s="226">
        <v>150418.12</v>
      </c>
      <c r="F318" s="224">
        <v>18239412.050000001</v>
      </c>
      <c r="G318" s="218">
        <v>26261087.949999999</v>
      </c>
      <c r="H318" s="219">
        <v>28079295.420000002</v>
      </c>
    </row>
    <row r="319" spans="1:8">
      <c r="A319" s="201">
        <v>259</v>
      </c>
      <c r="B319" s="232" t="s">
        <v>501</v>
      </c>
      <c r="C319" s="224">
        <v>210621.64</v>
      </c>
      <c r="D319" s="225">
        <v>59711.09</v>
      </c>
      <c r="E319" s="226">
        <v>150910.54999999999</v>
      </c>
      <c r="F319" s="224">
        <v>18088501.5</v>
      </c>
      <c r="G319" s="218">
        <v>26411998.5</v>
      </c>
      <c r="H319" s="219">
        <v>28139006.510000002</v>
      </c>
    </row>
    <row r="320" spans="1:8">
      <c r="A320" s="201">
        <v>260</v>
      </c>
      <c r="B320" s="232" t="s">
        <v>502</v>
      </c>
      <c r="C320" s="224">
        <v>210621.64</v>
      </c>
      <c r="D320" s="225">
        <v>59217.05</v>
      </c>
      <c r="E320" s="226">
        <v>151404.59</v>
      </c>
      <c r="F320" s="224">
        <v>17937096.91</v>
      </c>
      <c r="G320" s="218">
        <v>26563403.09</v>
      </c>
      <c r="H320" s="219">
        <v>28198223.559999999</v>
      </c>
    </row>
    <row r="321" spans="1:8">
      <c r="A321" s="201">
        <v>261</v>
      </c>
      <c r="B321" s="232" t="s">
        <v>503</v>
      </c>
      <c r="C321" s="224">
        <v>210621.64</v>
      </c>
      <c r="D321" s="225">
        <v>58721.39</v>
      </c>
      <c r="E321" s="226">
        <v>151900.25</v>
      </c>
      <c r="F321" s="224">
        <v>17785196.649999999</v>
      </c>
      <c r="G321" s="218">
        <v>26715303.350000001</v>
      </c>
      <c r="H321" s="219">
        <v>28256944.949999999</v>
      </c>
    </row>
    <row r="322" spans="1:8">
      <c r="A322" s="201">
        <v>262</v>
      </c>
      <c r="B322" s="232" t="s">
        <v>504</v>
      </c>
      <c r="C322" s="224">
        <v>210621.64</v>
      </c>
      <c r="D322" s="225">
        <v>58224.11</v>
      </c>
      <c r="E322" s="226">
        <v>152397.54</v>
      </c>
      <c r="F322" s="224">
        <v>17632799.120000001</v>
      </c>
      <c r="G322" s="218">
        <v>26867700.879999999</v>
      </c>
      <c r="H322" s="219">
        <v>28315169.050000001</v>
      </c>
    </row>
    <row r="323" spans="1:8">
      <c r="A323" s="201">
        <v>263</v>
      </c>
      <c r="B323" s="232" t="s">
        <v>505</v>
      </c>
      <c r="C323" s="224">
        <v>210621.64</v>
      </c>
      <c r="D323" s="225">
        <v>57725.2</v>
      </c>
      <c r="E323" s="226">
        <v>152896.45000000001</v>
      </c>
      <c r="F323" s="224">
        <v>17479902.670000002</v>
      </c>
      <c r="G323" s="218">
        <v>27020597.329999998</v>
      </c>
      <c r="H323" s="219">
        <v>28372894.25</v>
      </c>
    </row>
    <row r="324" spans="1:8">
      <c r="A324" s="200">
        <v>264</v>
      </c>
      <c r="B324" s="231" t="s">
        <v>506</v>
      </c>
      <c r="C324" s="213">
        <v>210621.64</v>
      </c>
      <c r="D324" s="216">
        <v>57224.65</v>
      </c>
      <c r="E324" s="217">
        <v>153396.99</v>
      </c>
      <c r="F324" s="213">
        <v>17326505.690000001</v>
      </c>
      <c r="G324" s="222">
        <v>27173994.309999999</v>
      </c>
      <c r="H324" s="223">
        <v>28430118.899999999</v>
      </c>
    </row>
    <row r="325" spans="1:8">
      <c r="A325" s="201">
        <v>265</v>
      </c>
      <c r="B325" s="232" t="s">
        <v>507</v>
      </c>
      <c r="C325" s="224">
        <v>210621.64</v>
      </c>
      <c r="D325" s="225">
        <v>56722.47</v>
      </c>
      <c r="E325" s="226">
        <v>153899.17000000001</v>
      </c>
      <c r="F325" s="224">
        <v>17172606.52</v>
      </c>
      <c r="G325" s="218">
        <v>27327893.48</v>
      </c>
      <c r="H325" s="219">
        <v>28486841.370000001</v>
      </c>
    </row>
    <row r="326" spans="1:8">
      <c r="A326" s="201">
        <v>266</v>
      </c>
      <c r="B326" s="232" t="s">
        <v>508</v>
      </c>
      <c r="C326" s="224">
        <v>210621.64</v>
      </c>
      <c r="D326" s="225">
        <v>56218.65</v>
      </c>
      <c r="E326" s="226">
        <v>154403</v>
      </c>
      <c r="F326" s="224">
        <v>17018203.52</v>
      </c>
      <c r="G326" s="218">
        <v>27482296.48</v>
      </c>
      <c r="H326" s="219">
        <v>28543060.02</v>
      </c>
    </row>
    <row r="327" spans="1:8">
      <c r="A327" s="201">
        <v>267</v>
      </c>
      <c r="B327" s="232" t="s">
        <v>509</v>
      </c>
      <c r="C327" s="224">
        <v>210621.64</v>
      </c>
      <c r="D327" s="225">
        <v>55713.17</v>
      </c>
      <c r="E327" s="226">
        <v>154908.47</v>
      </c>
      <c r="F327" s="224">
        <v>16863295.050000001</v>
      </c>
      <c r="G327" s="218">
        <v>27637204.949999999</v>
      </c>
      <c r="H327" s="219">
        <v>28598773.190000001</v>
      </c>
    </row>
    <row r="328" spans="1:8">
      <c r="A328" s="201">
        <v>268</v>
      </c>
      <c r="B328" s="232" t="s">
        <v>510</v>
      </c>
      <c r="C328" s="224">
        <v>210621.64</v>
      </c>
      <c r="D328" s="225">
        <v>55206.04</v>
      </c>
      <c r="E328" s="226">
        <v>155415.6</v>
      </c>
      <c r="F328" s="224">
        <v>16707879.449999999</v>
      </c>
      <c r="G328" s="218">
        <v>27792620.550000001</v>
      </c>
      <c r="H328" s="219">
        <v>28653979.23</v>
      </c>
    </row>
    <row r="329" spans="1:8">
      <c r="A329" s="201">
        <v>269</v>
      </c>
      <c r="B329" s="232" t="s">
        <v>511</v>
      </c>
      <c r="C329" s="224">
        <v>210621.64</v>
      </c>
      <c r="D329" s="225">
        <v>54697.25</v>
      </c>
      <c r="E329" s="226">
        <v>155924.39000000001</v>
      </c>
      <c r="F329" s="224">
        <v>16551955.060000001</v>
      </c>
      <c r="G329" s="218">
        <v>27948544.940000001</v>
      </c>
      <c r="H329" s="219">
        <v>28708676.48</v>
      </c>
    </row>
    <row r="330" spans="1:8">
      <c r="A330" s="201">
        <v>270</v>
      </c>
      <c r="B330" s="232" t="s">
        <v>512</v>
      </c>
      <c r="C330" s="224">
        <v>210621.64</v>
      </c>
      <c r="D330" s="225">
        <v>54186.79</v>
      </c>
      <c r="E330" s="226">
        <v>156434.85</v>
      </c>
      <c r="F330" s="224">
        <v>16395520.210000001</v>
      </c>
      <c r="G330" s="218">
        <v>28104979.789999999</v>
      </c>
      <c r="H330" s="219">
        <v>28762863.27</v>
      </c>
    </row>
    <row r="331" spans="1:8">
      <c r="A331" s="201">
        <v>271</v>
      </c>
      <c r="B331" s="232" t="s">
        <v>513</v>
      </c>
      <c r="C331" s="224">
        <v>210621.64</v>
      </c>
      <c r="D331" s="225">
        <v>53674.67</v>
      </c>
      <c r="E331" s="226">
        <v>156946.97</v>
      </c>
      <c r="F331" s="224">
        <v>16238573.24</v>
      </c>
      <c r="G331" s="218">
        <v>28261926.760000002</v>
      </c>
      <c r="H331" s="219">
        <v>28816537.940000001</v>
      </c>
    </row>
    <row r="332" spans="1:8">
      <c r="A332" s="201">
        <v>272</v>
      </c>
      <c r="B332" s="232" t="s">
        <v>514</v>
      </c>
      <c r="C332" s="224">
        <v>210621.64</v>
      </c>
      <c r="D332" s="225">
        <v>53160.86</v>
      </c>
      <c r="E332" s="226">
        <v>157460.78</v>
      </c>
      <c r="F332" s="224">
        <v>16081112.460000001</v>
      </c>
      <c r="G332" s="218">
        <v>28419387.539999999</v>
      </c>
      <c r="H332" s="219">
        <v>28869698.800000001</v>
      </c>
    </row>
    <row r="333" spans="1:8">
      <c r="A333" s="201">
        <v>273</v>
      </c>
      <c r="B333" s="232" t="s">
        <v>515</v>
      </c>
      <c r="C333" s="224">
        <v>210621.64</v>
      </c>
      <c r="D333" s="225">
        <v>52645.38</v>
      </c>
      <c r="E333" s="226">
        <v>157976.26</v>
      </c>
      <c r="F333" s="224">
        <v>15923136.189999999</v>
      </c>
      <c r="G333" s="218">
        <v>28577363.809999999</v>
      </c>
      <c r="H333" s="219">
        <v>28922344.18</v>
      </c>
    </row>
    <row r="334" spans="1:8">
      <c r="A334" s="201">
        <v>274</v>
      </c>
      <c r="B334" s="232" t="s">
        <v>516</v>
      </c>
      <c r="C334" s="224">
        <v>210621.64</v>
      </c>
      <c r="D334" s="225">
        <v>52128.2</v>
      </c>
      <c r="E334" s="226">
        <v>158493.44</v>
      </c>
      <c r="F334" s="224">
        <v>15764642.76</v>
      </c>
      <c r="G334" s="218">
        <v>28735857.239999998</v>
      </c>
      <c r="H334" s="219">
        <v>28974472.379999999</v>
      </c>
    </row>
    <row r="335" spans="1:8">
      <c r="A335" s="201">
        <v>275</v>
      </c>
      <c r="B335" s="232" t="s">
        <v>517</v>
      </c>
      <c r="C335" s="224">
        <v>210621.64</v>
      </c>
      <c r="D335" s="225">
        <v>51609.34</v>
      </c>
      <c r="E335" s="226">
        <v>159012.29999999999</v>
      </c>
      <c r="F335" s="224">
        <v>15605630.449999999</v>
      </c>
      <c r="G335" s="218">
        <v>28894869.550000001</v>
      </c>
      <c r="H335" s="219">
        <v>29026081.719999999</v>
      </c>
    </row>
    <row r="336" spans="1:8">
      <c r="A336" s="200">
        <v>276</v>
      </c>
      <c r="B336" s="231" t="s">
        <v>518</v>
      </c>
      <c r="C336" s="213">
        <v>210621.64</v>
      </c>
      <c r="D336" s="216">
        <v>51088.77</v>
      </c>
      <c r="E336" s="217">
        <v>159532.87</v>
      </c>
      <c r="F336" s="213">
        <v>15446097.59</v>
      </c>
      <c r="G336" s="222">
        <v>29054402.41</v>
      </c>
      <c r="H336" s="223">
        <v>29077170.489999998</v>
      </c>
    </row>
    <row r="337" spans="1:8">
      <c r="A337" s="201">
        <v>277</v>
      </c>
      <c r="B337" s="232" t="s">
        <v>519</v>
      </c>
      <c r="C337" s="224">
        <v>210621.64</v>
      </c>
      <c r="D337" s="225">
        <v>50566.5</v>
      </c>
      <c r="E337" s="226">
        <v>160055.14000000001</v>
      </c>
      <c r="F337" s="224">
        <v>15286042.449999999</v>
      </c>
      <c r="G337" s="218">
        <v>29214457.550000001</v>
      </c>
      <c r="H337" s="219">
        <v>29127737</v>
      </c>
    </row>
    <row r="338" spans="1:8">
      <c r="A338" s="201">
        <v>278</v>
      </c>
      <c r="B338" s="232" t="s">
        <v>520</v>
      </c>
      <c r="C338" s="224">
        <v>210621.64</v>
      </c>
      <c r="D338" s="225">
        <v>50042.53</v>
      </c>
      <c r="E338" s="226">
        <v>160579.12</v>
      </c>
      <c r="F338" s="224">
        <v>15125463.33</v>
      </c>
      <c r="G338" s="218">
        <v>29375036.670000002</v>
      </c>
      <c r="H338" s="219">
        <v>29177779.52</v>
      </c>
    </row>
    <row r="339" spans="1:8">
      <c r="A339" s="201">
        <v>279</v>
      </c>
      <c r="B339" s="232" t="s">
        <v>521</v>
      </c>
      <c r="C339" s="224">
        <v>210621.64</v>
      </c>
      <c r="D339" s="225">
        <v>49516.83</v>
      </c>
      <c r="E339" s="226">
        <v>161104.81</v>
      </c>
      <c r="F339" s="224">
        <v>14964358.52</v>
      </c>
      <c r="G339" s="218">
        <v>29536141.48</v>
      </c>
      <c r="H339" s="219">
        <v>29227296.350000001</v>
      </c>
    </row>
    <row r="340" spans="1:8">
      <c r="A340" s="201">
        <v>280</v>
      </c>
      <c r="B340" s="232" t="s">
        <v>522</v>
      </c>
      <c r="C340" s="224">
        <v>210621.64</v>
      </c>
      <c r="D340" s="225">
        <v>48989.42</v>
      </c>
      <c r="E340" s="226">
        <v>161632.23000000001</v>
      </c>
      <c r="F340" s="224">
        <v>14802726.300000001</v>
      </c>
      <c r="G340" s="218">
        <v>29697773.699999999</v>
      </c>
      <c r="H340" s="219">
        <v>29276285.77</v>
      </c>
    </row>
    <row r="341" spans="1:8">
      <c r="A341" s="201">
        <v>281</v>
      </c>
      <c r="B341" s="232" t="s">
        <v>523</v>
      </c>
      <c r="C341" s="224">
        <v>210621.64</v>
      </c>
      <c r="D341" s="225">
        <v>48460.27</v>
      </c>
      <c r="E341" s="226">
        <v>162161.37</v>
      </c>
      <c r="F341" s="224">
        <v>14640564.93</v>
      </c>
      <c r="G341" s="218">
        <v>29859935.07</v>
      </c>
      <c r="H341" s="219">
        <v>29324746.039999999</v>
      </c>
    </row>
    <row r="342" spans="1:8">
      <c r="A342" s="201">
        <v>282</v>
      </c>
      <c r="B342" s="232" t="s">
        <v>524</v>
      </c>
      <c r="C342" s="224">
        <v>210621.64</v>
      </c>
      <c r="D342" s="225">
        <v>47929.4</v>
      </c>
      <c r="E342" s="226">
        <v>162692.24</v>
      </c>
      <c r="F342" s="224">
        <v>14477872.689999999</v>
      </c>
      <c r="G342" s="218">
        <v>30022627.309999999</v>
      </c>
      <c r="H342" s="219">
        <v>29372675.440000001</v>
      </c>
    </row>
    <row r="343" spans="1:8">
      <c r="A343" s="201">
        <v>283</v>
      </c>
      <c r="B343" s="232" t="s">
        <v>525</v>
      </c>
      <c r="C343" s="224">
        <v>210621.64</v>
      </c>
      <c r="D343" s="225">
        <v>47396.79</v>
      </c>
      <c r="E343" s="226">
        <v>163224.85</v>
      </c>
      <c r="F343" s="224">
        <v>14314647.84</v>
      </c>
      <c r="G343" s="218">
        <v>30185852.16</v>
      </c>
      <c r="H343" s="219">
        <v>29420072.23</v>
      </c>
    </row>
    <row r="344" spans="1:8">
      <c r="A344" s="201">
        <v>284</v>
      </c>
      <c r="B344" s="232" t="s">
        <v>526</v>
      </c>
      <c r="C344" s="224">
        <v>210621.64</v>
      </c>
      <c r="D344" s="225">
        <v>46862.43</v>
      </c>
      <c r="E344" s="226">
        <v>163759.21</v>
      </c>
      <c r="F344" s="224">
        <v>14150888.630000001</v>
      </c>
      <c r="G344" s="218">
        <v>30349611.370000001</v>
      </c>
      <c r="H344" s="219">
        <v>29466934.66</v>
      </c>
    </row>
    <row r="345" spans="1:8">
      <c r="A345" s="201">
        <v>285</v>
      </c>
      <c r="B345" s="232" t="s">
        <v>527</v>
      </c>
      <c r="C345" s="224">
        <v>210621.64</v>
      </c>
      <c r="D345" s="225">
        <v>46326.33</v>
      </c>
      <c r="E345" s="226">
        <v>164295.31</v>
      </c>
      <c r="F345" s="224">
        <v>13986593.32</v>
      </c>
      <c r="G345" s="218">
        <v>30513906.68</v>
      </c>
      <c r="H345" s="219">
        <v>29513260.989999998</v>
      </c>
    </row>
    <row r="346" spans="1:8">
      <c r="A346" s="201">
        <v>286</v>
      </c>
      <c r="B346" s="232" t="s">
        <v>528</v>
      </c>
      <c r="C346" s="224">
        <v>210621.64</v>
      </c>
      <c r="D346" s="225">
        <v>45788.47</v>
      </c>
      <c r="E346" s="226">
        <v>164833.17000000001</v>
      </c>
      <c r="F346" s="224">
        <v>13821760.140000001</v>
      </c>
      <c r="G346" s="218">
        <v>30678739.859999999</v>
      </c>
      <c r="H346" s="219">
        <v>29559049.460000001</v>
      </c>
    </row>
    <row r="347" spans="1:8">
      <c r="A347" s="201">
        <v>287</v>
      </c>
      <c r="B347" s="232" t="s">
        <v>529</v>
      </c>
      <c r="C347" s="224">
        <v>210621.64</v>
      </c>
      <c r="D347" s="225">
        <v>45248.85</v>
      </c>
      <c r="E347" s="226">
        <v>165372.79</v>
      </c>
      <c r="F347" s="224">
        <v>13656387.35</v>
      </c>
      <c r="G347" s="218">
        <v>30844112.649999999</v>
      </c>
      <c r="H347" s="219">
        <v>29604298.300000001</v>
      </c>
    </row>
    <row r="348" spans="1:8">
      <c r="A348" s="200">
        <v>288</v>
      </c>
      <c r="B348" s="231" t="s">
        <v>530</v>
      </c>
      <c r="C348" s="213">
        <v>210621.64</v>
      </c>
      <c r="D348" s="216">
        <v>44707.46</v>
      </c>
      <c r="E348" s="217">
        <v>165914.18</v>
      </c>
      <c r="F348" s="213">
        <v>13490473.16</v>
      </c>
      <c r="G348" s="222">
        <v>31010026.84</v>
      </c>
      <c r="H348" s="223">
        <v>29649005.760000002</v>
      </c>
    </row>
    <row r="349" spans="1:8">
      <c r="A349" s="201">
        <v>289</v>
      </c>
      <c r="B349" s="232" t="s">
        <v>531</v>
      </c>
      <c r="C349" s="224">
        <v>210621.64</v>
      </c>
      <c r="D349" s="225">
        <v>44164.3</v>
      </c>
      <c r="E349" s="226">
        <v>166457.34</v>
      </c>
      <c r="F349" s="224">
        <v>13324015.82</v>
      </c>
      <c r="G349" s="218">
        <v>31176484.18</v>
      </c>
      <c r="H349" s="219">
        <v>29693170.059999999</v>
      </c>
    </row>
    <row r="350" spans="1:8">
      <c r="A350" s="201">
        <v>290</v>
      </c>
      <c r="B350" s="232" t="s">
        <v>532</v>
      </c>
      <c r="C350" s="224">
        <v>210621.64</v>
      </c>
      <c r="D350" s="225">
        <v>43619.360000000001</v>
      </c>
      <c r="E350" s="226">
        <v>167002.28</v>
      </c>
      <c r="F350" s="224">
        <v>13157013.539999999</v>
      </c>
      <c r="G350" s="218">
        <v>31343486.460000001</v>
      </c>
      <c r="H350" s="219">
        <v>29736789.420000002</v>
      </c>
    </row>
    <row r="351" spans="1:8">
      <c r="A351" s="201">
        <v>291</v>
      </c>
      <c r="B351" s="232" t="s">
        <v>533</v>
      </c>
      <c r="C351" s="224">
        <v>210621.64</v>
      </c>
      <c r="D351" s="225">
        <v>43072.639999999999</v>
      </c>
      <c r="E351" s="226">
        <v>167549</v>
      </c>
      <c r="F351" s="224">
        <v>12989464.539999999</v>
      </c>
      <c r="G351" s="218">
        <v>31511035.460000001</v>
      </c>
      <c r="H351" s="219">
        <v>29779862.059999999</v>
      </c>
    </row>
    <row r="352" spans="1:8">
      <c r="A352" s="201">
        <v>292</v>
      </c>
      <c r="B352" s="232" t="s">
        <v>534</v>
      </c>
      <c r="C352" s="224">
        <v>210621.64</v>
      </c>
      <c r="D352" s="225">
        <v>42524.13</v>
      </c>
      <c r="E352" s="226">
        <v>168097.51</v>
      </c>
      <c r="F352" s="224">
        <v>12821367.02</v>
      </c>
      <c r="G352" s="218">
        <v>31679132.98</v>
      </c>
      <c r="H352" s="219">
        <v>29822386.190000001</v>
      </c>
    </row>
    <row r="353" spans="1:8">
      <c r="A353" s="201">
        <v>293</v>
      </c>
      <c r="B353" s="232" t="s">
        <v>535</v>
      </c>
      <c r="C353" s="224">
        <v>210621.64</v>
      </c>
      <c r="D353" s="225">
        <v>41973.82</v>
      </c>
      <c r="E353" s="226">
        <v>168647.82</v>
      </c>
      <c r="F353" s="224">
        <v>12652719.199999999</v>
      </c>
      <c r="G353" s="218">
        <v>31847780.800000001</v>
      </c>
      <c r="H353" s="219">
        <v>29864360.010000002</v>
      </c>
    </row>
    <row r="354" spans="1:8">
      <c r="A354" s="201">
        <v>294</v>
      </c>
      <c r="B354" s="232" t="s">
        <v>536</v>
      </c>
      <c r="C354" s="224">
        <v>210621.64</v>
      </c>
      <c r="D354" s="225">
        <v>41421.71</v>
      </c>
      <c r="E354" s="226">
        <v>169199.93</v>
      </c>
      <c r="F354" s="224">
        <v>12483519.27</v>
      </c>
      <c r="G354" s="218">
        <v>32016980.73</v>
      </c>
      <c r="H354" s="219">
        <v>29905781.719999999</v>
      </c>
    </row>
    <row r="355" spans="1:8">
      <c r="A355" s="201">
        <v>295</v>
      </c>
      <c r="B355" s="232" t="s">
        <v>537</v>
      </c>
      <c r="C355" s="224">
        <v>210621.64</v>
      </c>
      <c r="D355" s="225">
        <v>40867.79</v>
      </c>
      <c r="E355" s="226">
        <v>169753.85</v>
      </c>
      <c r="F355" s="224">
        <v>12313765.43</v>
      </c>
      <c r="G355" s="218">
        <v>32186734.57</v>
      </c>
      <c r="H355" s="219">
        <v>29946649.510000002</v>
      </c>
    </row>
    <row r="356" spans="1:8">
      <c r="A356" s="201">
        <v>296</v>
      </c>
      <c r="B356" s="232" t="s">
        <v>538</v>
      </c>
      <c r="C356" s="224">
        <v>210621.64</v>
      </c>
      <c r="D356" s="225">
        <v>40312.06</v>
      </c>
      <c r="E356" s="226">
        <v>170309.58</v>
      </c>
      <c r="F356" s="224">
        <v>12143455.85</v>
      </c>
      <c r="G356" s="218">
        <v>32357044.149999999</v>
      </c>
      <c r="H356" s="219">
        <v>29986961.57</v>
      </c>
    </row>
    <row r="357" spans="1:8">
      <c r="A357" s="201">
        <v>297</v>
      </c>
      <c r="B357" s="232" t="s">
        <v>539</v>
      </c>
      <c r="C357" s="224">
        <v>210621.64</v>
      </c>
      <c r="D357" s="225">
        <v>39754.51</v>
      </c>
      <c r="E357" s="226">
        <v>170867.13</v>
      </c>
      <c r="F357" s="224">
        <v>11972588.720000001</v>
      </c>
      <c r="G357" s="218">
        <v>32527911.280000001</v>
      </c>
      <c r="H357" s="219">
        <v>30026716.09</v>
      </c>
    </row>
    <row r="358" spans="1:8">
      <c r="A358" s="201">
        <v>298</v>
      </c>
      <c r="B358" s="232" t="s">
        <v>540</v>
      </c>
      <c r="C358" s="224">
        <v>210621.64</v>
      </c>
      <c r="D358" s="225">
        <v>39195.14</v>
      </c>
      <c r="E358" s="226">
        <v>171426.5</v>
      </c>
      <c r="F358" s="224">
        <v>11801162.220000001</v>
      </c>
      <c r="G358" s="218">
        <v>32699337.780000001</v>
      </c>
      <c r="H358" s="219">
        <v>30065911.23</v>
      </c>
    </row>
    <row r="359" spans="1:8">
      <c r="A359" s="201">
        <v>299</v>
      </c>
      <c r="B359" s="232" t="s">
        <v>541</v>
      </c>
      <c r="C359" s="224">
        <v>210621.64</v>
      </c>
      <c r="D359" s="225">
        <v>38633.93</v>
      </c>
      <c r="E359" s="226">
        <v>171987.71</v>
      </c>
      <c r="F359" s="224">
        <v>11629174.51</v>
      </c>
      <c r="G359" s="218">
        <v>32871325.489999998</v>
      </c>
      <c r="H359" s="219">
        <v>30104545.16</v>
      </c>
    </row>
    <row r="360" spans="1:8">
      <c r="A360" s="200">
        <v>300</v>
      </c>
      <c r="B360" s="231" t="s">
        <v>542</v>
      </c>
      <c r="C360" s="213">
        <v>210621.64</v>
      </c>
      <c r="D360" s="216">
        <v>38070.89</v>
      </c>
      <c r="E360" s="217">
        <v>172550.75</v>
      </c>
      <c r="F360" s="213">
        <v>11456623.76</v>
      </c>
      <c r="G360" s="222">
        <v>33043876.239999998</v>
      </c>
      <c r="H360" s="223">
        <v>30142616.050000001</v>
      </c>
    </row>
    <row r="361" spans="1:8">
      <c r="A361" s="201">
        <v>301</v>
      </c>
      <c r="B361" s="232" t="s">
        <v>543</v>
      </c>
      <c r="C361" s="224">
        <v>210621.64</v>
      </c>
      <c r="D361" s="225">
        <v>37506</v>
      </c>
      <c r="E361" s="226">
        <v>173115.64</v>
      </c>
      <c r="F361" s="224">
        <v>11283508.130000001</v>
      </c>
      <c r="G361" s="218">
        <v>33216991.870000001</v>
      </c>
      <c r="H361" s="219">
        <v>30180122.059999999</v>
      </c>
    </row>
    <row r="362" spans="1:8">
      <c r="A362" s="201">
        <v>302</v>
      </c>
      <c r="B362" s="232" t="s">
        <v>544</v>
      </c>
      <c r="C362" s="224">
        <v>210621.64</v>
      </c>
      <c r="D362" s="225">
        <v>36939.269999999997</v>
      </c>
      <c r="E362" s="226">
        <v>173682.37</v>
      </c>
      <c r="F362" s="224">
        <v>11109825.76</v>
      </c>
      <c r="G362" s="218">
        <v>33390674.239999998</v>
      </c>
      <c r="H362" s="219">
        <v>30217061.329999998</v>
      </c>
    </row>
    <row r="363" spans="1:8">
      <c r="A363" s="201">
        <v>303</v>
      </c>
      <c r="B363" s="232" t="s">
        <v>545</v>
      </c>
      <c r="C363" s="224">
        <v>210621.64</v>
      </c>
      <c r="D363" s="225">
        <v>36370.68</v>
      </c>
      <c r="E363" s="226">
        <v>174250.96</v>
      </c>
      <c r="F363" s="224">
        <v>10935574.789999999</v>
      </c>
      <c r="G363" s="218">
        <v>33564925.210000001</v>
      </c>
      <c r="H363" s="219">
        <v>30253432.010000002</v>
      </c>
    </row>
    <row r="364" spans="1:8">
      <c r="A364" s="201">
        <v>304</v>
      </c>
      <c r="B364" s="232" t="s">
        <v>546</v>
      </c>
      <c r="C364" s="224">
        <v>210621.64</v>
      </c>
      <c r="D364" s="225">
        <v>35800.230000000003</v>
      </c>
      <c r="E364" s="226">
        <v>174821.41</v>
      </c>
      <c r="F364" s="224">
        <v>10760753.380000001</v>
      </c>
      <c r="G364" s="218">
        <v>33739746.619999997</v>
      </c>
      <c r="H364" s="219">
        <v>30289232.23</v>
      </c>
    </row>
    <row r="365" spans="1:8">
      <c r="A365" s="201">
        <v>305</v>
      </c>
      <c r="B365" s="232" t="s">
        <v>547</v>
      </c>
      <c r="C365" s="224">
        <v>210621.64</v>
      </c>
      <c r="D365" s="225">
        <v>35227.910000000003</v>
      </c>
      <c r="E365" s="226">
        <v>175393.73</v>
      </c>
      <c r="F365" s="224">
        <v>10585359.640000001</v>
      </c>
      <c r="G365" s="218">
        <v>33915140.359999999</v>
      </c>
      <c r="H365" s="219">
        <v>30324460.140000001</v>
      </c>
    </row>
    <row r="366" spans="1:8">
      <c r="A366" s="201">
        <v>306</v>
      </c>
      <c r="B366" s="232" t="s">
        <v>548</v>
      </c>
      <c r="C366" s="224">
        <v>210621.64</v>
      </c>
      <c r="D366" s="225">
        <v>34653.71</v>
      </c>
      <c r="E366" s="226">
        <v>175967.93</v>
      </c>
      <c r="F366" s="224">
        <v>10409391.720000001</v>
      </c>
      <c r="G366" s="218">
        <v>34091108.280000001</v>
      </c>
      <c r="H366" s="219">
        <v>30359113.850000001</v>
      </c>
    </row>
    <row r="367" spans="1:8">
      <c r="A367" s="201">
        <v>307</v>
      </c>
      <c r="B367" s="232" t="s">
        <v>549</v>
      </c>
      <c r="C367" s="224">
        <v>210621.64</v>
      </c>
      <c r="D367" s="225">
        <v>34077.64</v>
      </c>
      <c r="E367" s="226">
        <v>176544</v>
      </c>
      <c r="F367" s="224">
        <v>10232847.720000001</v>
      </c>
      <c r="G367" s="218">
        <v>34267652.280000001</v>
      </c>
      <c r="H367" s="219">
        <v>30393191.489999998</v>
      </c>
    </row>
    <row r="368" spans="1:8">
      <c r="A368" s="201">
        <v>308</v>
      </c>
      <c r="B368" s="232" t="s">
        <v>550</v>
      </c>
      <c r="C368" s="224">
        <v>210621.64</v>
      </c>
      <c r="D368" s="225">
        <v>33499.68</v>
      </c>
      <c r="E368" s="226">
        <v>177121.96</v>
      </c>
      <c r="F368" s="224">
        <v>10055725.76</v>
      </c>
      <c r="G368" s="218">
        <v>34444774.240000002</v>
      </c>
      <c r="H368" s="219">
        <v>30426691.170000002</v>
      </c>
    </row>
    <row r="369" spans="1:8">
      <c r="A369" s="201">
        <v>309</v>
      </c>
      <c r="B369" s="232" t="s">
        <v>551</v>
      </c>
      <c r="C369" s="224">
        <v>210621.64</v>
      </c>
      <c r="D369" s="225">
        <v>32919.83</v>
      </c>
      <c r="E369" s="226">
        <v>177701.81</v>
      </c>
      <c r="F369" s="224">
        <v>9878023.9399999995</v>
      </c>
      <c r="G369" s="218">
        <v>34622476.060000002</v>
      </c>
      <c r="H369" s="219">
        <v>30459611</v>
      </c>
    </row>
    <row r="370" spans="1:8">
      <c r="A370" s="201">
        <v>310</v>
      </c>
      <c r="B370" s="232" t="s">
        <v>552</v>
      </c>
      <c r="C370" s="224">
        <v>210621.64</v>
      </c>
      <c r="D370" s="225">
        <v>32338.080000000002</v>
      </c>
      <c r="E370" s="226">
        <v>178283.56</v>
      </c>
      <c r="F370" s="224">
        <v>9699740.3800000008</v>
      </c>
      <c r="G370" s="218">
        <v>34800759.619999997</v>
      </c>
      <c r="H370" s="219">
        <v>30491949.079999998</v>
      </c>
    </row>
    <row r="371" spans="1:8">
      <c r="A371" s="201">
        <v>311</v>
      </c>
      <c r="B371" s="232" t="s">
        <v>553</v>
      </c>
      <c r="C371" s="224">
        <v>210621.64</v>
      </c>
      <c r="D371" s="225">
        <v>31754.43</v>
      </c>
      <c r="E371" s="226">
        <v>178867.21</v>
      </c>
      <c r="F371" s="224">
        <v>9520873.1699999999</v>
      </c>
      <c r="G371" s="218">
        <v>34979626.829999998</v>
      </c>
      <c r="H371" s="219">
        <v>30523703.510000002</v>
      </c>
    </row>
    <row r="372" spans="1:8">
      <c r="A372" s="200">
        <v>312</v>
      </c>
      <c r="B372" s="231" t="s">
        <v>554</v>
      </c>
      <c r="C372" s="213">
        <v>210621.64</v>
      </c>
      <c r="D372" s="216">
        <v>31168.86</v>
      </c>
      <c r="E372" s="217">
        <v>179452.78</v>
      </c>
      <c r="F372" s="213">
        <v>9341420.3900000006</v>
      </c>
      <c r="G372" s="222">
        <v>35159079.609999999</v>
      </c>
      <c r="H372" s="223">
        <v>30554872.370000001</v>
      </c>
    </row>
    <row r="373" spans="1:8">
      <c r="A373" s="201">
        <v>313</v>
      </c>
      <c r="B373" s="232" t="s">
        <v>555</v>
      </c>
      <c r="C373" s="224">
        <v>210621.64</v>
      </c>
      <c r="D373" s="225">
        <v>30581.38</v>
      </c>
      <c r="E373" s="226">
        <v>180040.26</v>
      </c>
      <c r="F373" s="224">
        <v>9161380.1300000008</v>
      </c>
      <c r="G373" s="218">
        <v>35339119.869999997</v>
      </c>
      <c r="H373" s="219">
        <v>30585453.75</v>
      </c>
    </row>
    <row r="374" spans="1:8">
      <c r="A374" s="201">
        <v>314</v>
      </c>
      <c r="B374" s="232" t="s">
        <v>556</v>
      </c>
      <c r="C374" s="224">
        <v>210621.64</v>
      </c>
      <c r="D374" s="225">
        <v>29991.97</v>
      </c>
      <c r="E374" s="226">
        <v>180629.67</v>
      </c>
      <c r="F374" s="224">
        <v>8980750.4600000009</v>
      </c>
      <c r="G374" s="218">
        <v>35519749.539999999</v>
      </c>
      <c r="H374" s="219">
        <v>30615445.719999999</v>
      </c>
    </row>
    <row r="375" spans="1:8">
      <c r="A375" s="201">
        <v>315</v>
      </c>
      <c r="B375" s="232" t="s">
        <v>557</v>
      </c>
      <c r="C375" s="224">
        <v>210621.64</v>
      </c>
      <c r="D375" s="225">
        <v>29400.639999999999</v>
      </c>
      <c r="E375" s="226">
        <v>181221</v>
      </c>
      <c r="F375" s="224">
        <v>8799529.4600000009</v>
      </c>
      <c r="G375" s="218">
        <v>35700970.539999999</v>
      </c>
      <c r="H375" s="219">
        <v>30644846.359999999</v>
      </c>
    </row>
    <row r="376" spans="1:8">
      <c r="A376" s="201">
        <v>316</v>
      </c>
      <c r="B376" s="232" t="s">
        <v>558</v>
      </c>
      <c r="C376" s="224">
        <v>210621.64</v>
      </c>
      <c r="D376" s="225">
        <v>28807.37</v>
      </c>
      <c r="E376" s="226">
        <v>181814.27</v>
      </c>
      <c r="F376" s="224">
        <v>8617715.1899999995</v>
      </c>
      <c r="G376" s="218">
        <v>35882784.810000002</v>
      </c>
      <c r="H376" s="219">
        <v>30673653.73</v>
      </c>
    </row>
    <row r="377" spans="1:8">
      <c r="A377" s="201">
        <v>317</v>
      </c>
      <c r="B377" s="232" t="s">
        <v>559</v>
      </c>
      <c r="C377" s="224">
        <v>210621.64</v>
      </c>
      <c r="D377" s="225">
        <v>28212.16</v>
      </c>
      <c r="E377" s="226">
        <v>182409.48</v>
      </c>
      <c r="F377" s="224">
        <v>8435305.6999999993</v>
      </c>
      <c r="G377" s="218">
        <v>36065194.299999997</v>
      </c>
      <c r="H377" s="219">
        <v>30701865.890000001</v>
      </c>
    </row>
    <row r="378" spans="1:8">
      <c r="A378" s="201">
        <v>318</v>
      </c>
      <c r="B378" s="232" t="s">
        <v>560</v>
      </c>
      <c r="C378" s="224">
        <v>210621.64</v>
      </c>
      <c r="D378" s="225">
        <v>27615</v>
      </c>
      <c r="E378" s="226">
        <v>183006.65</v>
      </c>
      <c r="F378" s="224">
        <v>8252299.0599999996</v>
      </c>
      <c r="G378" s="218">
        <v>36248200.939999998</v>
      </c>
      <c r="H378" s="219">
        <v>30729480.890000001</v>
      </c>
    </row>
    <row r="379" spans="1:8">
      <c r="A379" s="201">
        <v>319</v>
      </c>
      <c r="B379" s="232" t="s">
        <v>561</v>
      </c>
      <c r="C379" s="224">
        <v>210621.64</v>
      </c>
      <c r="D379" s="225">
        <v>27015.88</v>
      </c>
      <c r="E379" s="226">
        <v>183605.76000000001</v>
      </c>
      <c r="F379" s="224">
        <v>8068693.2999999998</v>
      </c>
      <c r="G379" s="218">
        <v>36431806.700000003</v>
      </c>
      <c r="H379" s="219">
        <v>30756496.77</v>
      </c>
    </row>
    <row r="380" spans="1:8">
      <c r="A380" s="201">
        <v>320</v>
      </c>
      <c r="B380" s="232" t="s">
        <v>562</v>
      </c>
      <c r="C380" s="224">
        <v>210621.64</v>
      </c>
      <c r="D380" s="225">
        <v>26414.799999999999</v>
      </c>
      <c r="E380" s="226">
        <v>184206.84</v>
      </c>
      <c r="F380" s="224">
        <v>7884486.46</v>
      </c>
      <c r="G380" s="218">
        <v>36616013.539999999</v>
      </c>
      <c r="H380" s="219">
        <v>30782911.57</v>
      </c>
    </row>
    <row r="381" spans="1:8">
      <c r="A381" s="201">
        <v>321</v>
      </c>
      <c r="B381" s="232" t="s">
        <v>563</v>
      </c>
      <c r="C381" s="224">
        <v>210621.64</v>
      </c>
      <c r="D381" s="225">
        <v>25811.759999999998</v>
      </c>
      <c r="E381" s="226">
        <v>184809.88</v>
      </c>
      <c r="F381" s="224">
        <v>7699676.5800000001</v>
      </c>
      <c r="G381" s="218">
        <v>36800823.420000002</v>
      </c>
      <c r="H381" s="219">
        <v>30808723.329999998</v>
      </c>
    </row>
    <row r="382" spans="1:8">
      <c r="A382" s="201">
        <v>322</v>
      </c>
      <c r="B382" s="232" t="s">
        <v>564</v>
      </c>
      <c r="C382" s="224">
        <v>210621.64</v>
      </c>
      <c r="D382" s="225">
        <v>25206.74</v>
      </c>
      <c r="E382" s="226">
        <v>185414.9</v>
      </c>
      <c r="F382" s="224">
        <v>7514261.6699999999</v>
      </c>
      <c r="G382" s="218">
        <v>36986238.329999998</v>
      </c>
      <c r="H382" s="219">
        <v>30833930.059999999</v>
      </c>
    </row>
    <row r="383" spans="1:8">
      <c r="A383" s="201">
        <v>323</v>
      </c>
      <c r="B383" s="232" t="s">
        <v>565</v>
      </c>
      <c r="C383" s="224">
        <v>210621.64</v>
      </c>
      <c r="D383" s="225">
        <v>24599.74</v>
      </c>
      <c r="E383" s="226">
        <v>186021.9</v>
      </c>
      <c r="F383" s="224">
        <v>7328239.7699999996</v>
      </c>
      <c r="G383" s="218">
        <v>37172260.229999997</v>
      </c>
      <c r="H383" s="219">
        <v>30858529.800000001</v>
      </c>
    </row>
    <row r="384" spans="1:8">
      <c r="A384" s="200">
        <v>324</v>
      </c>
      <c r="B384" s="231" t="s">
        <v>566</v>
      </c>
      <c r="C384" s="213">
        <v>210621.64</v>
      </c>
      <c r="D384" s="216">
        <v>23990.75</v>
      </c>
      <c r="E384" s="217">
        <v>186630.89</v>
      </c>
      <c r="F384" s="213">
        <v>7141608.8799999999</v>
      </c>
      <c r="G384" s="222">
        <v>37358891.119999997</v>
      </c>
      <c r="H384" s="223">
        <v>30882520.550000001</v>
      </c>
    </row>
    <row r="385" spans="1:8">
      <c r="A385" s="201">
        <v>325</v>
      </c>
      <c r="B385" s="232" t="s">
        <v>567</v>
      </c>
      <c r="C385" s="224">
        <v>210621.64</v>
      </c>
      <c r="D385" s="225">
        <v>23379.77</v>
      </c>
      <c r="E385" s="226">
        <v>187241.87</v>
      </c>
      <c r="F385" s="224">
        <v>6954367.0099999998</v>
      </c>
      <c r="G385" s="218">
        <v>37546132.990000002</v>
      </c>
      <c r="H385" s="219">
        <v>30905900.32</v>
      </c>
    </row>
    <row r="386" spans="1:8">
      <c r="A386" s="201">
        <v>326</v>
      </c>
      <c r="B386" s="232" t="s">
        <v>568</v>
      </c>
      <c r="C386" s="224">
        <v>210621.64</v>
      </c>
      <c r="D386" s="225">
        <v>22766.79</v>
      </c>
      <c r="E386" s="226">
        <v>187854.85</v>
      </c>
      <c r="F386" s="224">
        <v>6766512.1500000004</v>
      </c>
      <c r="G386" s="218">
        <v>37733987.850000001</v>
      </c>
      <c r="H386" s="219">
        <v>30928667.109999999</v>
      </c>
    </row>
    <row r="387" spans="1:8">
      <c r="A387" s="201">
        <v>327</v>
      </c>
      <c r="B387" s="232" t="s">
        <v>569</v>
      </c>
      <c r="C387" s="224">
        <v>210621.64</v>
      </c>
      <c r="D387" s="225">
        <v>22151.8</v>
      </c>
      <c r="E387" s="226">
        <v>188469.84</v>
      </c>
      <c r="F387" s="224">
        <v>6578042.3099999996</v>
      </c>
      <c r="G387" s="218">
        <v>37922457.689999998</v>
      </c>
      <c r="H387" s="219">
        <v>30950818.91</v>
      </c>
    </row>
    <row r="388" spans="1:8">
      <c r="A388" s="201">
        <v>328</v>
      </c>
      <c r="B388" s="232" t="s">
        <v>570</v>
      </c>
      <c r="C388" s="224">
        <v>210621.64</v>
      </c>
      <c r="D388" s="225">
        <v>21534.799999999999</v>
      </c>
      <c r="E388" s="226">
        <v>189086.84</v>
      </c>
      <c r="F388" s="224">
        <v>6388955.4699999997</v>
      </c>
      <c r="G388" s="218">
        <v>38111544.530000001</v>
      </c>
      <c r="H388" s="219">
        <v>30972353.710000001</v>
      </c>
    </row>
    <row r="389" spans="1:8">
      <c r="A389" s="201">
        <v>329</v>
      </c>
      <c r="B389" s="232" t="s">
        <v>571</v>
      </c>
      <c r="C389" s="224">
        <v>210621.64</v>
      </c>
      <c r="D389" s="225">
        <v>20915.78</v>
      </c>
      <c r="E389" s="226">
        <v>189705.86</v>
      </c>
      <c r="F389" s="224">
        <v>6199249.6100000003</v>
      </c>
      <c r="G389" s="218">
        <v>38301250.390000001</v>
      </c>
      <c r="H389" s="219">
        <v>30993269.48</v>
      </c>
    </row>
    <row r="390" spans="1:8">
      <c r="A390" s="201">
        <v>330</v>
      </c>
      <c r="B390" s="232" t="s">
        <v>572</v>
      </c>
      <c r="C390" s="224">
        <v>210621.64</v>
      </c>
      <c r="D390" s="225">
        <v>20294.73</v>
      </c>
      <c r="E390" s="226">
        <v>190326.91</v>
      </c>
      <c r="F390" s="224">
        <v>6008922.6900000004</v>
      </c>
      <c r="G390" s="218">
        <v>38491577.310000002</v>
      </c>
      <c r="H390" s="219">
        <v>31013564.210000001</v>
      </c>
    </row>
    <row r="391" spans="1:8">
      <c r="A391" s="201">
        <v>331</v>
      </c>
      <c r="B391" s="232" t="s">
        <v>573</v>
      </c>
      <c r="C391" s="224">
        <v>210621.64</v>
      </c>
      <c r="D391" s="225">
        <v>19671.650000000001</v>
      </c>
      <c r="E391" s="226">
        <v>190949.99</v>
      </c>
      <c r="F391" s="224">
        <v>5817972.7000000002</v>
      </c>
      <c r="G391" s="218">
        <v>38682527.299999997</v>
      </c>
      <c r="H391" s="219">
        <v>31033235.859999999</v>
      </c>
    </row>
    <row r="392" spans="1:8">
      <c r="A392" s="201">
        <v>332</v>
      </c>
      <c r="B392" s="232" t="s">
        <v>574</v>
      </c>
      <c r="C392" s="224">
        <v>210621.64</v>
      </c>
      <c r="D392" s="225">
        <v>19046.53</v>
      </c>
      <c r="E392" s="226">
        <v>191575.11</v>
      </c>
      <c r="F392" s="224">
        <v>5626397.5899999999</v>
      </c>
      <c r="G392" s="218">
        <v>38874102.409999996</v>
      </c>
      <c r="H392" s="219">
        <v>31052282.390000001</v>
      </c>
    </row>
    <row r="393" spans="1:8">
      <c r="A393" s="201">
        <v>333</v>
      </c>
      <c r="B393" s="232" t="s">
        <v>575</v>
      </c>
      <c r="C393" s="224">
        <v>210621.64</v>
      </c>
      <c r="D393" s="225">
        <v>18419.36</v>
      </c>
      <c r="E393" s="226">
        <v>192202.28</v>
      </c>
      <c r="F393" s="224">
        <v>5434195.3099999996</v>
      </c>
      <c r="G393" s="218">
        <v>39066304.689999998</v>
      </c>
      <c r="H393" s="219">
        <v>31070701.75</v>
      </c>
    </row>
    <row r="394" spans="1:8">
      <c r="A394" s="201">
        <v>334</v>
      </c>
      <c r="B394" s="232" t="s">
        <v>576</v>
      </c>
      <c r="C394" s="224">
        <v>210621.64</v>
      </c>
      <c r="D394" s="225">
        <v>17790.14</v>
      </c>
      <c r="E394" s="226">
        <v>192831.5</v>
      </c>
      <c r="F394" s="224">
        <v>5241363.8099999996</v>
      </c>
      <c r="G394" s="218">
        <v>39259136.189999998</v>
      </c>
      <c r="H394" s="219">
        <v>31088491.899999999</v>
      </c>
    </row>
    <row r="395" spans="1:8">
      <c r="A395" s="201">
        <v>335</v>
      </c>
      <c r="B395" s="232" t="s">
        <v>577</v>
      </c>
      <c r="C395" s="224">
        <v>210621.64</v>
      </c>
      <c r="D395" s="225">
        <v>17158.86</v>
      </c>
      <c r="E395" s="226">
        <v>193462.78</v>
      </c>
      <c r="F395" s="224">
        <v>5047901.03</v>
      </c>
      <c r="G395" s="218">
        <v>39452598.969999999</v>
      </c>
      <c r="H395" s="219">
        <v>31105650.760000002</v>
      </c>
    </row>
    <row r="396" spans="1:8">
      <c r="A396" s="200">
        <v>336</v>
      </c>
      <c r="B396" s="231" t="s">
        <v>578</v>
      </c>
      <c r="C396" s="213">
        <v>210621.64</v>
      </c>
      <c r="D396" s="216">
        <v>16525.509999999998</v>
      </c>
      <c r="E396" s="217">
        <v>194096.13</v>
      </c>
      <c r="F396" s="213">
        <v>4853804.91</v>
      </c>
      <c r="G396" s="222">
        <v>39646695.090000004</v>
      </c>
      <c r="H396" s="223">
        <v>31122176.27</v>
      </c>
    </row>
    <row r="397" spans="1:8">
      <c r="A397" s="201">
        <v>337</v>
      </c>
      <c r="B397" s="232" t="s">
        <v>579</v>
      </c>
      <c r="C397" s="224">
        <v>210621.64</v>
      </c>
      <c r="D397" s="225">
        <v>15890.09</v>
      </c>
      <c r="E397" s="226">
        <v>194731.55</v>
      </c>
      <c r="F397" s="224">
        <v>4659073.3600000003</v>
      </c>
      <c r="G397" s="218">
        <v>39841426.640000001</v>
      </c>
      <c r="H397" s="219">
        <v>31138066.359999999</v>
      </c>
    </row>
    <row r="398" spans="1:8">
      <c r="A398" s="201">
        <v>338</v>
      </c>
      <c r="B398" s="232" t="s">
        <v>580</v>
      </c>
      <c r="C398" s="224">
        <v>210621.64</v>
      </c>
      <c r="D398" s="225">
        <v>15252.59</v>
      </c>
      <c r="E398" s="226">
        <v>195369.05</v>
      </c>
      <c r="F398" s="224">
        <v>4463704.3099999996</v>
      </c>
      <c r="G398" s="218">
        <v>40036795.689999998</v>
      </c>
      <c r="H398" s="219">
        <v>31153318.960000001</v>
      </c>
    </row>
    <row r="399" spans="1:8">
      <c r="A399" s="201">
        <v>339</v>
      </c>
      <c r="B399" s="232" t="s">
        <v>581</v>
      </c>
      <c r="C399" s="224">
        <v>210621.64</v>
      </c>
      <c r="D399" s="225">
        <v>14613.01</v>
      </c>
      <c r="E399" s="226">
        <v>196008.63</v>
      </c>
      <c r="F399" s="224">
        <v>4267695.68</v>
      </c>
      <c r="G399" s="218">
        <v>40232804.32</v>
      </c>
      <c r="H399" s="219">
        <v>31167931.969999999</v>
      </c>
    </row>
    <row r="400" spans="1:8">
      <c r="A400" s="201">
        <v>340</v>
      </c>
      <c r="B400" s="232" t="s">
        <v>582</v>
      </c>
      <c r="C400" s="224">
        <v>210621.64</v>
      </c>
      <c r="D400" s="225">
        <v>13971.33</v>
      </c>
      <c r="E400" s="226">
        <v>196650.32</v>
      </c>
      <c r="F400" s="224">
        <v>4071045.36</v>
      </c>
      <c r="G400" s="218">
        <v>40429454.640000001</v>
      </c>
      <c r="H400" s="219">
        <v>31181903.289999999</v>
      </c>
    </row>
    <row r="401" spans="1:8">
      <c r="A401" s="201">
        <v>341</v>
      </c>
      <c r="B401" s="232" t="s">
        <v>583</v>
      </c>
      <c r="C401" s="224">
        <v>210621.64</v>
      </c>
      <c r="D401" s="225">
        <v>13327.54</v>
      </c>
      <c r="E401" s="226">
        <v>197294.1</v>
      </c>
      <c r="F401" s="224">
        <v>3873751.26</v>
      </c>
      <c r="G401" s="218">
        <v>40626748.740000002</v>
      </c>
      <c r="H401" s="219">
        <v>31195230.829999998</v>
      </c>
    </row>
    <row r="402" spans="1:8">
      <c r="A402" s="201">
        <v>342</v>
      </c>
      <c r="B402" s="232" t="s">
        <v>584</v>
      </c>
      <c r="C402" s="224">
        <v>210621.64</v>
      </c>
      <c r="D402" s="225">
        <v>12681.65</v>
      </c>
      <c r="E402" s="226">
        <v>197939.99</v>
      </c>
      <c r="F402" s="224">
        <v>3675811.28</v>
      </c>
      <c r="G402" s="218">
        <v>40824688.719999999</v>
      </c>
      <c r="H402" s="219">
        <v>31207912.489999998</v>
      </c>
    </row>
    <row r="403" spans="1:8">
      <c r="A403" s="201">
        <v>343</v>
      </c>
      <c r="B403" s="232" t="s">
        <v>585</v>
      </c>
      <c r="C403" s="224">
        <v>210621.64</v>
      </c>
      <c r="D403" s="225">
        <v>12033.65</v>
      </c>
      <c r="E403" s="226">
        <v>198587.99</v>
      </c>
      <c r="F403" s="224">
        <v>3477223.28</v>
      </c>
      <c r="G403" s="218">
        <v>41023276.719999999</v>
      </c>
      <c r="H403" s="219">
        <v>31219946.140000001</v>
      </c>
    </row>
    <row r="404" spans="1:8">
      <c r="A404" s="201">
        <v>344</v>
      </c>
      <c r="B404" s="232" t="s">
        <v>586</v>
      </c>
      <c r="C404" s="224">
        <v>210621.64</v>
      </c>
      <c r="D404" s="225">
        <v>11383.52</v>
      </c>
      <c r="E404" s="226">
        <v>199238.12</v>
      </c>
      <c r="F404" s="224">
        <v>3277985.17</v>
      </c>
      <c r="G404" s="218">
        <v>41222514.829999998</v>
      </c>
      <c r="H404" s="219">
        <v>31231329.66</v>
      </c>
    </row>
    <row r="405" spans="1:8">
      <c r="A405" s="201">
        <v>345</v>
      </c>
      <c r="B405" s="232" t="s">
        <v>587</v>
      </c>
      <c r="C405" s="224">
        <v>210621.64</v>
      </c>
      <c r="D405" s="225">
        <v>10731.27</v>
      </c>
      <c r="E405" s="226">
        <v>199890.37</v>
      </c>
      <c r="F405" s="224">
        <v>3078094.8</v>
      </c>
      <c r="G405" s="218">
        <v>41422405.200000003</v>
      </c>
      <c r="H405" s="219">
        <v>31242060.93</v>
      </c>
    </row>
    <row r="406" spans="1:8">
      <c r="A406" s="201">
        <v>346</v>
      </c>
      <c r="B406" s="232" t="s">
        <v>588</v>
      </c>
      <c r="C406" s="224">
        <v>210621.64</v>
      </c>
      <c r="D406" s="225">
        <v>10076.879999999999</v>
      </c>
      <c r="E406" s="226">
        <v>200544.76</v>
      </c>
      <c r="F406" s="224">
        <v>2877550.04</v>
      </c>
      <c r="G406" s="218">
        <v>41622949.960000001</v>
      </c>
      <c r="H406" s="219">
        <v>31252137.809999999</v>
      </c>
    </row>
    <row r="407" spans="1:8">
      <c r="A407" s="201">
        <v>347</v>
      </c>
      <c r="B407" s="232" t="s">
        <v>589</v>
      </c>
      <c r="C407" s="224">
        <v>210621.64</v>
      </c>
      <c r="D407" s="225">
        <v>9420.35</v>
      </c>
      <c r="E407" s="226">
        <v>201201.29</v>
      </c>
      <c r="F407" s="224">
        <v>2676348.75</v>
      </c>
      <c r="G407" s="218">
        <v>41824151.25</v>
      </c>
      <c r="H407" s="219">
        <v>31261558.16</v>
      </c>
    </row>
    <row r="408" spans="1:8">
      <c r="A408" s="200">
        <v>348</v>
      </c>
      <c r="B408" s="231" t="s">
        <v>590</v>
      </c>
      <c r="C408" s="213">
        <v>210621.64</v>
      </c>
      <c r="D408" s="216">
        <v>8761.67</v>
      </c>
      <c r="E408" s="217">
        <v>201859.97</v>
      </c>
      <c r="F408" s="213">
        <v>2474488.7799999998</v>
      </c>
      <c r="G408" s="222">
        <v>42026011.219999999</v>
      </c>
      <c r="H408" s="223">
        <v>31270319.829999998</v>
      </c>
    </row>
    <row r="409" spans="1:8">
      <c r="A409" s="201">
        <v>349</v>
      </c>
      <c r="B409" s="232" t="s">
        <v>591</v>
      </c>
      <c r="C409" s="224">
        <v>210621.64</v>
      </c>
      <c r="D409" s="225">
        <v>8100.83</v>
      </c>
      <c r="E409" s="226">
        <v>202520.81</v>
      </c>
      <c r="F409" s="224">
        <v>2271967.9700000002</v>
      </c>
      <c r="G409" s="218">
        <v>42228532.030000001</v>
      </c>
      <c r="H409" s="219">
        <v>31278420.66</v>
      </c>
    </row>
    <row r="410" spans="1:8">
      <c r="A410" s="201">
        <v>350</v>
      </c>
      <c r="B410" s="232" t="s">
        <v>592</v>
      </c>
      <c r="C410" s="224">
        <v>210621.64</v>
      </c>
      <c r="D410" s="225">
        <v>7437.83</v>
      </c>
      <c r="E410" s="226">
        <v>203183.81</v>
      </c>
      <c r="F410" s="224">
        <v>2068784.16</v>
      </c>
      <c r="G410" s="218">
        <v>42431715.840000004</v>
      </c>
      <c r="H410" s="219">
        <v>31285858.5</v>
      </c>
    </row>
    <row r="411" spans="1:8">
      <c r="A411" s="201">
        <v>351</v>
      </c>
      <c r="B411" s="232" t="s">
        <v>593</v>
      </c>
      <c r="C411" s="224">
        <v>210621.64</v>
      </c>
      <c r="D411" s="225">
        <v>6772.66</v>
      </c>
      <c r="E411" s="226">
        <v>203848.98</v>
      </c>
      <c r="F411" s="224">
        <v>1864935.18</v>
      </c>
      <c r="G411" s="218">
        <v>42635564.82</v>
      </c>
      <c r="H411" s="219">
        <v>31292631.16</v>
      </c>
    </row>
    <row r="412" spans="1:8">
      <c r="A412" s="201">
        <v>352</v>
      </c>
      <c r="B412" s="232" t="s">
        <v>594</v>
      </c>
      <c r="C412" s="224">
        <v>210621.64</v>
      </c>
      <c r="D412" s="225">
        <v>6105.31</v>
      </c>
      <c r="E412" s="226">
        <v>204516.33</v>
      </c>
      <c r="F412" s="224">
        <v>1660418.85</v>
      </c>
      <c r="G412" s="218">
        <v>42840081.149999999</v>
      </c>
      <c r="H412" s="219">
        <v>31298736.469999999</v>
      </c>
    </row>
    <row r="413" spans="1:8">
      <c r="A413" s="201">
        <v>353</v>
      </c>
      <c r="B413" s="232" t="s">
        <v>595</v>
      </c>
      <c r="C413" s="224">
        <v>210621.64</v>
      </c>
      <c r="D413" s="225">
        <v>5435.78</v>
      </c>
      <c r="E413" s="226">
        <v>205185.86</v>
      </c>
      <c r="F413" s="224">
        <v>1455232.99</v>
      </c>
      <c r="G413" s="218">
        <v>43045267.009999998</v>
      </c>
      <c r="H413" s="219">
        <v>31304172.25</v>
      </c>
    </row>
    <row r="414" spans="1:8">
      <c r="A414" s="201">
        <v>354</v>
      </c>
      <c r="B414" s="232" t="s">
        <v>596</v>
      </c>
      <c r="C414" s="224">
        <v>210621.64</v>
      </c>
      <c r="D414" s="225">
        <v>4764.05</v>
      </c>
      <c r="E414" s="226">
        <v>205857.59</v>
      </c>
      <c r="F414" s="224">
        <v>1249375.3999999999</v>
      </c>
      <c r="G414" s="218">
        <v>43251124.600000001</v>
      </c>
      <c r="H414" s="219">
        <v>31308936.300000001</v>
      </c>
    </row>
    <row r="415" spans="1:8">
      <c r="A415" s="201">
        <v>355</v>
      </c>
      <c r="B415" s="232" t="s">
        <v>597</v>
      </c>
      <c r="C415" s="224">
        <v>210621.64</v>
      </c>
      <c r="D415" s="225">
        <v>4090.13</v>
      </c>
      <c r="E415" s="226">
        <v>206531.51</v>
      </c>
      <c r="F415" s="224">
        <v>1042843.89</v>
      </c>
      <c r="G415" s="218">
        <v>43457656.109999999</v>
      </c>
      <c r="H415" s="219">
        <v>31313026.43</v>
      </c>
    </row>
    <row r="416" spans="1:8">
      <c r="A416" s="201">
        <v>356</v>
      </c>
      <c r="B416" s="232" t="s">
        <v>598</v>
      </c>
      <c r="C416" s="224">
        <v>210621.64</v>
      </c>
      <c r="D416" s="225">
        <v>3414</v>
      </c>
      <c r="E416" s="226">
        <v>207207.64</v>
      </c>
      <c r="F416" s="224">
        <v>835636.25</v>
      </c>
      <c r="G416" s="218">
        <v>43664863.75</v>
      </c>
      <c r="H416" s="219">
        <v>31316440.43</v>
      </c>
    </row>
    <row r="417" spans="1:8">
      <c r="A417" s="201">
        <v>357</v>
      </c>
      <c r="B417" s="232" t="s">
        <v>599</v>
      </c>
      <c r="C417" s="224">
        <v>210621.64</v>
      </c>
      <c r="D417" s="225">
        <v>2735.66</v>
      </c>
      <c r="E417" s="226">
        <v>207885.99</v>
      </c>
      <c r="F417" s="224">
        <v>627750.26</v>
      </c>
      <c r="G417" s="218">
        <v>43872749.740000002</v>
      </c>
      <c r="H417" s="219">
        <v>31319176.09</v>
      </c>
    </row>
    <row r="418" spans="1:8">
      <c r="A418" s="201">
        <v>358</v>
      </c>
      <c r="B418" s="232" t="s">
        <v>600</v>
      </c>
      <c r="C418" s="224">
        <v>210621.64</v>
      </c>
      <c r="D418" s="225">
        <v>2055.09</v>
      </c>
      <c r="E418" s="226">
        <v>208566.55</v>
      </c>
      <c r="F418" s="224">
        <v>419183.71</v>
      </c>
      <c r="G418" s="218">
        <v>44081316.289999999</v>
      </c>
      <c r="H418" s="219">
        <v>31321231.18</v>
      </c>
    </row>
    <row r="419" spans="1:8">
      <c r="A419" s="201">
        <v>359</v>
      </c>
      <c r="B419" s="232" t="s">
        <v>601</v>
      </c>
      <c r="C419" s="224">
        <v>210621.64</v>
      </c>
      <c r="D419" s="225">
        <v>1372.3</v>
      </c>
      <c r="E419" s="226">
        <v>209249.34</v>
      </c>
      <c r="F419" s="224">
        <v>209934.37</v>
      </c>
      <c r="G419" s="218">
        <v>44290565.630000003</v>
      </c>
      <c r="H419" s="219">
        <v>31322603.48</v>
      </c>
    </row>
    <row r="420" spans="1:8">
      <c r="A420" s="202">
        <v>360</v>
      </c>
      <c r="B420" s="233" t="s">
        <v>602</v>
      </c>
      <c r="C420" s="234">
        <v>210621.64</v>
      </c>
      <c r="D420" s="235">
        <v>687.27</v>
      </c>
      <c r="E420" s="236">
        <v>209934.37</v>
      </c>
      <c r="F420" s="237">
        <v>0</v>
      </c>
      <c r="G420" s="238">
        <v>44500500</v>
      </c>
      <c r="H420" s="239">
        <v>31323290.75</v>
      </c>
    </row>
    <row r="421" spans="1:8" ht="15.75">
      <c r="A421" s="159"/>
      <c r="B421" s="159"/>
      <c r="C421" s="159"/>
      <c r="D421" s="159"/>
      <c r="E421" s="159"/>
      <c r="F421" s="159"/>
      <c r="G421" s="159"/>
      <c r="H421" s="159"/>
    </row>
  </sheetData>
  <mergeCells count="2">
    <mergeCell ref="A20:H21"/>
    <mergeCell ref="A55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Financial Plan</vt:lpstr>
      <vt:lpstr>P&amp;L Breakdown</vt:lpstr>
      <vt:lpstr>Amort Koc Mobility 7 years</vt:lpstr>
      <vt:lpstr>Amort Tofas 30 years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Mesa Suarez</dc:creator>
  <cp:keywords/>
  <dc:description/>
  <cp:lastModifiedBy>Usuario</cp:lastModifiedBy>
  <cp:revision/>
  <dcterms:created xsi:type="dcterms:W3CDTF">2025-07-02T10:30:59Z</dcterms:created>
  <dcterms:modified xsi:type="dcterms:W3CDTF">2025-07-08T21:11:23Z</dcterms:modified>
  <cp:category/>
  <cp:contentStatus/>
</cp:coreProperties>
</file>