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95855_alumnos_uc3m_es/Documents/GRUPETE EMPRESA/Plan de Empresa/ARCHIVOS IMPORTANTES/"/>
    </mc:Choice>
  </mc:AlternateContent>
  <xr:revisionPtr revIDLastSave="1302" documentId="8_{B0FD5C4D-F838-4567-BC47-30F184BF9D33}" xr6:coauthVersionLast="47" xr6:coauthVersionMax="47" xr10:uidLastSave="{81CF251F-7756-4995-8554-2E3B99B50CC2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" i="1" l="1"/>
  <c r="S51" i="1"/>
  <c r="S52" i="1"/>
  <c r="R53" i="1"/>
  <c r="R40" i="1"/>
  <c r="R39" i="1"/>
  <c r="R38" i="1"/>
  <c r="I18" i="1"/>
  <c r="L64" i="1"/>
  <c r="K64" i="1"/>
  <c r="J64" i="1"/>
  <c r="I64" i="1"/>
  <c r="H65" i="1"/>
  <c r="H64" i="1"/>
  <c r="H63" i="1"/>
  <c r="J55" i="1"/>
  <c r="J52" i="1"/>
  <c r="J51" i="1"/>
  <c r="H55" i="1"/>
  <c r="H54" i="1"/>
  <c r="H53" i="1"/>
  <c r="H52" i="1"/>
  <c r="H51" i="1"/>
  <c r="K55" i="1"/>
  <c r="K54" i="1"/>
  <c r="K53" i="1"/>
  <c r="K52" i="1"/>
  <c r="K51" i="1"/>
  <c r="J65" i="1"/>
  <c r="H62" i="1" a="1"/>
  <c r="H62" i="1" s="1"/>
  <c r="J18" i="1"/>
  <c r="J24" i="1"/>
  <c r="H61" i="1"/>
  <c r="C22" i="1"/>
  <c r="D22" i="1"/>
  <c r="E22" i="1"/>
  <c r="F22" i="1"/>
  <c r="B22" i="1"/>
  <c r="M34" i="1"/>
  <c r="J34" i="1"/>
  <c r="C20" i="1"/>
  <c r="D20" i="1" s="1"/>
  <c r="E20" i="1" s="1"/>
  <c r="F20" i="1" s="1"/>
  <c r="S38" i="1"/>
  <c r="B49" i="1"/>
  <c r="B19" i="1"/>
  <c r="C19" i="1"/>
  <c r="D19" i="1"/>
  <c r="E19" i="1"/>
  <c r="F19" i="1"/>
  <c r="B9" i="1"/>
  <c r="S80" i="1"/>
  <c r="S74" i="1"/>
  <c r="S67" i="1"/>
  <c r="S60" i="1"/>
  <c r="S53" i="1"/>
  <c r="S39" i="1"/>
  <c r="B29" i="1"/>
  <c r="R80" i="1"/>
  <c r="R73" i="1"/>
  <c r="R66" i="1"/>
  <c r="R59" i="1"/>
  <c r="R52" i="1"/>
  <c r="V3" i="1"/>
  <c r="J54" i="1"/>
  <c r="J53" i="1"/>
  <c r="B4" i="1"/>
  <c r="C4" i="1" s="1"/>
  <c r="D4" i="1" s="1"/>
  <c r="E4" i="1" s="1"/>
  <c r="F4" i="1" s="1"/>
  <c r="G4" i="1" s="1"/>
  <c r="B37" i="1"/>
  <c r="B31" i="1"/>
  <c r="B30" i="1"/>
  <c r="C8" i="1"/>
  <c r="D8" i="1" s="1"/>
  <c r="E8" i="1" s="1"/>
  <c r="F8" i="1" s="1"/>
  <c r="G8" i="1" s="1"/>
  <c r="I55" i="1"/>
  <c r="I54" i="1"/>
  <c r="I53" i="1"/>
  <c r="I52" i="1"/>
  <c r="I51" i="1"/>
  <c r="C5" i="1"/>
  <c r="D5" i="1" s="1"/>
  <c r="E5" i="1" s="1"/>
  <c r="F5" i="1" s="1"/>
  <c r="G5" i="1" s="1"/>
  <c r="C6" i="1"/>
  <c r="D6" i="1" s="1"/>
  <c r="E6" i="1" s="1"/>
  <c r="F6" i="1" s="1"/>
  <c r="G6" i="1" s="1"/>
  <c r="C7" i="1"/>
  <c r="D7" i="1" s="1"/>
  <c r="E7" i="1" s="1"/>
  <c r="F7" i="1" s="1"/>
  <c r="G7" i="1" s="1"/>
  <c r="C10" i="1"/>
  <c r="D10" i="1" s="1"/>
  <c r="E10" i="1" s="1"/>
  <c r="F10" i="1" s="1"/>
  <c r="G10" i="1" s="1"/>
  <c r="C3" i="1"/>
  <c r="D3" i="1" s="1"/>
  <c r="D9" i="1" l="1"/>
  <c r="C9" i="1"/>
  <c r="C11" i="1" s="1"/>
  <c r="R65" i="1"/>
  <c r="R58" i="1"/>
  <c r="R72" i="1"/>
  <c r="R51" i="1"/>
  <c r="R79" i="1"/>
  <c r="S41" i="1"/>
  <c r="G9" i="1"/>
  <c r="F9" i="1"/>
  <c r="E3" i="1"/>
  <c r="F3" i="1" s="1"/>
  <c r="G3" i="1" s="1"/>
  <c r="E9" i="1"/>
  <c r="V5" i="1"/>
  <c r="J13" i="1" s="1"/>
  <c r="J26" i="1" s="1"/>
  <c r="V4" i="1"/>
  <c r="J12" i="1" s="1"/>
  <c r="B16" i="1" s="1"/>
  <c r="B39" i="1"/>
  <c r="B11" i="1"/>
  <c r="J11" i="1"/>
  <c r="S58" i="1"/>
  <c r="B18" i="1" l="1"/>
  <c r="B15" i="1"/>
  <c r="B17" i="1"/>
  <c r="R41" i="1"/>
  <c r="D11" i="1"/>
  <c r="J25" i="1"/>
  <c r="K13" i="1"/>
  <c r="L13" i="1" s="1"/>
  <c r="M13" i="1" s="1"/>
  <c r="N13" i="1" s="1"/>
  <c r="E11" i="1"/>
  <c r="B40" i="1"/>
  <c r="K12" i="1"/>
  <c r="K11" i="1"/>
  <c r="G11" i="1"/>
  <c r="F11" i="1"/>
  <c r="B25" i="1" l="1"/>
  <c r="C17" i="1"/>
  <c r="C18" i="1"/>
  <c r="C15" i="1"/>
  <c r="L12" i="1"/>
  <c r="D16" i="1" s="1"/>
  <c r="C16" i="1"/>
  <c r="K26" i="1"/>
  <c r="J27" i="1"/>
  <c r="S72" i="1"/>
  <c r="S65" i="1"/>
  <c r="K25" i="1"/>
  <c r="L11" i="1"/>
  <c r="L26" i="1"/>
  <c r="K24" i="1"/>
  <c r="R29" i="1" l="1"/>
  <c r="S29" i="1" s="1"/>
  <c r="R28" i="1"/>
  <c r="R27" i="1"/>
  <c r="S27" i="1" s="1"/>
  <c r="M12" i="1"/>
  <c r="E16" i="1" s="1"/>
  <c r="L25" i="1"/>
  <c r="M11" i="1"/>
  <c r="M24" i="1" s="1"/>
  <c r="D17" i="1"/>
  <c r="D18" i="1"/>
  <c r="D15" i="1"/>
  <c r="N12" i="1"/>
  <c r="F16" i="1" s="1"/>
  <c r="C25" i="1"/>
  <c r="I62" i="1" s="1" a="1"/>
  <c r="I62" i="1" s="1"/>
  <c r="V29" i="1"/>
  <c r="W29" i="1" s="1"/>
  <c r="V27" i="1"/>
  <c r="W27" i="1" s="1"/>
  <c r="V28" i="1"/>
  <c r="W28" i="1" s="1"/>
  <c r="K27" i="1"/>
  <c r="I61" i="1" s="1"/>
  <c r="N26" i="1"/>
  <c r="M26" i="1"/>
  <c r="L24" i="1"/>
  <c r="M25" i="1" l="1"/>
  <c r="M27" i="1" s="1"/>
  <c r="K61" i="1" s="1"/>
  <c r="D25" i="1"/>
  <c r="K18" i="1" s="1"/>
  <c r="H70" i="1"/>
  <c r="N11" i="1"/>
  <c r="E15" i="1"/>
  <c r="E18" i="1"/>
  <c r="E17" i="1"/>
  <c r="L27" i="1"/>
  <c r="S28" i="1"/>
  <c r="I63" i="1"/>
  <c r="I65" i="1" s="1"/>
  <c r="N25" i="1"/>
  <c r="Z27" i="1" l="1"/>
  <c r="AA27" i="1" s="1"/>
  <c r="Z28" i="1"/>
  <c r="AA28" i="1" s="1"/>
  <c r="Z29" i="1"/>
  <c r="AA29" i="1" s="1"/>
  <c r="F18" i="1"/>
  <c r="F15" i="1"/>
  <c r="F17" i="1"/>
  <c r="E25" i="1"/>
  <c r="L18" i="1" s="1"/>
  <c r="N24" i="1"/>
  <c r="N27" i="1" s="1"/>
  <c r="AD27" i="1"/>
  <c r="AE27" i="1" s="1"/>
  <c r="AD28" i="1"/>
  <c r="AE28" i="1" s="1"/>
  <c r="AD29" i="1"/>
  <c r="AE29" i="1" s="1"/>
  <c r="J61" i="1"/>
  <c r="J63" i="1" s="1"/>
  <c r="J62" i="1" a="1"/>
  <c r="J62" i="1" s="1"/>
  <c r="F25" i="1" l="1"/>
  <c r="M18" i="1" s="1"/>
  <c r="L62" i="1" s="1" a="1"/>
  <c r="L62" i="1" s="1"/>
  <c r="AH29" i="1"/>
  <c r="AI29" i="1" s="1"/>
  <c r="AH27" i="1"/>
  <c r="AI27" i="1" s="1"/>
  <c r="AH28" i="1"/>
  <c r="AI28" i="1" s="1"/>
  <c r="I70" i="1"/>
  <c r="K63" i="1"/>
  <c r="K62" i="1" a="1"/>
  <c r="K62" i="1" s="1"/>
  <c r="L61" i="1"/>
  <c r="S54" i="1" l="1"/>
  <c r="S61" i="1"/>
  <c r="R60" i="1" s="1"/>
  <c r="R61" i="1" s="1"/>
  <c r="K65" i="1"/>
  <c r="J70" i="1"/>
  <c r="L63" i="1"/>
  <c r="H79" i="1" l="1"/>
  <c r="I69" i="1"/>
  <c r="I71" i="1" s="1"/>
  <c r="R54" i="1"/>
  <c r="H69" i="1" s="1"/>
  <c r="S66" i="1"/>
  <c r="S68" i="1" s="1"/>
  <c r="R67" i="1" s="1"/>
  <c r="R68" i="1" s="1"/>
  <c r="L65" i="1"/>
  <c r="K70" i="1"/>
  <c r="H71" i="1" l="1"/>
  <c r="J69" i="1"/>
  <c r="J71" i="1" s="1"/>
  <c r="S73" i="1"/>
  <c r="S75" i="1" s="1"/>
  <c r="L70" i="1"/>
  <c r="R74" i="1" l="1"/>
  <c r="R75" i="1" s="1"/>
  <c r="K69" i="1" s="1"/>
  <c r="S79" i="1"/>
  <c r="S82" i="1" s="1"/>
  <c r="K71" i="1" l="1"/>
  <c r="R81" i="1"/>
  <c r="R82" i="1" s="1"/>
  <c r="L69" i="1" l="1"/>
  <c r="L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<sst xmlns="http://schemas.openxmlformats.org/spreadsheetml/2006/main" count="239" uniqueCount="120">
  <si>
    <t>Costes fijos</t>
  </si>
  <si>
    <t>Sueldos</t>
  </si>
  <si>
    <t>Objeto</t>
  </si>
  <si>
    <t>Cuantía mensual</t>
  </si>
  <si>
    <t>Alquiler local</t>
  </si>
  <si>
    <t>Luz</t>
  </si>
  <si>
    <t>Agua</t>
  </si>
  <si>
    <t>Préstamo</t>
  </si>
  <si>
    <t>Conectividad</t>
  </si>
  <si>
    <t>Seguro</t>
  </si>
  <si>
    <t>Publicidad</t>
  </si>
  <si>
    <t>Camisetas</t>
  </si>
  <si>
    <t>Solo serigrafía</t>
  </si>
  <si>
    <t>Total</t>
  </si>
  <si>
    <t>Costes variables</t>
  </si>
  <si>
    <t>Precio</t>
  </si>
  <si>
    <t>Plan de inversion</t>
  </si>
  <si>
    <t>Impresora</t>
  </si>
  <si>
    <t>Equipo informático</t>
  </si>
  <si>
    <t>Acondicionamiento del local</t>
  </si>
  <si>
    <t>Decapador</t>
  </si>
  <si>
    <t>Raederas</t>
  </si>
  <si>
    <t>Fondo de maniobra</t>
  </si>
  <si>
    <t>Aporte Socio 1</t>
  </si>
  <si>
    <t>Aporte Socio 2</t>
  </si>
  <si>
    <t>Aporte Socio 3</t>
  </si>
  <si>
    <t>Aporte Socio 4</t>
  </si>
  <si>
    <t>Préstamo bancario</t>
  </si>
  <si>
    <t>Fuente</t>
  </si>
  <si>
    <t>Aporte</t>
  </si>
  <si>
    <t>Plan de financión</t>
  </si>
  <si>
    <t>Gasto de Constitución</t>
  </si>
  <si>
    <t>Cuota total</t>
  </si>
  <si>
    <t>Intereses</t>
  </si>
  <si>
    <t>Periodo (mes)</t>
  </si>
  <si>
    <t>Desglose del préstamo</t>
  </si>
  <si>
    <t>Resumen del préstamo</t>
  </si>
  <si>
    <t>Principal</t>
  </si>
  <si>
    <t>Principal
pendiente</t>
  </si>
  <si>
    <t>Periodo (año)</t>
  </si>
  <si>
    <t>Principal 
pendiente</t>
  </si>
  <si>
    <t>Camiseta Roly Atomic 150</t>
  </si>
  <si>
    <t>Año 1</t>
  </si>
  <si>
    <t>Año 2</t>
  </si>
  <si>
    <t>Año 3</t>
  </si>
  <si>
    <t>Tintas textiles</t>
  </si>
  <si>
    <t>Año 4</t>
  </si>
  <si>
    <t>Año 5</t>
  </si>
  <si>
    <t>Emulsiones</t>
  </si>
  <si>
    <t>Ingresos estimados</t>
  </si>
  <si>
    <t>Producto</t>
  </si>
  <si>
    <t>Camiseta personalizada</t>
  </si>
  <si>
    <t>Serigrafía</t>
  </si>
  <si>
    <t>Guantes</t>
  </si>
  <si>
    <t xml:space="preserve">Total </t>
  </si>
  <si>
    <t>2 x Túnel de secado infrarrojo
 Vastex D-1000 66x117cm</t>
  </si>
  <si>
    <t>2x Flash de presecado infrarrojo 
Vastex F-1000</t>
  </si>
  <si>
    <t>2x Insoladora LUXDRYER</t>
  </si>
  <si>
    <t>Sudaderas</t>
  </si>
  <si>
    <t>Costes</t>
  </si>
  <si>
    <t>Camiseta</t>
  </si>
  <si>
    <t>Tinta</t>
  </si>
  <si>
    <t>Sudadera</t>
  </si>
  <si>
    <t>Marcos</t>
  </si>
  <si>
    <t>Cuantía año 1</t>
  </si>
  <si>
    <t>Cuantía año 2</t>
  </si>
  <si>
    <t>Cuantía año 3</t>
  </si>
  <si>
    <t>Cuantía año 4</t>
  </si>
  <si>
    <t>Cuantía año 5</t>
  </si>
  <si>
    <t>Cuenta de pérdidas y ganancias</t>
  </si>
  <si>
    <t>Activo</t>
  </si>
  <si>
    <t>Pasivo</t>
  </si>
  <si>
    <t>Ingresos</t>
  </si>
  <si>
    <t>BAIT</t>
  </si>
  <si>
    <t>BAT</t>
  </si>
  <si>
    <t>BN</t>
  </si>
  <si>
    <t>Maquinaria</t>
  </si>
  <si>
    <t>Deuda préstamo</t>
  </si>
  <si>
    <t>Capital Social</t>
  </si>
  <si>
    <t>Previsión de ventas (año 1)</t>
  </si>
  <si>
    <t>Previsión de ventas (5 años)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</si>
  <si>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</si>
  <si>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</si>
  <si>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</si>
  <si>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</si>
  <si>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</si>
  <si>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</si>
  <si>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</si>
  <si>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</si>
  <si>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</si>
  <si>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</si>
  <si>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</si>
  <si>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</si>
  <si>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Sudadera Gildan 2400</t>
  </si>
  <si>
    <t>Gastos</t>
  </si>
  <si>
    <t>camisetas</t>
  </si>
  <si>
    <t>sudaderas</t>
  </si>
  <si>
    <t>serigrafia</t>
  </si>
  <si>
    <t>Banco</t>
  </si>
  <si>
    <t>Balance año 1</t>
  </si>
  <si>
    <t>Balance año 2</t>
  </si>
  <si>
    <t>Balance año 3</t>
  </si>
  <si>
    <t>Balance año 4</t>
  </si>
  <si>
    <t>Balance año 5</t>
  </si>
  <si>
    <t>Gasto de constitución</t>
  </si>
  <si>
    <t>BN acumulado</t>
  </si>
  <si>
    <t>R. Económica</t>
  </si>
  <si>
    <t>R. Financiera</t>
  </si>
  <si>
    <t>Apalancamiento</t>
  </si>
  <si>
    <t>Q0</t>
  </si>
  <si>
    <t>Apalancamiento
operativo</t>
  </si>
  <si>
    <t>Pulpo serigrafiado manual 
V-1000 4E/4C</t>
  </si>
  <si>
    <t>Envíos</t>
  </si>
  <si>
    <t>Balance inicial</t>
  </si>
  <si>
    <t>VAN</t>
  </si>
  <si>
    <t>-</t>
  </si>
  <si>
    <t>Deuda préstamo
(fondos ajenos)</t>
  </si>
  <si>
    <t>Capital Social
(fondos propios)</t>
  </si>
  <si>
    <t>Papel de acetato</t>
  </si>
  <si>
    <t>Costes totales (sin intereses)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</si>
</sst>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  <numFmt numFmtId="165" formatCode="#,##0.00\ &quot;€&quot;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Segoe UI"/>
    </font>
    <font>
      <b/>
      <sz val="14"/>
      <color theme="1"/>
      <name val="Calibri"/>
      <family val="2"/>
      <scheme val="minor"/>
    </font>
    <font>
      <sz val="1"/>
      <color indexed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0" fillId="0" borderId="0" xfId="0" applyNumberFormat="1"/>
    <xf numFmtId="44" fontId="0" fillId="0" borderId="0" xfId="1" applyFont="1"/>
    <xf numFmtId="44" fontId="1" fillId="0" borderId="0" xfId="1" applyFont="1" applyAlignment="1">
      <alignment horizontal="center"/>
    </xf>
    <xf numFmtId="44" fontId="0" fillId="0" borderId="0" xfId="0" applyNumberForma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" fontId="5" fillId="3" borderId="0" xfId="3" applyNumberFormat="1"/>
    <xf numFmtId="0" fontId="5" fillId="3" borderId="0" xfId="3"/>
    <xf numFmtId="164" fontId="5" fillId="3" borderId="0" xfId="3" applyNumberFormat="1"/>
    <xf numFmtId="44" fontId="5" fillId="3" borderId="0" xfId="3" applyNumberFormat="1"/>
    <xf numFmtId="0" fontId="5" fillId="3" borderId="0" xfId="3" applyAlignment="1">
      <alignment wrapText="1"/>
    </xf>
    <xf numFmtId="44" fontId="4" fillId="2" borderId="0" xfId="2" applyNumberFormat="1" applyAlignment="1">
      <alignment horizontal="center"/>
    </xf>
    <xf numFmtId="44" fontId="4" fillId="2" borderId="0" xfId="2" applyNumberFormat="1"/>
    <xf numFmtId="0" fontId="10" fillId="0" borderId="0" xfId="4"/>
    <xf numFmtId="0" fontId="5" fillId="3" borderId="1" xfId="3" applyBorder="1"/>
    <xf numFmtId="10" fontId="0" fillId="0" borderId="0" xfId="0" applyNumberFormat="1"/>
    <xf numFmtId="2" fontId="0" fillId="0" borderId="0" xfId="0" applyNumberFormat="1"/>
    <xf numFmtId="165" fontId="10" fillId="0" borderId="0" xfId="4" applyNumberFormat="1"/>
    <xf numFmtId="44" fontId="11" fillId="0" borderId="0" xfId="1" applyFont="1" applyAlignment="1">
      <alignment horizontal="center"/>
    </xf>
    <xf numFmtId="8" fontId="0" fillId="0" borderId="0" xfId="0" applyNumberFormat="1"/>
    <xf numFmtId="166" fontId="0" fillId="0" borderId="0" xfId="0" applyNumberFormat="1"/>
    <xf numFmtId="9" fontId="11" fillId="0" borderId="0" xfId="1" applyNumberFormat="1" applyFont="1" applyAlignment="1">
      <alignment horizontal="center"/>
    </xf>
    <xf numFmtId="44" fontId="5" fillId="3" borderId="1" xfId="3" applyNumberFormat="1" applyBorder="1"/>
    <xf numFmtId="0" fontId="0" fillId="4" borderId="2" xfId="0" applyFill="1" applyBorder="1" applyAlignment="1">
      <alignment wrapText="1"/>
    </xf>
    <xf numFmtId="44" fontId="0" fillId="4" borderId="2" xfId="1" applyFont="1" applyFill="1" applyBorder="1"/>
    <xf numFmtId="0" fontId="0" fillId="0" borderId="2" xfId="0" applyBorder="1" applyAlignment="1">
      <alignment wrapText="1"/>
    </xf>
    <xf numFmtId="44" fontId="0" fillId="0" borderId="2" xfId="1" applyFont="1" applyBorder="1"/>
    <xf numFmtId="165" fontId="0" fillId="4" borderId="2" xfId="0" applyNumberFormat="1" applyFill="1" applyBorder="1" applyAlignment="1">
      <alignment wrapText="1"/>
    </xf>
    <xf numFmtId="165" fontId="0" fillId="0" borderId="2" xfId="0" applyNumberFormat="1" applyBorder="1" applyAlignment="1">
      <alignment wrapText="1"/>
    </xf>
    <xf numFmtId="165" fontId="0" fillId="0" borderId="0" xfId="1" applyNumberFormat="1" applyFont="1"/>
    <xf numFmtId="0" fontId="12" fillId="0" borderId="0" xfId="0" applyFont="1"/>
    <xf numFmtId="165" fontId="0" fillId="0" borderId="2" xfId="1" applyNumberFormat="1" applyFont="1" applyBorder="1"/>
    <xf numFmtId="165" fontId="0" fillId="4" borderId="2" xfId="1" applyNumberFormat="1" applyFont="1" applyFill="1" applyBorder="1"/>
    <xf numFmtId="0" fontId="5" fillId="3" borderId="2" xfId="3" applyBorder="1" applyAlignment="1">
      <alignment wrapText="1"/>
    </xf>
    <xf numFmtId="44" fontId="5" fillId="3" borderId="2" xfId="3" applyNumberFormat="1" applyBorder="1"/>
    <xf numFmtId="165" fontId="5" fillId="3" borderId="2" xfId="3" applyNumberFormat="1" applyBorder="1" applyAlignment="1">
      <alignment wrapText="1"/>
    </xf>
    <xf numFmtId="165" fontId="5" fillId="3" borderId="2" xfId="3" applyNumberFormat="1" applyBorder="1"/>
    <xf numFmtId="44" fontId="0" fillId="4" borderId="2" xfId="1" applyFont="1" applyFill="1" applyBorder="1" applyAlignment="1">
      <alignment wrapText="1"/>
    </xf>
    <xf numFmtId="44" fontId="0" fillId="0" borderId="2" xfId="1" applyFont="1" applyBorder="1" applyAlignment="1">
      <alignment wrapText="1"/>
    </xf>
    <xf numFmtId="44" fontId="13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165" fontId="6" fillId="0" borderId="0" xfId="1" applyNumberFormat="1" applyFont="1" applyAlignment="1">
      <alignment horizontal="center" vertical="center"/>
    </xf>
    <xf numFmtId="44" fontId="9" fillId="0" borderId="0" xfId="1" applyFont="1" applyAlignment="1">
      <alignment horizontal="center"/>
    </xf>
  </cellXfs>
  <cellStyles count="5">
    <cellStyle name="Bueno" xfId="2" builtinId="26"/>
    <cellStyle name="Énfasis3" xfId="3" builtinId="37"/>
    <cellStyle name="Moneda" xfId="1" builtinId="4"/>
    <cellStyle name="Normal" xfId="0" builtinId="0"/>
    <cellStyle name="Texto explicativo" xfId="4" builtinId="53"/>
  </cellStyles>
  <dxfs count="81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previstas año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Hoja1!$I$3</c:f>
              <c:strCache>
                <c:ptCount val="1"/>
                <c:pt idx="0">
                  <c:v>Camisetas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Hoja1!$J$3:$U$3</c:f>
              <c:numCache>
                <c:formatCode>0</c:formatCode>
                <c:ptCount val="12"/>
                <c:pt idx="0">
                  <c:v>329.47200000000004</c:v>
                </c:pt>
                <c:pt idx="1">
                  <c:v>380.72320000000008</c:v>
                </c:pt>
                <c:pt idx="2">
                  <c:v>428.31360000000012</c:v>
                </c:pt>
                <c:pt idx="3">
                  <c:v>499.69920000000008</c:v>
                </c:pt>
                <c:pt idx="4">
                  <c:v>618.67520000000013</c:v>
                </c:pt>
                <c:pt idx="5">
                  <c:v>761.44640000000015</c:v>
                </c:pt>
                <c:pt idx="6">
                  <c:v>809.03680000000008</c:v>
                </c:pt>
                <c:pt idx="7">
                  <c:v>951.80800000000011</c:v>
                </c:pt>
                <c:pt idx="8">
                  <c:v>1665.6640000000002</c:v>
                </c:pt>
                <c:pt idx="9">
                  <c:v>333.13280000000003</c:v>
                </c:pt>
                <c:pt idx="10">
                  <c:v>285.54240000000004</c:v>
                </c:pt>
                <c:pt idx="11">
                  <c:v>475.90400000000005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6-4072-A2F8-56A1E46B99D1}"/>
            </c:ext>
          </c:extLst>
        </c:ser>
        <c:ser>
          <c:idx val="2"/>
          <c:order val="1"/>
          <c:tx>
            <c:strRef>
              <c:f>Hoja1!$I$4</c:f>
              <c:strCache>
                <c:ptCount val="1"/>
                <c:pt idx="0">
                  <c:v>Sudaderas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Hoja1!$J$4:$U$4</c:f>
              <c:numCache>
                <c:formatCode>0</c:formatCode>
                <c:ptCount val="12"/>
                <c:pt idx="0">
                  <c:v>741.95264000000032</c:v>
                </c:pt>
                <c:pt idx="1">
                  <c:v>642.28736000000015</c:v>
                </c:pt>
                <c:pt idx="2">
                  <c:v>454.03072000000009</c:v>
                </c:pt>
                <c:pt idx="3">
                  <c:v>387.58720000000005</c:v>
                </c:pt>
                <c:pt idx="4">
                  <c:v>66.443520000000021</c:v>
                </c:pt>
                <c:pt idx="5">
                  <c:v>44.295680000000011</c:v>
                </c:pt>
                <c:pt idx="6">
                  <c:v>38.758720000000011</c:v>
                </c:pt>
                <c:pt idx="7">
                  <c:v>99.665280000000024</c:v>
                </c:pt>
                <c:pt idx="8">
                  <c:v>409.73504000000008</c:v>
                </c:pt>
                <c:pt idx="9">
                  <c:v>564.76992000000018</c:v>
                </c:pt>
                <c:pt idx="10">
                  <c:v>553.69600000000014</c:v>
                </c:pt>
                <c:pt idx="11">
                  <c:v>664.43520000000012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6-4072-A2F8-56A1E46B99D1}"/>
            </c:ext>
          </c:extLst>
        </c:ser>
        <c:ser>
          <c:idx val="3"/>
          <c:order val="2"/>
          <c:tx>
            <c:strRef>
              <c:f>Hoja1!$I$5</c:f>
              <c:strCache>
                <c:ptCount val="1"/>
                <c:pt idx="0">
                  <c:v>Solo serigrafía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Hoja1!$J$5:$U$5</c:f>
              <c:numCache>
                <c:formatCode>0</c:formatCode>
                <c:ptCount val="12"/>
                <c:pt idx="0">
                  <c:v>189.44640000000001</c:v>
                </c:pt>
                <c:pt idx="1">
                  <c:v>172.97280000000001</c:v>
                </c:pt>
                <c:pt idx="2">
                  <c:v>156.49920000000003</c:v>
                </c:pt>
                <c:pt idx="3">
                  <c:v>193.56480000000002</c:v>
                </c:pt>
                <c:pt idx="4">
                  <c:v>172.97280000000001</c:v>
                </c:pt>
                <c:pt idx="5">
                  <c:v>222.39360000000005</c:v>
                </c:pt>
                <c:pt idx="6">
                  <c:v>197.68320000000003</c:v>
                </c:pt>
                <c:pt idx="7">
                  <c:v>238.86720000000003</c:v>
                </c:pt>
                <c:pt idx="8">
                  <c:v>312.99840000000006</c:v>
                </c:pt>
                <c:pt idx="9">
                  <c:v>131.78880000000001</c:v>
                </c:pt>
                <c:pt idx="10">
                  <c:v>156.49920000000003</c:v>
                </c:pt>
                <c:pt idx="11">
                  <c:v>164.73600000000002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26-4072-A2F8-56A1E46B9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785728"/>
        <c:axId val="559376720"/>
      </c:lineChart>
      <c:catAx>
        <c:axId val="893785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376720"/>
        <c:crosses val="autoZero"/>
        <c:auto val="1"/>
        <c:lblAlgn val="ctr"/>
        <c:lblOffset val="100"/>
        <c:noMultiLvlLbl val="0"/>
      </c:catAx>
      <c:valAx>
        <c:axId val="5593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378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498661</xdr:colOff>
      <xdr:row>8</xdr:row>
      <xdr:rowOff>180415</xdr:rowOff>
    </xdr:from>
    <xdr:to>
      <xdr:col>22</xdr:col>
      <xdr:colOff>319366</xdr:colOff>
      <xdr:row>21</xdr:row>
      <xdr:rowOff>178174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06DE93-35A7-B8CE-A7F9-656B393A8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2B0E1-1728-4CDB-A263-598DDBD6DFD5}" name="Tabla3" displayName="Tabla3" ref="A2:G11" totalsRowShown="0">
  <autoFilter ref="A2:G11" xr:uid="{CCC2B0E1-1728-4CDB-A263-598DDBD6DFD5}"/>
  <tableColumns count="7">
    <tableColumn id="1" xr3:uid="{302CEAF3-CAAA-4652-93CC-4624AA9C621E}" name="Objeto"/>
    <tableColumn id="2" xr3:uid="{FAA21756-4B2A-4B66-94A1-57415C1B9A42}" name="Cuantía mensual" dataDxfId="80" dataCellStyle="Texto explicativo"/>
    <tableColumn id="3" xr3:uid="{7E750C4A-25CD-41A3-A81B-19A31C5CD80A}" name="Cuantía año 1" dataDxfId="79"/>
    <tableColumn id="4" xr3:uid="{59207763-19D5-4CE5-ACCD-97A60BE7AF94}" name="Cuantía año 2" dataDxfId="78"/>
    <tableColumn id="5" xr3:uid="{83D05817-E36E-444E-8270-8852C4A8AE17}" name="Cuantía año 3" dataDxfId="77"/>
    <tableColumn id="6" xr3:uid="{22E4B794-A69E-4A84-9DBF-B64FB9E4413A}" name="Cuantía año 4" dataDxfId="76"/>
    <tableColumn id="7" xr3:uid="{4726288B-21AE-4514-A5CB-E82ECDC1DAF7}" name="Cuantía año 5" dataDxfId="75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0945DA-23EC-49CD-82DE-977D6FD8FC39}" name="Tabla6" displayName="Tabla6" ref="A14:F25" totalsRowShown="0" dataDxfId="74" dataCellStyle="Moneda">
  <autoFilter ref="A14:F25" xr:uid="{250945DA-23EC-49CD-82DE-977D6FD8FC39}"/>
  <tableColumns count="6">
    <tableColumn id="1" xr3:uid="{0BF22662-9EE9-4774-BA15-B2AF30399630}" name="Objeto"/>
    <tableColumn id="2" xr3:uid="{348B4ACF-071F-41AD-8B4F-035627718533}" name="Año 1" dataDxfId="73" dataCellStyle="Moneda"/>
    <tableColumn id="3" xr3:uid="{7CDDC7DF-F168-4228-AEEE-129AA0052CCB}" name="Año 2" dataDxfId="72" dataCellStyle="Moneda"/>
    <tableColumn id="4" xr3:uid="{9F2CB32C-7F92-4714-BA91-6794DBC33EA6}" name="Año 3" dataDxfId="71" dataCellStyle="Moneda"/>
    <tableColumn id="5" xr3:uid="{99BC194E-AC79-4E45-A3C4-8BE849BB706D}" name="Año 4" dataDxfId="70" dataCellStyle="Moneda"/>
    <tableColumn id="6" xr3:uid="{9395756D-3F0D-4A7B-8856-12090A6C4F4E}" name="Año 5" dataDxfId="69" dataCellStyle="Moneda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447576-2076-47DF-9DD1-ABE44F117E10}" name="Tabla7" displayName="Tabla7" ref="I2:V5" totalsRowShown="0">
  <autoFilter ref="I2:V5" xr:uid="{3B447576-2076-47DF-9DD1-ABE44F117E10}"/>
  <tableColumns count="14">
    <tableColumn id="1" xr3:uid="{8D51E1F1-C6A5-41D2-9215-B7DC93707415}" name="Periodo (mes)"/>
    <tableColumn id="2" xr3:uid="{5F6824CE-015A-455E-A5B4-7017CD49E164}" name="1" dataDxfId="68"/>
    <tableColumn id="3" xr3:uid="{3DA66A90-CFF8-4A7C-9E06-66F7C7AAEF24}" name="2" dataDxfId="67"/>
    <tableColumn id="4" xr3:uid="{55914515-9B80-43F6-962F-44FD1CD1C2F8}" name="3" dataDxfId="66"/>
    <tableColumn id="5" xr3:uid="{BD2DEF71-DD9C-4ED5-8BAE-C71C5905833F}" name="4" dataDxfId="65"/>
    <tableColumn id="6" xr3:uid="{1E3C1A57-0780-4752-9618-AB2FDCEBF694}" name="5" dataDxfId="64"/>
    <tableColumn id="7" xr3:uid="{3F17C291-90E1-4423-A791-1E38E3A615D2}" name="6" dataDxfId="63"/>
    <tableColumn id="8" xr3:uid="{B2D6822B-AA5B-4A5F-9CAA-1E5B50CBB7E7}" name="7" dataDxfId="62"/>
    <tableColumn id="9" xr3:uid="{29DE4764-FE71-4618-9F7B-916C1FFFBD08}" name="8" dataDxfId="61"/>
    <tableColumn id="10" xr3:uid="{1B19044F-BD1F-46D3-8B9D-6EBAC33293E9}" name="9" dataDxfId="60"/>
    <tableColumn id="11" xr3:uid="{AE31F8E5-B98D-4766-BFEC-1A0D5290CD0D}" name="10" dataDxfId="59"/>
    <tableColumn id="12" xr3:uid="{DA74E61B-0854-4800-A622-77272F693C3F}" name="11" dataDxfId="58"/>
    <tableColumn id="13" xr3:uid="{9B9A891D-FBFD-45C7-AF02-34A7DEEEAEF9}" name="12" dataDxfId="57"/>
    <tableColumn id="14" xr3:uid="{83992D09-ABDA-4DE4-ABA1-82B7049EFAB1}" name="Total" dataDxfId="56" dataCellStyle="Énfasis3">
      <calculatedColumnFormula>SUM(J3:U3)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07C5C7-7906-430D-9B84-6513377B89CB}" name="Tabla8" displayName="Tabla8" ref="A28:B40" totalsRowShown="0">
  <autoFilter ref="A28:B40" xr:uid="{D007C5C7-7906-430D-9B84-6513377B89CB}"/>
  <tableColumns count="2">
    <tableColumn id="1" xr3:uid="{BC5E0853-56E8-4465-843D-CCB7B32E3941}" name="Objeto" dataDxfId="55"/>
    <tableColumn id="2" xr3:uid="{601B8AD8-B01D-4DDF-82A8-B2891D82B688}" name="Precio" dataDxfId="54" dataCellStyle="Moneda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742776-AD9E-4F79-A3E6-140EC03FA193}" name="Tabla9" displayName="Tabla9" ref="A43:B48" totalsRowShown="0">
  <autoFilter ref="A43:B48" xr:uid="{90742776-AD9E-4F79-A3E6-140EC03FA193}"/>
  <tableColumns count="2">
    <tableColumn id="1" xr3:uid="{3551533C-3BEA-43B6-BB65-0870FD893E08}" name="Fuente"/>
    <tableColumn id="2" xr3:uid="{473369EE-C9E3-480C-8785-3912D46C06D3}" name="Aporte" dataDxfId="53" dataCellStyle="Moneda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86B505-8E8F-41A5-8D6B-CD7049444214}" name="Tabla10" displayName="Tabla10" ref="A52:E112" totalsRowShown="0" headerRowDxfId="52" dataDxfId="51" dataCellStyle="Moneda">
  <autoFilter ref="A52:E112" xr:uid="{AC86B505-8E8F-41A5-8D6B-CD7049444214}"/>
  <tableColumns count="5">
    <tableColumn id="1" xr3:uid="{70A2F80B-973D-4A4C-8EBE-0465FD95F396}" name="Periodo (mes)" dataDxfId="50"/>
    <tableColumn id="2" xr3:uid="{CE88A82C-EFAC-4F3F-9C17-84983EE7F1D8}" name="Cuota total" dataDxfId="49" dataCellStyle="Moneda"/>
    <tableColumn id="3" xr3:uid="{5365F5BE-221C-48B1-A73C-40C3CCC94FAD}" name="Principal" dataDxfId="48" dataCellStyle="Moneda"/>
    <tableColumn id="4" xr3:uid="{B65CB7A8-8E76-4636-AC9C-68C57A1373A6}" name="Intereses" dataDxfId="47" dataCellStyle="Moneda"/>
    <tableColumn id="5" xr3:uid="{D05A827A-25CE-4694-8018-7A0A32C29805}" name="Principal_x000a_pendiente" dataDxfId="46" dataCellStyle="Moneda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B8FE97-AC11-4523-99D6-EEE801EAF6FC}" name="Tabla11" displayName="Tabla11" ref="G50:K55" totalsRowShown="0" headerRowDxfId="45" dataDxfId="44" dataCellStyle="Moneda">
  <autoFilter ref="G50:K55" xr:uid="{09B8FE97-AC11-4523-99D6-EEE801EAF6FC}"/>
  <tableColumns count="5">
    <tableColumn id="1" xr3:uid="{F435DE4F-5D92-4BD3-B481-16AF04C3EA3E}" name="Periodo (año)" dataDxfId="43"/>
    <tableColumn id="2" xr3:uid="{5FF31304-C17B-46F2-A62C-855BD6723244}" name="Cuota total" dataDxfId="42" dataCellStyle="Moneda">
      <calculatedColumnFormula>B53*12</calculatedColumnFormula>
    </tableColumn>
    <tableColumn id="3" xr3:uid="{945C955A-BC2A-452A-BE61-288FEB3B2FAA}" name="Principal" dataDxfId="41" dataCellStyle="Moneda"/>
    <tableColumn id="4" xr3:uid="{331DFC3D-316C-4692-AFEC-4BB35ECAE0B8}" name="Intereses" dataDxfId="40" dataCellStyle="Moneda"/>
    <tableColumn id="5" xr3:uid="{EE521726-D2E8-47E5-ADAB-A065B0E68747}" name="Principal _x000a_pendiente" dataDxfId="39" dataCellStyle="Moneda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625D87-9573-4279-8AF3-303D61591460}" name="Tabla12" displayName="Tabla12" ref="G60:L65" totalsRowShown="0" headerRowDxfId="38" headerRowCellStyle="Moneda">
  <autoFilter ref="G60:L65" xr:uid="{C3625D87-9573-4279-8AF3-303D61591460}"/>
  <tableColumns count="6">
    <tableColumn id="1" xr3:uid="{7A53D584-C08A-42A4-8DFB-0534AB007207}" name="-" dataDxfId="37" dataCellStyle="Moneda"/>
    <tableColumn id="2" xr3:uid="{47E3A243-0448-4FA4-A7D6-ACEDD4E00B49}" name="Año 1" dataDxfId="36"/>
    <tableColumn id="3" xr3:uid="{6AB707DF-CB71-4F69-8729-24770A537B75}" name="Año 2" dataDxfId="35"/>
    <tableColumn id="4" xr3:uid="{C78F523A-3536-449E-8BBF-56B1722A9172}" name="Año 3" dataDxfId="34"/>
    <tableColumn id="5" xr3:uid="{7AB28E1C-CB76-4625-B93C-E479F556BD97}" name="Año 4" dataDxfId="33"/>
    <tableColumn id="6" xr3:uid="{64887048-21D5-4A2F-B69D-6E0DC9F4B353}" name="Año 5" dataDxfId="32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5B41004-4AAE-4483-BB57-72F2CC93E898}" name="Tabla13" displayName="Tabla13" ref="I10:N13" totalsRowShown="0">
  <autoFilter ref="I10:N13" xr:uid="{D5B41004-4AAE-4483-BB57-72F2CC93E898}"/>
  <tableColumns count="6">
    <tableColumn id="1" xr3:uid="{CE9D4660-8412-4191-AA74-3026CBFAEEFB}" name="Periodo (año)"/>
    <tableColumn id="2" xr3:uid="{BA75D544-297D-4191-BD3D-93600B88C74E}" name="1" dataDxfId="31">
      <calculatedColumnFormula>V3</calculatedColumnFormula>
    </tableColumn>
    <tableColumn id="3" xr3:uid="{79E2EFD1-D944-468F-8620-FD5DEC786471}" name="2" dataDxfId="30">
      <calculatedColumnFormula>J11*1.06</calculatedColumnFormula>
    </tableColumn>
    <tableColumn id="4" xr3:uid="{F278A090-4BE6-43A8-AC51-F0FD2DE72EB8}" name="3" dataDxfId="29">
      <calculatedColumnFormula>K11*1.08</calculatedColumnFormula>
    </tableColumn>
    <tableColumn id="5" xr3:uid="{58D7DCC0-DC65-45F8-ACB4-7B30E908F616}" name="4" dataDxfId="28">
      <calculatedColumnFormula>L11*1.12</calculatedColumnFormula>
    </tableColumn>
    <tableColumn id="6" xr3:uid="{D6D91C19-30C2-4DAA-9AFF-BB49833A1BBD}" name="5" dataDxfId="27">
      <calculatedColumnFormula>M11*1.14</calculatedColumnFormula>
    </tableColumn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9AC947-69CA-4431-B9A3-A333801C1528}" name="Tabla14" displayName="Tabla14" ref="I17:M18" totalsRowShown="0">
  <autoFilter ref="I17:M18" xr:uid="{B29AC947-69CA-4431-B9A3-A333801C1528}"/>
  <tableColumns count="5">
    <tableColumn id="1" xr3:uid="{CEB380D3-7A60-4A1A-A4DB-3E208FD04763}" name="Año 1" dataDxfId="26">
      <calculatedColumnFormula>C11+B25-J51</calculatedColumnFormula>
    </tableColumn>
    <tableColumn id="2" xr3:uid="{FE1B141A-5FB5-4E16-B93C-524343A75D51}" name="Año 2" dataDxfId="25">
      <calculatedColumnFormula>D11+C25-J52</calculatedColumnFormula>
    </tableColumn>
    <tableColumn id="3" xr3:uid="{77B6D9FE-6CD5-4368-A23F-BAE889C40D09}" name="Año 3" dataDxfId="24">
      <calculatedColumnFormula>E11+D25-J53</calculatedColumnFormula>
    </tableColumn>
    <tableColumn id="4" xr3:uid="{979F7AEF-934D-47EF-A4F5-67149BB976FB}" name="Año 4" dataDxfId="23">
      <calculatedColumnFormula>F11+E25-J54</calculatedColumnFormula>
    </tableColumn>
    <tableColumn id="5" xr3:uid="{D0DCD178-C00E-4CB2-8E05-84596C1B2AC2}" name="Año 5" dataDxfId="22">
      <calculatedColumnFormula>G11+F25-J55</calculatedColumnFormula>
    </tableColumn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A6B044-3033-4B27-B83A-3B3EDFAFD38F}" name="Tabla15" displayName="Tabla15" ref="I23:N27" totalsRowShown="0" dataDxfId="21" dataCellStyle="Moneda">
  <autoFilter ref="I23:N27" xr:uid="{D9A6B044-3033-4B27-B83A-3B3EDFAFD38F}"/>
  <tableColumns count="6">
    <tableColumn id="1" xr3:uid="{7B4B533A-B212-46F0-B4C5-D2176C8C90B2}" name="Producto"/>
    <tableColumn id="2" xr3:uid="{8248BAB1-FFF0-42B3-A140-7597EADDADDF}" name="Año 1" dataDxfId="20" dataCellStyle="Moneda"/>
    <tableColumn id="3" xr3:uid="{44AF4253-5D69-44B3-BD08-7C2D616DFAF3}" name="Año 2" dataDxfId="19" dataCellStyle="Moneda"/>
    <tableColumn id="4" xr3:uid="{5B7BAD6B-9DF4-4723-9821-633D86A87FBF}" name="Año 3" dataDxfId="18" dataCellStyle="Moneda"/>
    <tableColumn id="5" xr3:uid="{78BB56AE-1574-484E-9254-987837111EA7}" name="Año 4" dataDxfId="17" dataCellStyle="Moneda"/>
    <tableColumn id="6" xr3:uid="{8A31E8C7-5B6D-496F-B08D-18E9D20291FF}" name="Año 5" dataDxfId="16" dataCellStyle="Moneda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47B8CEB-8F72-4647-AF5F-09427068EC64}" name="Tabla20" displayName="Tabla20" ref="Q26:S29" totalsRowShown="0">
  <autoFilter ref="Q26:S29" xr:uid="{E47B8CEB-8F72-4647-AF5F-09427068EC64}"/>
  <tableColumns count="3">
    <tableColumn id="1" xr3:uid="{9EEF2B6C-3273-4688-8B4B-BBE953E7415A}" name="Año 1"/>
    <tableColumn id="2" xr3:uid="{DD01F2F0-FC10-4DD7-9BCC-DFB335002A6A}" name="Q0" dataDxfId="15"/>
    <tableColumn id="3" xr3:uid="{5D5A0E27-38AA-45A2-9113-5417A21EF690}" name="Apalancamiento_x000a_operativo" dataDxfId="14">
      <calculatedColumnFormula>$J11/($J11-$R27)</calculatedColumnFormula>
    </tableColumn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25EB7-C1E0-4AD6-B98B-FB5133BB5E7A}" name="Tabla2" displayName="Tabla2" ref="Y26:AA29" totalsRowShown="0">
  <autoFilter ref="Y26:AA29" xr:uid="{64C25EB7-C1E0-4AD6-B98B-FB5133BB5E7A}"/>
  <tableColumns count="3">
    <tableColumn id="1" xr3:uid="{D15762D3-E9FF-4E36-8E6A-7C9544499B5C}" name="Año 3"/>
    <tableColumn id="2" xr3:uid="{4D21C1E5-F72D-464E-BEC3-D87668BAB295}" name="Q0" dataDxfId="13">
      <calculatedColumnFormula>($E$11)/(9-($J$29+$J$30+$J$31+$J$32))*$L24/$L$27</calculatedColumnFormula>
    </tableColumn>
    <tableColumn id="3" xr3:uid="{FE052BA2-7EF1-4D74-8133-E723BE63F523}" name="Apalancamiento_x000a_operativo" dataDxfId="12">
      <calculatedColumnFormula>$L11/($L11-$Z27)</calculatedColumnFormula>
    </tableColumn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B7A233-879B-482D-A2D2-6645A6FDB978}" name="Tabla4" displayName="Tabla4" ref="U26:W29" totalsRowShown="0">
  <autoFilter ref="U26:W29" xr:uid="{41B7A233-879B-482D-A2D2-6645A6FDB978}"/>
  <tableColumns count="3">
    <tableColumn id="1" xr3:uid="{A31F90FA-84B9-45E6-8BBD-6C271641215B}" name="Año 2"/>
    <tableColumn id="2" xr3:uid="{CFC91FA5-5B16-487D-A176-7786ACD21A41}" name="Q0" dataDxfId="11"/>
    <tableColumn id="3" xr3:uid="{DAFE4E8D-5496-47BE-B678-FF6BDEF44A45}" name="Apalancamiento_x000a_operativo" dataDxfId="10">
      <calculatedColumnFormula>$K11/($K11-$V27)</calculatedColumnFormula>
    </tableColumn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63FF1D-BE9B-49F9-B827-A4140EC90F4C}" name="Tabla5" displayName="Tabla5" ref="AC26:AE29" totalsRowShown="0">
  <autoFilter ref="AC26:AE29" xr:uid="{5A63FF1D-BE9B-49F9-B827-A4140EC90F4C}"/>
  <tableColumns count="3">
    <tableColumn id="1" xr3:uid="{7063C8AC-C666-4A48-9AC7-97E20CE73CA8}" name="Año 4"/>
    <tableColumn id="2" xr3:uid="{28B89DBA-2697-4B6C-8035-FA54C149ED81}" name="Q0" dataDxfId="9">
      <calculatedColumnFormula>($F$11)/(9-($J$29+$J$30+$J$31+$J$32))*$M24/$M$27</calculatedColumnFormula>
    </tableColumn>
    <tableColumn id="3" xr3:uid="{48F7CA74-609C-4F84-9703-BE0E9E786759}" name="Apalancamiento_x000a_operativo" dataDxfId="8">
      <calculatedColumnFormula>$M11/($M11-$AD27)</calculatedColumnFormula>
    </tableColumn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E6F0FD4-85C9-4441-ACBE-82FD9FE152E4}" name="Tabla16" displayName="Tabla16" ref="AG26:AI29" totalsRowShown="0">
  <autoFilter ref="AG26:AI29" xr:uid="{4E6F0FD4-85C9-4441-ACBE-82FD9FE152E4}"/>
  <tableColumns count="3">
    <tableColumn id="1" xr3:uid="{3B8DDE99-CE1D-4893-A0BC-C7EF49331D92}" name="Año 5"/>
    <tableColumn id="2" xr3:uid="{E218ADC7-F0D8-4D14-8518-A31430726F54}" name="Q0" dataDxfId="7">
      <calculatedColumnFormula>($G$11)/(9-($J$29+$J$30+$J$31+$J$32))*$N24/$N$27</calculatedColumnFormula>
    </tableColumn>
    <tableColumn id="3" xr3:uid="{327F5AC6-5463-48B3-840F-20E717E0C7C2}" name="Apalancamiento_x000a_operativo" dataDxfId="6">
      <calculatedColumnFormula>$N11/($N11-$AH27)</calculatedColumnFormula>
    </tableColumn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38D6EB0-7046-416C-B875-D75CF43D4FF6}" name="Tabla22" displayName="Tabla22" ref="G68:L71" totalsRowShown="0">
  <autoFilter ref="G68:L71" xr:uid="{F38D6EB0-7046-416C-B875-D75CF43D4FF6}"/>
  <tableColumns count="6">
    <tableColumn id="1" xr3:uid="{C30BECDF-4DDA-46F7-BA78-FF2E16A5D57C}" name="-" dataDxfId="5" dataCellStyle="Moneda"/>
    <tableColumn id="2" xr3:uid="{4CA72208-AEB4-424B-BA37-40524E851BA4}" name="Año 1" dataDxfId="4"/>
    <tableColumn id="3" xr3:uid="{9A0828A9-47E1-4EF9-BBC7-74AE8A3984C3}" name="Año 2" dataDxfId="3"/>
    <tableColumn id="4" xr3:uid="{CF4D8A72-C25B-4579-B2E3-AC60B8C17185}" name="Año 3" dataDxfId="2"/>
    <tableColumn id="5" xr3:uid="{228445E1-7B6B-47F1-9830-52D4FCAD6332}" name="Año 4" dataDxfId="1"/>
    <tableColumn id="6" xr3:uid="{B6CBE9A9-56FD-4CC6-B2B2-FAF8098A7009}" name="Año 5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2"/>
  <sheetViews>
    <sheetView tabSelected="1" topLeftCell="N76" zoomScale="103" zoomScaleNormal="190" workbookViewId="0">
      <selection activeCell="S60" sqref="S60"/>
    </sheetView>
  </sheetViews>
  <sheetFormatPr baseColWidth="10" defaultColWidth="8.81640625" defaultRowHeight="14.5" x14ac:dyDescent="0.35"/>
  <cols>
    <col min="1" max="1" width="26.1796875" customWidth="1"/>
    <col min="2" max="2" width="19.7265625" customWidth="1"/>
    <col min="3" max="3" width="18.81640625" customWidth="1"/>
    <col min="4" max="6" width="15.54296875" customWidth="1"/>
    <col min="7" max="7" width="16.453125" customWidth="1"/>
    <col min="8" max="8" width="18.54296875" customWidth="1"/>
    <col min="9" max="9" width="22.453125" customWidth="1"/>
    <col min="10" max="10" width="17.81640625" customWidth="1"/>
    <col min="11" max="11" width="17.54296875" customWidth="1"/>
    <col min="12" max="12" width="15" customWidth="1"/>
    <col min="13" max="14" width="15.26953125" customWidth="1"/>
    <col min="15" max="15" width="12.453125" customWidth="1"/>
    <col min="16" max="16" width="8.54296875" customWidth="1"/>
    <col min="17" max="17" width="13.26953125" customWidth="1"/>
    <col min="18" max="18" width="17.54296875" customWidth="1"/>
    <col min="19" max="19" width="16.54296875" customWidth="1"/>
    <col min="20" max="20" width="21" customWidth="1"/>
    <col min="21" max="21" width="13.26953125" customWidth="1"/>
    <col min="22" max="22" width="14.26953125" customWidth="1"/>
    <col min="23" max="23" width="16.54296875" customWidth="1"/>
    <col min="25" max="25" width="13.26953125" customWidth="1"/>
    <col min="26" max="26" width="14.26953125" customWidth="1"/>
    <col min="27" max="27" width="16.54296875" customWidth="1"/>
    <col min="29" max="29" width="13.26953125" customWidth="1"/>
    <col min="30" max="30" width="14.26953125" customWidth="1"/>
    <col min="31" max="31" width="16.54296875" customWidth="1"/>
    <col min="33" max="33" width="13.26953125" customWidth="1"/>
    <col min="34" max="34" width="14.26953125" customWidth="1"/>
    <col min="35" max="35" width="16.54296875" customWidth="1"/>
  </cols>
  <sheetData>
    <row r="1" spans="1:22" ht="21" x14ac:dyDescent="0.5">
      <c r="A1" s="46" t="s">
        <v>0</v>
      </c>
      <c r="B1" s="46"/>
      <c r="C1" s="46"/>
      <c r="D1" s="46"/>
      <c r="E1" s="46"/>
      <c r="F1" s="46"/>
      <c r="G1" s="46"/>
      <c r="I1" s="46" t="s">
        <v>79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2" x14ac:dyDescent="0.35">
      <c r="A2" t="s">
        <v>2</v>
      </c>
      <c r="B2" s="19" t="s">
        <v>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I2" t="s">
        <v>34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13</v>
      </c>
    </row>
    <row r="3" spans="1:22" x14ac:dyDescent="0.35">
      <c r="A3" t="s">
        <v>4</v>
      </c>
      <c r="B3" s="23">
        <v>520</v>
      </c>
      <c r="C3" s="5">
        <f>B3*12</f>
        <v>6240</v>
      </c>
      <c r="D3" s="5">
        <f>C3*1.035</f>
        <v>6458.4</v>
      </c>
      <c r="E3" s="5">
        <f t="shared" ref="E3:G3" si="0">D3*1.035</f>
        <v>6684.4439999999995</v>
      </c>
      <c r="F3" s="5">
        <f t="shared" si="0"/>
        <v>6918.3995399999985</v>
      </c>
      <c r="G3" s="5">
        <f t="shared" si="0"/>
        <v>7160.543523899998</v>
      </c>
      <c r="I3" t="s">
        <v>11</v>
      </c>
      <c r="J3" s="1">
        <v>329.47200000000004</v>
      </c>
      <c r="K3" s="1">
        <v>380.72320000000008</v>
      </c>
      <c r="L3" s="1">
        <v>428.31360000000012</v>
      </c>
      <c r="M3" s="1">
        <v>499.69920000000008</v>
      </c>
      <c r="N3" s="1">
        <v>618.67520000000013</v>
      </c>
      <c r="O3" s="1">
        <v>761.44640000000015</v>
      </c>
      <c r="P3" s="1">
        <v>809.03680000000008</v>
      </c>
      <c r="Q3" s="1">
        <v>951.80800000000011</v>
      </c>
      <c r="R3" s="1">
        <v>1665.6640000000002</v>
      </c>
      <c r="S3" s="1">
        <v>333.13280000000003</v>
      </c>
      <c r="T3" s="1">
        <v>285.54240000000004</v>
      </c>
      <c r="U3" s="1">
        <v>475.90400000000005</v>
      </c>
      <c r="V3" s="12">
        <f>SUM(J3:U3)</f>
        <v>7539.4176000000016</v>
      </c>
    </row>
    <row r="4" spans="1:22" x14ac:dyDescent="0.35">
      <c r="A4" t="s">
        <v>1</v>
      </c>
      <c r="B4" s="23">
        <f>1600*4</f>
        <v>6400</v>
      </c>
      <c r="C4" s="5">
        <f>B4*12</f>
        <v>76800</v>
      </c>
      <c r="D4" s="5">
        <f>C4*1.035</f>
        <v>79488</v>
      </c>
      <c r="E4" s="5">
        <f>D4*1.035</f>
        <v>82270.079999999987</v>
      </c>
      <c r="F4" s="5">
        <f>E4*1.035</f>
        <v>85149.532799999986</v>
      </c>
      <c r="G4" s="5">
        <f>F4*1.035</f>
        <v>88129.76644799998</v>
      </c>
      <c r="I4" t="s">
        <v>58</v>
      </c>
      <c r="J4" s="1">
        <v>741.95264000000032</v>
      </c>
      <c r="K4" s="1">
        <v>642.28736000000015</v>
      </c>
      <c r="L4" s="1">
        <v>454.03072000000009</v>
      </c>
      <c r="M4" s="1">
        <v>387.58720000000005</v>
      </c>
      <c r="N4" s="1">
        <v>66.443520000000021</v>
      </c>
      <c r="O4" s="1">
        <v>44.295680000000011</v>
      </c>
      <c r="P4" s="1">
        <v>38.758720000000011</v>
      </c>
      <c r="Q4" s="1">
        <v>99.665280000000024</v>
      </c>
      <c r="R4" s="1">
        <v>409.73504000000008</v>
      </c>
      <c r="S4" s="1">
        <v>564.76992000000018</v>
      </c>
      <c r="T4" s="1">
        <v>553.69600000000014</v>
      </c>
      <c r="U4" s="1">
        <v>664.43520000000012</v>
      </c>
      <c r="V4" s="12">
        <f>SUM(J4:U4)</f>
        <v>4667.6572800000004</v>
      </c>
    </row>
    <row r="5" spans="1:22" x14ac:dyDescent="0.35">
      <c r="A5" t="s">
        <v>5</v>
      </c>
      <c r="B5" s="23">
        <v>151</v>
      </c>
      <c r="C5" s="5">
        <f t="shared" ref="C5:C6" si="1">B5*12</f>
        <v>1812</v>
      </c>
      <c r="D5" s="5">
        <f t="shared" ref="D5:G8" si="2">C5*1.035</f>
        <v>1875.4199999999998</v>
      </c>
      <c r="E5" s="5">
        <f t="shared" si="2"/>
        <v>1941.0596999999998</v>
      </c>
      <c r="F5" s="5">
        <f t="shared" si="2"/>
        <v>2008.9967894999995</v>
      </c>
      <c r="G5" s="5">
        <f t="shared" si="2"/>
        <v>2079.3116771324994</v>
      </c>
      <c r="I5" t="s">
        <v>12</v>
      </c>
      <c r="J5" s="1">
        <v>189.44640000000001</v>
      </c>
      <c r="K5" s="1">
        <v>172.97280000000001</v>
      </c>
      <c r="L5" s="1">
        <v>156.49920000000003</v>
      </c>
      <c r="M5" s="1">
        <v>193.56480000000002</v>
      </c>
      <c r="N5" s="1">
        <v>172.97280000000001</v>
      </c>
      <c r="O5" s="1">
        <v>222.39360000000005</v>
      </c>
      <c r="P5" s="1">
        <v>197.68320000000003</v>
      </c>
      <c r="Q5" s="1">
        <v>238.86720000000003</v>
      </c>
      <c r="R5" s="1">
        <v>312.99840000000006</v>
      </c>
      <c r="S5" s="1">
        <v>131.78880000000001</v>
      </c>
      <c r="T5" s="1">
        <v>156.49920000000003</v>
      </c>
      <c r="U5" s="1">
        <v>164.73600000000002</v>
      </c>
      <c r="V5" s="12">
        <f>SUM(J5:U5)</f>
        <v>2310.4223999999999</v>
      </c>
    </row>
    <row r="6" spans="1:22" x14ac:dyDescent="0.35">
      <c r="A6" t="s">
        <v>6</v>
      </c>
      <c r="B6" s="23">
        <v>30</v>
      </c>
      <c r="C6" s="5">
        <f t="shared" si="1"/>
        <v>360</v>
      </c>
      <c r="D6" s="5">
        <f t="shared" si="2"/>
        <v>372.59999999999997</v>
      </c>
      <c r="E6" s="5">
        <f t="shared" si="2"/>
        <v>385.64099999999996</v>
      </c>
      <c r="F6" s="5">
        <f t="shared" si="2"/>
        <v>399.13843499999996</v>
      </c>
      <c r="G6" s="5">
        <f t="shared" si="2"/>
        <v>413.10828022499993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t="s">
        <v>8</v>
      </c>
      <c r="B7" s="23">
        <v>23</v>
      </c>
      <c r="C7" s="5">
        <f>B7*12</f>
        <v>276</v>
      </c>
      <c r="D7" s="5">
        <f t="shared" si="2"/>
        <v>285.65999999999997</v>
      </c>
      <c r="E7" s="5">
        <f t="shared" si="2"/>
        <v>295.65809999999993</v>
      </c>
      <c r="F7" s="5">
        <f t="shared" si="2"/>
        <v>306.00613349999992</v>
      </c>
      <c r="G7" s="5">
        <f t="shared" si="2"/>
        <v>316.71634817249986</v>
      </c>
    </row>
    <row r="8" spans="1:22" x14ac:dyDescent="0.35">
      <c r="A8" t="s">
        <v>9</v>
      </c>
      <c r="B8" s="23">
        <v>16.34</v>
      </c>
      <c r="C8" s="5">
        <f>B8*12</f>
        <v>196.07999999999998</v>
      </c>
      <c r="D8" s="5">
        <f t="shared" si="2"/>
        <v>202.94279999999998</v>
      </c>
      <c r="E8" s="5">
        <f t="shared" si="2"/>
        <v>210.04579799999996</v>
      </c>
      <c r="F8" s="5">
        <f t="shared" si="2"/>
        <v>217.39740092999995</v>
      </c>
      <c r="G8" s="5">
        <f t="shared" si="2"/>
        <v>225.00630996254992</v>
      </c>
    </row>
    <row r="9" spans="1:22" ht="21" x14ac:dyDescent="0.5">
      <c r="A9" t="s">
        <v>7</v>
      </c>
      <c r="B9" s="23">
        <f>B53</f>
        <v>279.3</v>
      </c>
      <c r="C9" s="5">
        <f>$B$9*12</f>
        <v>3351.6000000000004</v>
      </c>
      <c r="D9" s="5">
        <f t="shared" ref="D9:G9" si="3">$B$9*12</f>
        <v>3351.6000000000004</v>
      </c>
      <c r="E9" s="5">
        <f t="shared" si="3"/>
        <v>3351.6000000000004</v>
      </c>
      <c r="F9" s="5">
        <f t="shared" si="3"/>
        <v>3351.6000000000004</v>
      </c>
      <c r="G9" s="5">
        <f t="shared" si="3"/>
        <v>3351.6000000000004</v>
      </c>
      <c r="I9" s="46" t="s">
        <v>80</v>
      </c>
      <c r="J9" s="46"/>
      <c r="K9" s="46"/>
      <c r="L9" s="46"/>
      <c r="M9" s="46"/>
      <c r="N9" s="46"/>
    </row>
    <row r="10" spans="1:22" x14ac:dyDescent="0.35">
      <c r="A10" t="s">
        <v>10</v>
      </c>
      <c r="B10" s="23">
        <v>300</v>
      </c>
      <c r="C10" s="5">
        <f>B10*12</f>
        <v>3600</v>
      </c>
      <c r="D10" s="5">
        <f>C10*1.035</f>
        <v>3725.9999999999995</v>
      </c>
      <c r="E10" s="5">
        <f t="shared" ref="E10:G10" si="4">D10*1.035</f>
        <v>3856.4099999999994</v>
      </c>
      <c r="F10" s="5">
        <f t="shared" si="4"/>
        <v>3991.3843499999989</v>
      </c>
      <c r="G10" s="5">
        <f t="shared" si="4"/>
        <v>4131.0828022499982</v>
      </c>
      <c r="I10" t="s">
        <v>39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</row>
    <row r="11" spans="1:22" x14ac:dyDescent="0.35">
      <c r="A11" s="13" t="s">
        <v>13</v>
      </c>
      <c r="B11" s="23">
        <f>SUM(B3:B10)</f>
        <v>7719.64</v>
      </c>
      <c r="C11" s="14">
        <f>SUM(C3:C10)</f>
        <v>92635.680000000008</v>
      </c>
      <c r="D11" s="14">
        <f t="shared" ref="D11:G11" si="5">SUM(D3:D10)</f>
        <v>95760.622800000012</v>
      </c>
      <c r="E11" s="14">
        <f t="shared" si="5"/>
        <v>98994.938598000008</v>
      </c>
      <c r="F11" s="14">
        <f t="shared" si="5"/>
        <v>102342.45544892999</v>
      </c>
      <c r="G11" s="14">
        <f t="shared" si="5"/>
        <v>105807.13538964253</v>
      </c>
      <c r="I11" t="s">
        <v>11</v>
      </c>
      <c r="J11" s="1">
        <f>V3</f>
        <v>7539.4176000000016</v>
      </c>
      <c r="K11" s="1">
        <f>J11*1.06</f>
        <v>7991.7826560000021</v>
      </c>
      <c r="L11" s="1">
        <f>K11*1.08</f>
        <v>8631.125268480002</v>
      </c>
      <c r="M11" s="1">
        <f>L11*1.12</f>
        <v>9666.8603006976027</v>
      </c>
      <c r="N11" s="1">
        <f>M11*1.14</f>
        <v>11020.220742795265</v>
      </c>
    </row>
    <row r="12" spans="1:22" x14ac:dyDescent="0.35">
      <c r="I12" t="s">
        <v>58</v>
      </c>
      <c r="J12" s="1">
        <f>V4</f>
        <v>4667.6572800000004</v>
      </c>
      <c r="K12" s="1">
        <f t="shared" ref="K12" si="6">J12*1.06</f>
        <v>4947.7167168000005</v>
      </c>
      <c r="L12" s="1">
        <f t="shared" ref="L12:L13" si="7">K12*1.08</f>
        <v>5343.5340541440009</v>
      </c>
      <c r="M12" s="1">
        <f t="shared" ref="M12:M13" si="8">L12*1.12</f>
        <v>5984.7581406412819</v>
      </c>
      <c r="N12" s="1">
        <f t="shared" ref="N12:N13" si="9">M12*1.14</f>
        <v>6822.6242803310606</v>
      </c>
    </row>
    <row r="13" spans="1:22" ht="21" x14ac:dyDescent="0.5">
      <c r="A13" s="46" t="s">
        <v>14</v>
      </c>
      <c r="B13" s="46"/>
      <c r="C13" s="46"/>
      <c r="D13" s="46"/>
      <c r="E13" s="46"/>
      <c r="F13" s="46"/>
      <c r="I13" t="s">
        <v>12</v>
      </c>
      <c r="J13" s="1">
        <f>V5</f>
        <v>2310.4223999999999</v>
      </c>
      <c r="K13" s="1">
        <f t="shared" ref="K13" si="10">J13*1.06</f>
        <v>2449.047744</v>
      </c>
      <c r="L13" s="1">
        <f t="shared" si="7"/>
        <v>2644.97156352</v>
      </c>
      <c r="M13" s="1">
        <f t="shared" si="8"/>
        <v>2962.3681511424002</v>
      </c>
      <c r="N13" s="1">
        <f t="shared" si="9"/>
        <v>3377.0996923023358</v>
      </c>
    </row>
    <row r="14" spans="1:22" x14ac:dyDescent="0.35">
      <c r="A14" t="s">
        <v>2</v>
      </c>
      <c r="B14" t="s">
        <v>42</v>
      </c>
      <c r="C14" t="s">
        <v>43</v>
      </c>
      <c r="D14" t="s">
        <v>44</v>
      </c>
      <c r="E14" t="s">
        <v>46</v>
      </c>
      <c r="F14" t="s">
        <v>47</v>
      </c>
    </row>
    <row r="15" spans="1:22" x14ac:dyDescent="0.35">
      <c r="A15" t="s">
        <v>41</v>
      </c>
      <c r="B15" s="6">
        <f>J11*$J$29</f>
        <v>8519.5418880000016</v>
      </c>
      <c r="C15" s="35">
        <f>K11*$J$29</f>
        <v>9030.7144012800018</v>
      </c>
      <c r="D15" s="6">
        <f>L11*$J$29</f>
        <v>9753.1715533824008</v>
      </c>
      <c r="E15" s="6">
        <f>M11*$J$29</f>
        <v>10923.552139788289</v>
      </c>
      <c r="F15" s="6">
        <f>N11*$J$29</f>
        <v>12452.849439358648</v>
      </c>
    </row>
    <row r="16" spans="1:22" ht="21" x14ac:dyDescent="0.5">
      <c r="A16" t="s">
        <v>93</v>
      </c>
      <c r="B16" s="6">
        <f>J12*$M$29</f>
        <v>19697.5137216</v>
      </c>
      <c r="C16" s="6">
        <f>K12*$M$29</f>
        <v>20879.364544896001</v>
      </c>
      <c r="D16" s="6">
        <f>L12*$M$29</f>
        <v>22549.713708487681</v>
      </c>
      <c r="E16" s="6">
        <f>M12*$M$29</f>
        <v>25255.67935350621</v>
      </c>
      <c r="F16" s="6">
        <f>N12*$M$29</f>
        <v>28791.474462997074</v>
      </c>
      <c r="I16" s="46" t="s">
        <v>119</v>
      </c>
      <c r="J16" s="46"/>
      <c r="K16" s="46"/>
      <c r="L16" s="46"/>
      <c r="M16" s="46"/>
    </row>
    <row r="17" spans="1:35" x14ac:dyDescent="0.35">
      <c r="A17" t="s">
        <v>45</v>
      </c>
      <c r="B17" s="6">
        <f>(J11+J12+J13)*$J$30</f>
        <v>871.04983680000009</v>
      </c>
      <c r="C17" s="6">
        <f>(K11+K12+K13)*$J$30</f>
        <v>923.31282700800011</v>
      </c>
      <c r="D17" s="6">
        <f>(L11+L12+L13)*$J$30</f>
        <v>997.17785316864024</v>
      </c>
      <c r="E17" s="6">
        <f>(M11+M12+M13)*$J$30</f>
        <v>1116.8391955488769</v>
      </c>
      <c r="F17" s="6">
        <f>(N11+N12+N13)*$J$30</f>
        <v>1273.1966829257196</v>
      </c>
      <c r="I17" t="s">
        <v>42</v>
      </c>
      <c r="J17" t="s">
        <v>43</v>
      </c>
      <c r="K17" t="s">
        <v>44</v>
      </c>
      <c r="L17" t="s">
        <v>46</v>
      </c>
      <c r="M17" t="s">
        <v>47</v>
      </c>
    </row>
    <row r="18" spans="1:35" x14ac:dyDescent="0.35">
      <c r="A18" t="s">
        <v>48</v>
      </c>
      <c r="B18" s="6">
        <f>(J11+J12+J13)*$J$31</f>
        <v>725.87486400000012</v>
      </c>
      <c r="C18" s="6">
        <f>(K11+K12+K13)*$J$31</f>
        <v>769.42735584000013</v>
      </c>
      <c r="D18" s="6">
        <f>(L11+L12+L13)*$J$31</f>
        <v>830.98154430720024</v>
      </c>
      <c r="E18" s="6">
        <f>(M11+M12+M13)*$J$31</f>
        <v>930.69932962406426</v>
      </c>
      <c r="F18" s="6">
        <f>(N11+N12+N13)*$J$31</f>
        <v>1060.997235771433</v>
      </c>
      <c r="I18" s="5">
        <f>C11+B25-J51</f>
        <v>130279.94031040001</v>
      </c>
      <c r="J18" s="5">
        <f>D11+C25-J52</f>
        <v>128852.31192902403</v>
      </c>
      <c r="K18" s="5">
        <f>E11+D25-J53</f>
        <v>134807.32605734593</v>
      </c>
      <c r="L18" s="5">
        <f>F11+E25-J54</f>
        <v>142487.70700339743</v>
      </c>
      <c r="M18" s="5">
        <f>G11+F25-J55</f>
        <v>151502.93563885539</v>
      </c>
    </row>
    <row r="19" spans="1:35" x14ac:dyDescent="0.35">
      <c r="A19" t="s">
        <v>53</v>
      </c>
      <c r="B19" s="6">
        <f>21.78*2</f>
        <v>43.56</v>
      </c>
      <c r="C19" s="6">
        <f>21.78*2</f>
        <v>43.56</v>
      </c>
      <c r="D19" s="6">
        <f>21.78*2</f>
        <v>43.56</v>
      </c>
      <c r="E19" s="6">
        <f>21.78*2</f>
        <v>43.56</v>
      </c>
      <c r="F19" s="6">
        <f>21.78*2</f>
        <v>43.56</v>
      </c>
    </row>
    <row r="20" spans="1:35" x14ac:dyDescent="0.35">
      <c r="A20" t="s">
        <v>112</v>
      </c>
      <c r="B20" s="6">
        <v>736</v>
      </c>
      <c r="C20" s="6">
        <f>Tabla6[[#This Row],[Año 1]]*1.06</f>
        <v>780.16000000000008</v>
      </c>
      <c r="D20" s="6">
        <f>Tabla6[[#This Row],[Año 2]]*1.08</f>
        <v>842.57280000000014</v>
      </c>
      <c r="E20" s="6">
        <f>Tabla6[[#This Row],[Año 3]]*1.12</f>
        <v>943.68153600000028</v>
      </c>
      <c r="F20" s="6">
        <f>Tabla6[[#This Row],[Año 4]]*1.06</f>
        <v>1000.3024281600003</v>
      </c>
    </row>
    <row r="21" spans="1:35" x14ac:dyDescent="0.35">
      <c r="A21" t="s">
        <v>118</v>
      </c>
      <c r="B21" s="6">
        <v>123.6</v>
      </c>
      <c r="C21" s="6">
        <v>123.6</v>
      </c>
      <c r="D21" s="6">
        <v>123.6</v>
      </c>
      <c r="E21" s="6">
        <v>123.6</v>
      </c>
      <c r="F21" s="6">
        <v>123.6</v>
      </c>
    </row>
    <row r="22" spans="1:35" ht="21" x14ac:dyDescent="0.5">
      <c r="A22" t="s">
        <v>63</v>
      </c>
      <c r="B22" s="6">
        <f>1152.8-123.6</f>
        <v>1029.2</v>
      </c>
      <c r="C22" s="6">
        <f>1152.8-123.6</f>
        <v>1029.2</v>
      </c>
      <c r="D22" s="6">
        <f>1152.8-123.6</f>
        <v>1029.2</v>
      </c>
      <c r="E22" s="6">
        <f>1152.8-123.6</f>
        <v>1029.2</v>
      </c>
      <c r="F22" s="6">
        <f>1152.8-123.6</f>
        <v>1029.2</v>
      </c>
      <c r="I22" s="46" t="s">
        <v>49</v>
      </c>
      <c r="J22" s="46"/>
      <c r="K22" s="46"/>
      <c r="L22" s="46"/>
      <c r="M22" s="46"/>
      <c r="N22" s="46"/>
    </row>
    <row r="23" spans="1:35" x14ac:dyDescent="0.35">
      <c r="A23" t="s">
        <v>19</v>
      </c>
      <c r="B23" s="6">
        <v>6200</v>
      </c>
      <c r="C23" s="6"/>
      <c r="D23" s="6"/>
      <c r="E23" s="6"/>
      <c r="F23" s="6"/>
      <c r="I23" t="s">
        <v>50</v>
      </c>
      <c r="J23" t="s">
        <v>42</v>
      </c>
      <c r="K23" t="s">
        <v>43</v>
      </c>
      <c r="L23" t="s">
        <v>44</v>
      </c>
      <c r="M23" t="s">
        <v>46</v>
      </c>
      <c r="N23" t="s">
        <v>47</v>
      </c>
    </row>
    <row r="24" spans="1:35" x14ac:dyDescent="0.35">
      <c r="A24" t="s">
        <v>104</v>
      </c>
      <c r="B24" s="6">
        <v>310</v>
      </c>
      <c r="C24" s="6"/>
      <c r="D24" s="6"/>
      <c r="E24" s="6"/>
      <c r="F24" s="6"/>
      <c r="I24" t="s">
        <v>51</v>
      </c>
      <c r="J24" s="6">
        <f>J11*9</f>
        <v>67854.758400000021</v>
      </c>
      <c r="K24" s="6">
        <f>K11*9</f>
        <v>71926.04390400002</v>
      </c>
      <c r="L24" s="6">
        <f>L11*9</f>
        <v>77680.127416320014</v>
      </c>
      <c r="M24" s="6">
        <f>M11*9</f>
        <v>87001.742706278426</v>
      </c>
      <c r="N24" s="6">
        <f>N11*9</f>
        <v>99181.98668515739</v>
      </c>
    </row>
    <row r="25" spans="1:35" ht="18.75" customHeight="1" x14ac:dyDescent="0.35">
      <c r="A25" s="20" t="s">
        <v>54</v>
      </c>
      <c r="B25" s="28">
        <f>SUBTOTAL(109,B15:B24)</f>
        <v>38256.340310400003</v>
      </c>
      <c r="C25" s="28">
        <f>SUM(C15:C22)</f>
        <v>33579.339129024003</v>
      </c>
      <c r="D25" s="28">
        <f>SUM(D15:D22)</f>
        <v>36169.977459345922</v>
      </c>
      <c r="E25" s="28">
        <f>SUM(E15:E22)</f>
        <v>40366.811554467437</v>
      </c>
      <c r="F25" s="28">
        <f>SUM(F15:F22)</f>
        <v>45775.180249212877</v>
      </c>
      <c r="I25" t="s">
        <v>58</v>
      </c>
      <c r="J25" s="6">
        <f>J12*14</f>
        <v>65347.201920000007</v>
      </c>
      <c r="K25" s="6">
        <f>K12*14</f>
        <v>69268.034035200006</v>
      </c>
      <c r="L25" s="6">
        <f>L12*14</f>
        <v>74809.476758016011</v>
      </c>
      <c r="M25" s="6">
        <f>M12*14</f>
        <v>83786.613968977952</v>
      </c>
      <c r="N25" s="6">
        <f>N12*14</f>
        <v>95516.73992463485</v>
      </c>
    </row>
    <row r="26" spans="1:35" ht="15" customHeight="1" x14ac:dyDescent="0.35">
      <c r="I26" t="s">
        <v>52</v>
      </c>
      <c r="J26" s="6">
        <f>J13*5</f>
        <v>11552.111999999999</v>
      </c>
      <c r="K26" s="6">
        <f>K13*5</f>
        <v>12245.238719999999</v>
      </c>
      <c r="L26" s="6">
        <f>L13*5</f>
        <v>13224.857817600001</v>
      </c>
      <c r="M26" s="6">
        <f>M13*5</f>
        <v>14811.840755712001</v>
      </c>
      <c r="N26" s="6">
        <f>N13*5</f>
        <v>16885.498461511677</v>
      </c>
      <c r="Q26" t="s">
        <v>42</v>
      </c>
      <c r="R26" t="s">
        <v>109</v>
      </c>
      <c r="S26" s="2" t="s">
        <v>110</v>
      </c>
      <c r="U26" t="s">
        <v>43</v>
      </c>
      <c r="V26" t="s">
        <v>109</v>
      </c>
      <c r="W26" s="2" t="s">
        <v>110</v>
      </c>
      <c r="Y26" t="s">
        <v>44</v>
      </c>
      <c r="Z26" t="s">
        <v>109</v>
      </c>
      <c r="AA26" s="2" t="s">
        <v>110</v>
      </c>
      <c r="AC26" t="s">
        <v>46</v>
      </c>
      <c r="AD26" t="s">
        <v>109</v>
      </c>
      <c r="AE26" s="2" t="s">
        <v>110</v>
      </c>
      <c r="AG26" t="s">
        <v>47</v>
      </c>
      <c r="AH26" t="s">
        <v>109</v>
      </c>
      <c r="AI26" s="2" t="s">
        <v>110</v>
      </c>
    </row>
    <row r="27" spans="1:35" ht="21" customHeight="1" x14ac:dyDescent="0.5">
      <c r="A27" s="46" t="s">
        <v>16</v>
      </c>
      <c r="B27" s="46"/>
      <c r="I27" t="s">
        <v>13</v>
      </c>
      <c r="J27" s="6">
        <f>SUM(J24:J26)</f>
        <v>144754.07232000001</v>
      </c>
      <c r="K27" s="6">
        <f>SUM(K24:K26)</f>
        <v>153439.31665920003</v>
      </c>
      <c r="L27" s="6">
        <f>SUM(L24:L26)</f>
        <v>165714.46199193603</v>
      </c>
      <c r="M27" s="6">
        <f>SUM(M24:M26)</f>
        <v>185600.1974309684</v>
      </c>
      <c r="N27" s="6">
        <f>SUM(N24:N26)</f>
        <v>211584.22507130392</v>
      </c>
      <c r="Q27" t="s">
        <v>95</v>
      </c>
      <c r="R27" s="1">
        <f>($C11)/(9-($J$29+$J$30+$J$31+$J$32))*$J24/$J27</f>
        <v>5595.8503374251059</v>
      </c>
      <c r="S27" s="22">
        <f>$J11/($J11-$R27)</f>
        <v>3.8791647426760814</v>
      </c>
      <c r="U27" t="s">
        <v>95</v>
      </c>
      <c r="V27" s="1">
        <f>($D11)/(9-($J$29+$J$30+$J$31+$J$32))*$J24/$J27</f>
        <v>5784.6189870622029</v>
      </c>
      <c r="W27" s="22">
        <f>$K11/($K11-$V27)</f>
        <v>3.6208382588347239</v>
      </c>
      <c r="X27" s="1"/>
      <c r="Y27" t="s">
        <v>95</v>
      </c>
      <c r="Z27" s="1">
        <f>($E$11)/(9-($J$29+$J$30+$J$31+$J$32))*$L24/$L$27</f>
        <v>5979.994539436595</v>
      </c>
      <c r="AA27" s="22">
        <f>$L11/($L11-$Z27)</f>
        <v>3.2556392538191896</v>
      </c>
      <c r="AB27" s="1"/>
      <c r="AC27" t="s">
        <v>95</v>
      </c>
      <c r="AD27" s="1">
        <f>($F$11)/(9-($J$29+$J$30+$J$31+$J$32))*$M24/$M$27</f>
        <v>6182.2082361440907</v>
      </c>
      <c r="AE27" s="22">
        <f>$M11/($M11-$AD27)</f>
        <v>2.7741249690408378</v>
      </c>
      <c r="AF27" s="1"/>
      <c r="AG27" t="s">
        <v>95</v>
      </c>
      <c r="AH27" s="1">
        <f>($G$11)/(9-($J$29+$J$30+$J$31+$J$32))*$N24/$N$27</f>
        <v>6391.4994122363523</v>
      </c>
      <c r="AI27" s="22">
        <f>$N11/($N11-$AH27)</f>
        <v>2.380834782608221</v>
      </c>
    </row>
    <row r="28" spans="1:35" ht="15.75" customHeight="1" x14ac:dyDescent="0.35">
      <c r="A28" t="s">
        <v>2</v>
      </c>
      <c r="B28" t="s">
        <v>15</v>
      </c>
      <c r="E28" s="1"/>
      <c r="I28" t="s">
        <v>59</v>
      </c>
      <c r="Q28" t="s">
        <v>96</v>
      </c>
      <c r="R28" s="1">
        <f>($C11)/(14-($M$29+$J$30+$J$31+$J$32))*$J25/$J27</f>
        <v>4324.6207295112781</v>
      </c>
      <c r="S28" s="22">
        <f>$J12/($J12-$R28)</f>
        <v>13.606880297012127</v>
      </c>
      <c r="U28" t="s">
        <v>96</v>
      </c>
      <c r="V28" s="1">
        <f>($D11)/(14-($M$29+$J$30+$J$31+$J$32))*$J25/$J27</f>
        <v>4470.5061206631217</v>
      </c>
      <c r="W28" s="22">
        <f>$K12/($K12-$V28)</f>
        <v>10.367994250028852</v>
      </c>
      <c r="Y28" t="s">
        <v>96</v>
      </c>
      <c r="Z28" s="1">
        <f>($E11)/(14-($M$29+$J$30+$J$31+$J$32))*$L25/$L$27</f>
        <v>4621.4975005052793</v>
      </c>
      <c r="AA28" s="22">
        <f>$L12/($L12-$Z28)</f>
        <v>7.4006420135035054</v>
      </c>
      <c r="AC28" t="s">
        <v>96</v>
      </c>
      <c r="AD28" s="1">
        <f>($F$11)/(14-($M$29+$J$30+$J$31+$J$32))*$M25/$M$27</f>
        <v>4777.7735786419116</v>
      </c>
      <c r="AE28" s="22">
        <f t="shared" ref="AE28:AE29" si="11">$M12/($M12-$AD28)</f>
        <v>4.9584380190642445</v>
      </c>
      <c r="AG28" t="s">
        <v>96</v>
      </c>
      <c r="AH28" s="1">
        <f>($G$11)/(14-($M$29+$J$30+$J$31+$J$32))*$N25/$N$27</f>
        <v>4939.519319513327</v>
      </c>
      <c r="AI28" s="22">
        <f t="shared" ref="AI28:AI29" si="12">$N12/($N12-$AH28)</f>
        <v>3.623071693979476</v>
      </c>
    </row>
    <row r="29" spans="1:35" ht="21" customHeight="1" x14ac:dyDescent="0.35">
      <c r="A29" s="2" t="s">
        <v>111</v>
      </c>
      <c r="B29" s="6">
        <f>2794.5</f>
        <v>2794.5</v>
      </c>
      <c r="E29" s="1"/>
      <c r="I29" t="s">
        <v>60</v>
      </c>
      <c r="J29">
        <v>1.1299999999999999</v>
      </c>
      <c r="L29" t="s">
        <v>62</v>
      </c>
      <c r="M29">
        <v>4.22</v>
      </c>
      <c r="Q29" t="s">
        <v>97</v>
      </c>
      <c r="R29" s="1">
        <f>($C11)/(5-($J$30+$J$31+$J$32))*$J26/$J27</f>
        <v>1511.8198215147518</v>
      </c>
      <c r="S29" s="22">
        <f>$J13/($J13-$R29)</f>
        <v>2.8930815680338782</v>
      </c>
      <c r="U29" t="s">
        <v>97</v>
      </c>
      <c r="V29" s="1">
        <f>($D11)/(5-($J$30+$J$31+$J$32))*$J26/$J27</f>
        <v>1562.8190743527487</v>
      </c>
      <c r="W29" s="22">
        <f>$K13/($K13-$V29)</f>
        <v>2.7634490147726805</v>
      </c>
      <c r="Y29" t="s">
        <v>97</v>
      </c>
      <c r="Z29" s="1">
        <f>($E$11)/(9-($J$29+$J$30+$J$31+$J$32))*$L26/$L$27</f>
        <v>1018.0799152172644</v>
      </c>
      <c r="AA29" s="22">
        <f>$L13/($L13-$Z29)</f>
        <v>1.6257822494075633</v>
      </c>
      <c r="AC29" t="s">
        <v>97</v>
      </c>
      <c r="AD29" s="1">
        <f>($F$11)/(9-($J$29+$J$30+$J$31+$J$32))*$M26/$M$27</f>
        <v>1052.506318425842</v>
      </c>
      <c r="AE29" s="22">
        <f t="shared" si="11"/>
        <v>1.5510902937563673</v>
      </c>
      <c r="AG29" t="s">
        <v>97</v>
      </c>
      <c r="AH29" s="1">
        <f>($G$11)/(9-($J$29+$J$30+$J$31+$J$32))*$N26/$N$27</f>
        <v>1088.1376457467202</v>
      </c>
      <c r="AI29" s="22">
        <f t="shared" si="12"/>
        <v>1.475384748027661</v>
      </c>
    </row>
    <row r="30" spans="1:35" ht="29" x14ac:dyDescent="0.35">
      <c r="A30" s="2" t="s">
        <v>55</v>
      </c>
      <c r="B30" s="6">
        <f>2618.1*2</f>
        <v>5236.2</v>
      </c>
      <c r="F30" s="1"/>
      <c r="I30" t="s">
        <v>61</v>
      </c>
      <c r="J30">
        <v>0.06</v>
      </c>
      <c r="L30" t="s">
        <v>61</v>
      </c>
      <c r="M30">
        <v>0.06</v>
      </c>
    </row>
    <row r="31" spans="1:35" ht="43.5" x14ac:dyDescent="0.35">
      <c r="A31" s="2" t="s">
        <v>56</v>
      </c>
      <c r="B31" s="6">
        <f>932.4*2</f>
        <v>1864.8</v>
      </c>
      <c r="I31" t="s">
        <v>48</v>
      </c>
      <c r="J31">
        <v>0.05</v>
      </c>
      <c r="L31" t="s">
        <v>48</v>
      </c>
      <c r="M31">
        <v>0.04</v>
      </c>
      <c r="P31" s="1"/>
    </row>
    <row r="32" spans="1:35" x14ac:dyDescent="0.35">
      <c r="A32" s="2" t="s">
        <v>17</v>
      </c>
      <c r="B32" s="6">
        <v>362</v>
      </c>
    </row>
    <row r="33" spans="1:21" x14ac:dyDescent="0.35">
      <c r="A33" s="2" t="s">
        <v>18</v>
      </c>
      <c r="B33" s="6">
        <v>832.47</v>
      </c>
    </row>
    <row r="34" spans="1:21" x14ac:dyDescent="0.35">
      <c r="A34" s="2" t="s">
        <v>19</v>
      </c>
      <c r="B34" s="6">
        <v>6200</v>
      </c>
      <c r="J34">
        <f xml:space="preserve"> SUM(J29:J31)</f>
        <v>1.24</v>
      </c>
      <c r="M34">
        <f>SUM(M29,J30,J31)</f>
        <v>4.3299999999999992</v>
      </c>
    </row>
    <row r="35" spans="1:21" x14ac:dyDescent="0.35">
      <c r="A35" s="2" t="s">
        <v>20</v>
      </c>
      <c r="B35" s="6">
        <v>32.799999999999997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5">
      <c r="A36" s="2" t="s">
        <v>21</v>
      </c>
      <c r="B36" s="6">
        <v>130</v>
      </c>
      <c r="I36" s="6"/>
      <c r="J36" s="6"/>
      <c r="K36" s="6"/>
      <c r="L36" s="1"/>
      <c r="M36" s="1"/>
      <c r="N36" s="1"/>
      <c r="O36" s="1"/>
      <c r="P36" s="1"/>
      <c r="Q36" t="s">
        <v>113</v>
      </c>
      <c r="U36" s="1"/>
    </row>
    <row r="37" spans="1:21" x14ac:dyDescent="0.35">
      <c r="A37" s="2" t="s">
        <v>57</v>
      </c>
      <c r="B37" s="6">
        <f>4880*2</f>
        <v>9760</v>
      </c>
      <c r="J37" s="1"/>
      <c r="K37" s="1"/>
      <c r="L37" s="1"/>
      <c r="M37" s="1"/>
      <c r="N37" s="1"/>
      <c r="O37" s="1"/>
      <c r="P37" s="1"/>
      <c r="Q37" s="48" t="s">
        <v>70</v>
      </c>
      <c r="R37" s="48"/>
      <c r="S37" s="48" t="s">
        <v>71</v>
      </c>
      <c r="T37" s="48"/>
      <c r="U37" s="1"/>
    </row>
    <row r="38" spans="1:21" ht="28.5" customHeight="1" x14ac:dyDescent="0.35">
      <c r="A38" s="2" t="s">
        <v>31</v>
      </c>
      <c r="B38" s="6">
        <v>310</v>
      </c>
      <c r="J38" s="1"/>
      <c r="K38" s="1"/>
      <c r="L38" s="1"/>
      <c r="M38" s="1"/>
      <c r="N38" s="1"/>
      <c r="O38" s="1"/>
      <c r="P38" s="1"/>
      <c r="Q38" s="29" t="s">
        <v>76</v>
      </c>
      <c r="R38" s="30">
        <f>B29+B30+B31+B35+B36+B37</f>
        <v>19818.3</v>
      </c>
      <c r="S38" s="33">
        <f>B48</f>
        <v>15000</v>
      </c>
      <c r="T38" s="43" t="s">
        <v>116</v>
      </c>
      <c r="U38" s="1"/>
    </row>
    <row r="39" spans="1:21" ht="29" x14ac:dyDescent="0.35">
      <c r="A39" s="2" t="s">
        <v>22</v>
      </c>
      <c r="B39" s="6">
        <f>B49-SUM(B29:B38)</f>
        <v>477.22999999999956</v>
      </c>
      <c r="J39" s="1"/>
      <c r="K39" s="1"/>
      <c r="L39" s="1"/>
      <c r="M39" s="1"/>
      <c r="N39" s="1"/>
      <c r="O39" s="1"/>
      <c r="P39" s="1"/>
      <c r="Q39" s="31" t="s">
        <v>18</v>
      </c>
      <c r="R39" s="32">
        <f>B32+B33</f>
        <v>1194.47</v>
      </c>
      <c r="S39" s="34">
        <f>SUM(B44:B47)</f>
        <v>13000</v>
      </c>
      <c r="T39" s="44" t="s">
        <v>117</v>
      </c>
      <c r="U39" s="1"/>
    </row>
    <row r="40" spans="1:21" x14ac:dyDescent="0.35">
      <c r="A40" s="16" t="s">
        <v>13</v>
      </c>
      <c r="B40" s="15">
        <f>SUM(B29:B39)</f>
        <v>28000</v>
      </c>
      <c r="J40" s="1"/>
      <c r="K40" s="1"/>
      <c r="L40" s="1"/>
      <c r="M40" s="1"/>
      <c r="N40" s="1"/>
      <c r="O40" s="1"/>
      <c r="P40" s="1"/>
      <c r="Q40" s="29" t="s">
        <v>98</v>
      </c>
      <c r="R40" s="30">
        <f>B39+B38+B34</f>
        <v>6987.23</v>
      </c>
      <c r="S40" s="33"/>
      <c r="T40" s="30"/>
      <c r="U40" s="1"/>
    </row>
    <row r="41" spans="1:21" x14ac:dyDescent="0.35">
      <c r="Q41" s="31" t="s">
        <v>13</v>
      </c>
      <c r="R41" s="32">
        <f>SUM(R38:R40)</f>
        <v>28000</v>
      </c>
      <c r="S41" s="34">
        <f>SUM(S38:S40)</f>
        <v>28000</v>
      </c>
      <c r="T41" s="32" t="s">
        <v>13</v>
      </c>
    </row>
    <row r="42" spans="1:21" ht="21" x14ac:dyDescent="0.5">
      <c r="A42" s="49" t="s">
        <v>30</v>
      </c>
      <c r="B42" s="49"/>
    </row>
    <row r="43" spans="1:21" x14ac:dyDescent="0.35">
      <c r="A43" t="s">
        <v>28</v>
      </c>
      <c r="B43" t="s">
        <v>29</v>
      </c>
    </row>
    <row r="44" spans="1:21" x14ac:dyDescent="0.35">
      <c r="A44" t="s">
        <v>23</v>
      </c>
      <c r="B44" s="6">
        <v>3250</v>
      </c>
    </row>
    <row r="45" spans="1:21" x14ac:dyDescent="0.35">
      <c r="A45" t="s">
        <v>24</v>
      </c>
      <c r="B45" s="6">
        <v>3250</v>
      </c>
    </row>
    <row r="46" spans="1:21" x14ac:dyDescent="0.35">
      <c r="A46" t="s">
        <v>25</v>
      </c>
      <c r="B46" s="6">
        <v>3250</v>
      </c>
    </row>
    <row r="47" spans="1:21" x14ac:dyDescent="0.35">
      <c r="A47" t="s">
        <v>26</v>
      </c>
      <c r="B47" s="6">
        <v>3250</v>
      </c>
    </row>
    <row r="48" spans="1:21" x14ac:dyDescent="0.35">
      <c r="A48" t="s">
        <v>27</v>
      </c>
      <c r="B48" s="6">
        <v>15000</v>
      </c>
    </row>
    <row r="49" spans="1:20" ht="16.5" customHeight="1" x14ac:dyDescent="0.5">
      <c r="A49" s="13" t="s">
        <v>13</v>
      </c>
      <c r="B49" s="15">
        <f>SUM(B44:B48)</f>
        <v>28000</v>
      </c>
      <c r="G49" s="46" t="s">
        <v>36</v>
      </c>
      <c r="H49" s="46"/>
      <c r="I49" s="46"/>
      <c r="J49" s="46"/>
      <c r="K49" s="46"/>
      <c r="Q49" s="36" t="s">
        <v>99</v>
      </c>
    </row>
    <row r="50" spans="1:20" ht="39" customHeight="1" x14ac:dyDescent="0.35">
      <c r="G50" s="9" t="s">
        <v>39</v>
      </c>
      <c r="H50" s="9" t="s">
        <v>32</v>
      </c>
      <c r="I50" s="9" t="s">
        <v>37</v>
      </c>
      <c r="J50" s="9" t="s">
        <v>33</v>
      </c>
      <c r="K50" s="10" t="s">
        <v>40</v>
      </c>
      <c r="L50" s="11"/>
      <c r="Q50" s="48" t="s">
        <v>70</v>
      </c>
      <c r="R50" s="48"/>
      <c r="S50" s="48" t="s">
        <v>71</v>
      </c>
      <c r="T50" s="48"/>
    </row>
    <row r="51" spans="1:20" ht="20.25" customHeight="1" x14ac:dyDescent="0.5">
      <c r="A51" s="46" t="s">
        <v>35</v>
      </c>
      <c r="B51" s="46"/>
      <c r="C51" s="46"/>
      <c r="D51" s="46"/>
      <c r="E51" s="46"/>
      <c r="G51" s="4">
        <v>1</v>
      </c>
      <c r="H51" s="6">
        <f>B53*12</f>
        <v>3351.6000000000004</v>
      </c>
      <c r="I51" s="6">
        <f>SUM(C53:C64)</f>
        <v>2739.58</v>
      </c>
      <c r="J51" s="6">
        <f>SUM(D53:D64)</f>
        <v>612.08000000000004</v>
      </c>
      <c r="K51" s="6">
        <f>B48-I51</f>
        <v>12260.42</v>
      </c>
      <c r="Q51" s="31" t="s">
        <v>76</v>
      </c>
      <c r="R51" s="32">
        <f>B29+B30+B31+B35+B36+B37</f>
        <v>19818.3</v>
      </c>
      <c r="S51" s="34">
        <f>K51</f>
        <v>12260.42</v>
      </c>
      <c r="T51" s="37" t="s">
        <v>77</v>
      </c>
    </row>
    <row r="52" spans="1:20" ht="18" customHeight="1" x14ac:dyDescent="0.45">
      <c r="A52" s="9" t="s">
        <v>34</v>
      </c>
      <c r="B52" s="9" t="s">
        <v>32</v>
      </c>
      <c r="C52" s="9" t="s">
        <v>37</v>
      </c>
      <c r="D52" s="9" t="s">
        <v>33</v>
      </c>
      <c r="E52" s="10" t="s">
        <v>38</v>
      </c>
      <c r="F52" s="9"/>
      <c r="G52" s="4">
        <v>2</v>
      </c>
      <c r="H52" s="6">
        <f>B54*12</f>
        <v>3351.6000000000004</v>
      </c>
      <c r="I52" s="6">
        <f>SUM(C65:C76)</f>
        <v>2864.0399999999995</v>
      </c>
      <c r="J52" s="6">
        <f>SUM(D65:D76)</f>
        <v>487.64999999999992</v>
      </c>
      <c r="K52" s="6">
        <f>K51-I52</f>
        <v>9396.380000000001</v>
      </c>
      <c r="Q52" s="29" t="s">
        <v>18</v>
      </c>
      <c r="R52" s="30">
        <f>B32+B33</f>
        <v>1194.47</v>
      </c>
      <c r="S52" s="33">
        <f>H65</f>
        <v>9703.4364067199986</v>
      </c>
      <c r="T52" s="38" t="s">
        <v>75</v>
      </c>
    </row>
    <row r="53" spans="1:20" ht="16.5" x14ac:dyDescent="0.45">
      <c r="A53" s="3">
        <v>1</v>
      </c>
      <c r="B53" s="7">
        <v>279.3</v>
      </c>
      <c r="C53" s="7">
        <v>223.68</v>
      </c>
      <c r="D53" s="7">
        <v>55.63</v>
      </c>
      <c r="E53" s="7">
        <v>14776.32</v>
      </c>
      <c r="F53" s="7"/>
      <c r="G53" s="4">
        <v>3</v>
      </c>
      <c r="H53" s="6">
        <f>B55*12</f>
        <v>3351.6000000000004</v>
      </c>
      <c r="I53" s="6">
        <f>SUM(C77:C88)</f>
        <v>2994.1199999999994</v>
      </c>
      <c r="J53" s="6">
        <f>SUM(D77:D88)</f>
        <v>357.59</v>
      </c>
      <c r="K53" s="6">
        <f>K52-I53</f>
        <v>6402.260000000002</v>
      </c>
      <c r="Q53" s="31" t="s">
        <v>98</v>
      </c>
      <c r="R53" s="37">
        <f>S54-SUM(R51:R52)</f>
        <v>13951.086406719998</v>
      </c>
      <c r="S53" s="34">
        <f>SUM(B44:B47)</f>
        <v>13000</v>
      </c>
      <c r="T53" s="37" t="s">
        <v>78</v>
      </c>
    </row>
    <row r="54" spans="1:20" ht="16.5" x14ac:dyDescent="0.45">
      <c r="A54" s="3">
        <v>2</v>
      </c>
      <c r="B54" s="7">
        <v>279.3</v>
      </c>
      <c r="C54" s="7">
        <v>224.51</v>
      </c>
      <c r="D54" s="7">
        <v>54.8</v>
      </c>
      <c r="E54" s="7">
        <v>14551.81</v>
      </c>
      <c r="F54" s="7"/>
      <c r="G54" s="4">
        <v>4</v>
      </c>
      <c r="H54" s="6">
        <f>B56*12</f>
        <v>3351.6000000000004</v>
      </c>
      <c r="I54" s="6">
        <f>SUM(C89:C100)</f>
        <v>3130.07</v>
      </c>
      <c r="J54" s="6">
        <f>SUM(D89:D100)</f>
        <v>221.56</v>
      </c>
      <c r="K54" s="6">
        <f>K53-I54</f>
        <v>3272.1900000000019</v>
      </c>
      <c r="Q54" s="39" t="s">
        <v>13</v>
      </c>
      <c r="R54" s="40">
        <f>SUM(R51:R53)</f>
        <v>34963.856406719999</v>
      </c>
      <c r="S54" s="41">
        <f>SUM(S51:S53)</f>
        <v>34963.856406719999</v>
      </c>
      <c r="T54" s="42" t="s">
        <v>13</v>
      </c>
    </row>
    <row r="55" spans="1:20" ht="16.5" x14ac:dyDescent="0.45">
      <c r="A55" s="3">
        <v>3</v>
      </c>
      <c r="B55" s="7">
        <v>279.3</v>
      </c>
      <c r="C55" s="7">
        <v>225.34</v>
      </c>
      <c r="D55" s="7">
        <v>53.96</v>
      </c>
      <c r="E55" s="7">
        <v>14326.47</v>
      </c>
      <c r="F55" s="7"/>
      <c r="G55" s="4">
        <v>5</v>
      </c>
      <c r="H55" s="6">
        <f>B57*12</f>
        <v>3351.6000000000004</v>
      </c>
      <c r="I55" s="6">
        <f>SUM(C101:C112) + 0.02</f>
        <v>3272.24</v>
      </c>
      <c r="J55" s="6">
        <f>SUM(D101:D112)</f>
        <v>79.38</v>
      </c>
      <c r="K55" s="6">
        <f>0</f>
        <v>0</v>
      </c>
      <c r="S55" s="35"/>
      <c r="T55" s="35"/>
    </row>
    <row r="56" spans="1:20" ht="18.5" x14ac:dyDescent="0.45">
      <c r="A56" s="3">
        <v>4</v>
      </c>
      <c r="B56" s="7">
        <v>279.3</v>
      </c>
      <c r="C56" s="7">
        <v>226.18</v>
      </c>
      <c r="D56" s="7">
        <v>53.13</v>
      </c>
      <c r="E56" s="7">
        <v>14100.29</v>
      </c>
      <c r="F56" s="7"/>
      <c r="G56" s="7"/>
      <c r="Q56" s="36" t="s">
        <v>100</v>
      </c>
      <c r="S56" s="35"/>
      <c r="T56" s="35"/>
    </row>
    <row r="57" spans="1:20" ht="16.5" x14ac:dyDescent="0.45">
      <c r="A57" s="3">
        <v>5</v>
      </c>
      <c r="B57" s="7">
        <v>279.3</v>
      </c>
      <c r="C57" s="7">
        <v>227.02</v>
      </c>
      <c r="D57" s="7">
        <v>52.29</v>
      </c>
      <c r="E57" s="7">
        <v>13873.28</v>
      </c>
      <c r="F57" s="7"/>
      <c r="G57" s="7"/>
      <c r="Q57" s="48" t="s">
        <v>70</v>
      </c>
      <c r="R57" s="48"/>
      <c r="S57" s="50" t="s">
        <v>71</v>
      </c>
      <c r="T57" s="50"/>
    </row>
    <row r="58" spans="1:20" ht="16.5" x14ac:dyDescent="0.45">
      <c r="A58" s="3">
        <v>6</v>
      </c>
      <c r="B58" s="7">
        <v>279.3</v>
      </c>
      <c r="C58" s="7">
        <v>227.86</v>
      </c>
      <c r="D58" s="7">
        <v>51.45</v>
      </c>
      <c r="E58" s="7">
        <v>13645.42</v>
      </c>
      <c r="F58" s="7"/>
      <c r="G58" s="7"/>
      <c r="Q58" s="31" t="s">
        <v>76</v>
      </c>
      <c r="R58" s="32">
        <f>B29+B30+B31+B35+B36+B37</f>
        <v>19818.3</v>
      </c>
      <c r="S58" s="34">
        <f>K52</f>
        <v>9396.380000000001</v>
      </c>
      <c r="T58" s="34" t="s">
        <v>77</v>
      </c>
    </row>
    <row r="59" spans="1:20" ht="30.5" x14ac:dyDescent="0.5">
      <c r="A59" s="3">
        <v>7</v>
      </c>
      <c r="B59" s="7">
        <v>279.3</v>
      </c>
      <c r="C59" s="7">
        <v>228.7</v>
      </c>
      <c r="D59" s="7">
        <v>50.6</v>
      </c>
      <c r="E59" s="7">
        <v>13416.72</v>
      </c>
      <c r="F59" s="7"/>
      <c r="G59" s="51" t="s">
        <v>69</v>
      </c>
      <c r="H59" s="51"/>
      <c r="I59" s="51"/>
      <c r="J59" s="51"/>
      <c r="K59" s="51"/>
      <c r="L59" s="51"/>
      <c r="Q59" s="29" t="s">
        <v>18</v>
      </c>
      <c r="R59" s="30">
        <f>B32+B33</f>
        <v>1194.47</v>
      </c>
      <c r="S59" s="33">
        <f>I65+S52</f>
        <v>26572.984717843203</v>
      </c>
      <c r="T59" s="33" t="s">
        <v>105</v>
      </c>
    </row>
    <row r="60" spans="1:20" ht="16.5" x14ac:dyDescent="0.45">
      <c r="A60" s="3">
        <v>8</v>
      </c>
      <c r="B60" s="7">
        <v>279.3</v>
      </c>
      <c r="C60" s="7">
        <v>229.55</v>
      </c>
      <c r="D60" s="7">
        <v>49.75</v>
      </c>
      <c r="E60" s="7">
        <v>13187.17</v>
      </c>
      <c r="F60" s="7"/>
      <c r="G60" t="s">
        <v>115</v>
      </c>
      <c r="H60" s="7" t="s">
        <v>42</v>
      </c>
      <c r="I60" s="7" t="s">
        <v>43</v>
      </c>
      <c r="J60" s="7" t="s">
        <v>44</v>
      </c>
      <c r="K60" s="7" t="s">
        <v>46</v>
      </c>
      <c r="L60" s="7" t="s">
        <v>47</v>
      </c>
      <c r="Q60" s="31" t="s">
        <v>98</v>
      </c>
      <c r="R60" s="32">
        <f>S61-SUM(R58:R59)</f>
        <v>27956.5947178432</v>
      </c>
      <c r="S60" s="34">
        <f>SUM(B44:B47)</f>
        <v>13000</v>
      </c>
      <c r="T60" s="34" t="s">
        <v>78</v>
      </c>
    </row>
    <row r="61" spans="1:20" ht="16.5" x14ac:dyDescent="0.45">
      <c r="A61" s="3">
        <v>9</v>
      </c>
      <c r="B61" s="7">
        <v>279.3</v>
      </c>
      <c r="C61" s="7">
        <v>230.4</v>
      </c>
      <c r="D61" s="7">
        <v>48.9</v>
      </c>
      <c r="E61" s="7">
        <v>12956.76</v>
      </c>
      <c r="F61" s="7"/>
      <c r="G61" s="7" t="s">
        <v>72</v>
      </c>
      <c r="H61" s="8">
        <f>J27</f>
        <v>144754.07232000001</v>
      </c>
      <c r="I61" s="8">
        <f>K27</f>
        <v>153439.31665920003</v>
      </c>
      <c r="J61" s="8">
        <f>L27</f>
        <v>165714.46199193603</v>
      </c>
      <c r="K61" s="8">
        <f>M27</f>
        <v>185600.1974309684</v>
      </c>
      <c r="L61" s="8">
        <f>N27</f>
        <v>211584.22507130392</v>
      </c>
      <c r="Q61" s="39" t="s">
        <v>13</v>
      </c>
      <c r="R61" s="40">
        <f>SUM(R58:R60)</f>
        <v>48969.3647178432</v>
      </c>
      <c r="S61" s="41">
        <f>SUM(S58:S60)</f>
        <v>48969.3647178432</v>
      </c>
      <c r="T61" s="42" t="s">
        <v>13</v>
      </c>
    </row>
    <row r="62" spans="1:20" ht="16.5" x14ac:dyDescent="0.45">
      <c r="A62" s="3">
        <v>10</v>
      </c>
      <c r="B62" s="7">
        <v>279.3</v>
      </c>
      <c r="C62" s="7">
        <v>231.26</v>
      </c>
      <c r="D62" s="7">
        <v>48.05</v>
      </c>
      <c r="E62" s="7">
        <v>12725.51</v>
      </c>
      <c r="F62" s="7"/>
      <c r="G62" s="7" t="s">
        <v>94</v>
      </c>
      <c r="H62" s="8" cm="1">
        <f t="array" ref="H62">Tabla14[Año 1]</f>
        <v>130279.94031040001</v>
      </c>
      <c r="I62" s="8" cm="1">
        <f t="array" ref="I62">Tabla14[Año 2]</f>
        <v>128852.31192902403</v>
      </c>
      <c r="J62" s="8" cm="1">
        <f t="array" ref="J62">Tabla14[Año 3]</f>
        <v>134807.32605734593</v>
      </c>
      <c r="K62" s="8" cm="1">
        <f t="array" ref="K62">Tabla14[Año 4]</f>
        <v>142487.70700339743</v>
      </c>
      <c r="L62" s="8" cm="1">
        <f t="array" ref="L62">Tabla14[Año 5]</f>
        <v>151502.93563885539</v>
      </c>
      <c r="S62" s="35"/>
      <c r="T62" s="35"/>
    </row>
    <row r="63" spans="1:20" ht="18.5" x14ac:dyDescent="0.45">
      <c r="A63" s="3">
        <v>11</v>
      </c>
      <c r="B63" s="7">
        <v>279.3</v>
      </c>
      <c r="C63" s="7">
        <v>232.11</v>
      </c>
      <c r="D63" s="7">
        <v>47.19</v>
      </c>
      <c r="E63" s="7">
        <v>12493.39</v>
      </c>
      <c r="F63" s="7"/>
      <c r="G63" s="7" t="s">
        <v>73</v>
      </c>
      <c r="H63" s="8">
        <f>H61-I18</f>
        <v>14474.132009599998</v>
      </c>
      <c r="I63" s="8">
        <f>I61-J18</f>
        <v>24587.004730176006</v>
      </c>
      <c r="J63" s="8">
        <f>J61-K18</f>
        <v>30907.1359345901</v>
      </c>
      <c r="K63" s="8">
        <f>K61-L18</f>
        <v>43112.49042757097</v>
      </c>
      <c r="L63" s="8">
        <f>L61-M18</f>
        <v>60081.289432448539</v>
      </c>
      <c r="Q63" s="36" t="s">
        <v>101</v>
      </c>
      <c r="S63" s="35"/>
      <c r="T63" s="35"/>
    </row>
    <row r="64" spans="1:20" ht="16.5" x14ac:dyDescent="0.45">
      <c r="A64" s="3">
        <v>12</v>
      </c>
      <c r="B64" s="7">
        <v>279.3</v>
      </c>
      <c r="C64" s="7">
        <v>232.97</v>
      </c>
      <c r="D64" s="7">
        <v>46.33</v>
      </c>
      <c r="E64" s="7">
        <v>12260.42</v>
      </c>
      <c r="F64" s="7"/>
      <c r="G64" s="7" t="s">
        <v>74</v>
      </c>
      <c r="H64" s="8">
        <f>H63-J51</f>
        <v>13862.052009599998</v>
      </c>
      <c r="I64" s="8">
        <f>I63-J52</f>
        <v>24099.354730176005</v>
      </c>
      <c r="J64" s="8">
        <f>J63-J53</f>
        <v>30549.5459345901</v>
      </c>
      <c r="K64" s="8">
        <f>K63-J54</f>
        <v>42890.930427570973</v>
      </c>
      <c r="L64" s="8">
        <f>L63-J55</f>
        <v>60001.909432448541</v>
      </c>
      <c r="Q64" s="48" t="s">
        <v>70</v>
      </c>
      <c r="R64" s="48"/>
      <c r="S64" s="50" t="s">
        <v>71</v>
      </c>
      <c r="T64" s="50"/>
    </row>
    <row r="65" spans="1:20" ht="16.5" x14ac:dyDescent="0.45">
      <c r="A65" s="3">
        <v>13</v>
      </c>
      <c r="B65" s="7">
        <v>279.3</v>
      </c>
      <c r="C65" s="7">
        <v>233.84</v>
      </c>
      <c r="D65" s="7">
        <v>45.47</v>
      </c>
      <c r="E65" s="7">
        <v>12026.58</v>
      </c>
      <c r="F65" s="7"/>
      <c r="G65" s="17" t="s">
        <v>75</v>
      </c>
      <c r="H65" s="18">
        <f>H64*0.7</f>
        <v>9703.4364067199986</v>
      </c>
      <c r="I65" s="18">
        <f>I64*0.7</f>
        <v>16869.548311123202</v>
      </c>
      <c r="J65" s="18">
        <f>J64*0.7</f>
        <v>21384.682154213067</v>
      </c>
      <c r="K65" s="18">
        <f>K64*0.7</f>
        <v>30023.65129929968</v>
      </c>
      <c r="L65" s="18">
        <f>L64*0.7</f>
        <v>42001.336602713978</v>
      </c>
      <c r="Q65" s="31" t="s">
        <v>76</v>
      </c>
      <c r="R65" s="32">
        <f>B29+B30+B31+B35+B36+B37</f>
        <v>19818.3</v>
      </c>
      <c r="S65" s="34">
        <f>K53</f>
        <v>6402.260000000002</v>
      </c>
      <c r="T65" s="34" t="s">
        <v>77</v>
      </c>
    </row>
    <row r="66" spans="1:20" ht="30" x14ac:dyDescent="0.45">
      <c r="A66" s="3">
        <v>14</v>
      </c>
      <c r="B66" s="7">
        <v>279.3</v>
      </c>
      <c r="C66" s="7">
        <v>234.71</v>
      </c>
      <c r="D66" s="7">
        <v>44.6</v>
      </c>
      <c r="E66" s="7">
        <v>11791.88</v>
      </c>
      <c r="F66" s="7"/>
      <c r="G66" s="24"/>
      <c r="Q66" s="29" t="s">
        <v>18</v>
      </c>
      <c r="R66" s="30">
        <f>B32+B33</f>
        <v>1194.47</v>
      </c>
      <c r="S66" s="33">
        <f>J65+S59</f>
        <v>47957.666872056274</v>
      </c>
      <c r="T66" s="33" t="s">
        <v>105</v>
      </c>
    </row>
    <row r="67" spans="1:20" ht="16.5" x14ac:dyDescent="0.45">
      <c r="A67" s="3">
        <v>15</v>
      </c>
      <c r="B67" s="7">
        <v>279.3</v>
      </c>
      <c r="C67" s="7">
        <v>235.58</v>
      </c>
      <c r="D67" s="7">
        <v>43.73</v>
      </c>
      <c r="E67" s="7">
        <v>11556.3</v>
      </c>
      <c r="F67" s="7"/>
      <c r="G67" s="7"/>
      <c r="Q67" s="31" t="s">
        <v>98</v>
      </c>
      <c r="R67" s="32">
        <f>S68-SUM(R65:R66)</f>
        <v>46347.156872056265</v>
      </c>
      <c r="S67" s="34">
        <f>SUM(B44:B47)</f>
        <v>13000</v>
      </c>
      <c r="T67" s="34" t="s">
        <v>78</v>
      </c>
    </row>
    <row r="68" spans="1:20" ht="16.5" x14ac:dyDescent="0.45">
      <c r="A68" s="3">
        <v>16</v>
      </c>
      <c r="B68" s="7">
        <v>279.3</v>
      </c>
      <c r="C68" s="7">
        <v>236.45</v>
      </c>
      <c r="D68" s="7">
        <v>42.85</v>
      </c>
      <c r="E68" s="7">
        <v>11319.85</v>
      </c>
      <c r="F68" s="7"/>
      <c r="G68" s="45" t="s">
        <v>115</v>
      </c>
      <c r="H68" t="s">
        <v>42</v>
      </c>
      <c r="I68" t="s">
        <v>43</v>
      </c>
      <c r="J68" t="s">
        <v>44</v>
      </c>
      <c r="K68" t="s">
        <v>46</v>
      </c>
      <c r="L68" t="s">
        <v>47</v>
      </c>
      <c r="Q68" s="39" t="s">
        <v>13</v>
      </c>
      <c r="R68" s="40">
        <f>SUM(R65:R67)</f>
        <v>67359.926872056269</v>
      </c>
      <c r="S68" s="41">
        <f>SUM(S65:S67)</f>
        <v>67359.926872056269</v>
      </c>
      <c r="T68" s="42" t="s">
        <v>13</v>
      </c>
    </row>
    <row r="69" spans="1:20" ht="16.5" x14ac:dyDescent="0.45">
      <c r="A69" s="3">
        <v>17</v>
      </c>
      <c r="B69" s="7">
        <v>279.3</v>
      </c>
      <c r="C69" s="7">
        <v>237.33</v>
      </c>
      <c r="D69" s="7">
        <v>41.98</v>
      </c>
      <c r="E69" s="7">
        <v>11082.52</v>
      </c>
      <c r="F69" s="7"/>
      <c r="G69" s="7" t="s">
        <v>106</v>
      </c>
      <c r="H69" s="21">
        <f>H63/R54</f>
        <v>0.41397412920441157</v>
      </c>
      <c r="I69" s="21">
        <f>I63/R61</f>
        <v>0.50208951804549595</v>
      </c>
      <c r="J69" s="21">
        <f>J63/R68</f>
        <v>0.45883565154836414</v>
      </c>
      <c r="K69" s="21">
        <f>K63/R75</f>
        <v>0.45740992843673312</v>
      </c>
      <c r="L69" s="21">
        <f>L63/R82</f>
        <v>0.45179793962245135</v>
      </c>
      <c r="S69" s="35"/>
      <c r="T69" s="35"/>
    </row>
    <row r="70" spans="1:20" ht="18.5" x14ac:dyDescent="0.45">
      <c r="A70" s="3">
        <v>18</v>
      </c>
      <c r="B70" s="7">
        <v>279.3</v>
      </c>
      <c r="C70" s="7">
        <v>238.21</v>
      </c>
      <c r="D70" s="7">
        <v>41.1</v>
      </c>
      <c r="E70" s="7">
        <v>10844.32</v>
      </c>
      <c r="F70" s="7"/>
      <c r="G70" s="7" t="s">
        <v>107</v>
      </c>
      <c r="H70" s="21">
        <f>H65/SUM($B$44:$B$47)</f>
        <v>0.74641818513230762</v>
      </c>
      <c r="I70" s="21">
        <f>I65/SUM($B$44:$B$47)</f>
        <v>1.2976575623940925</v>
      </c>
      <c r="J70" s="21">
        <f>J65/SUM($B$44:$B$47)</f>
        <v>1.6449755503240822</v>
      </c>
      <c r="K70" s="21">
        <f>K65/SUM($B$44:$B$47)</f>
        <v>2.3095116384076677</v>
      </c>
      <c r="L70" s="21">
        <f>L65/SUM($B$44:$B$47)</f>
        <v>3.2308720463626135</v>
      </c>
      <c r="Q70" s="36" t="s">
        <v>102</v>
      </c>
      <c r="S70" s="35"/>
      <c r="T70" s="35"/>
    </row>
    <row r="71" spans="1:20" ht="16.5" x14ac:dyDescent="0.45">
      <c r="A71" s="3">
        <v>19</v>
      </c>
      <c r="B71" s="7">
        <v>279.3</v>
      </c>
      <c r="C71" s="7">
        <v>239.09</v>
      </c>
      <c r="D71" s="7">
        <v>40.21</v>
      </c>
      <c r="E71" s="7">
        <v>10605.23</v>
      </c>
      <c r="F71" s="7"/>
      <c r="G71" s="7" t="s">
        <v>108</v>
      </c>
      <c r="H71" s="21">
        <f>H69-0.045</f>
        <v>0.36897412920441158</v>
      </c>
      <c r="I71" s="21">
        <f>I69-0.045</f>
        <v>0.45708951804549597</v>
      </c>
      <c r="J71" s="21">
        <f t="shared" ref="J71:L71" si="13">J69-0.045</f>
        <v>0.41383565154836416</v>
      </c>
      <c r="K71" s="21">
        <f t="shared" si="13"/>
        <v>0.41240992843673313</v>
      </c>
      <c r="L71" s="21">
        <f t="shared" si="13"/>
        <v>0.40679793962245137</v>
      </c>
      <c r="Q71" s="48" t="s">
        <v>70</v>
      </c>
      <c r="R71" s="48"/>
      <c r="S71" s="50" t="s">
        <v>71</v>
      </c>
      <c r="T71" s="50"/>
    </row>
    <row r="72" spans="1:20" ht="16.5" x14ac:dyDescent="0.45">
      <c r="A72" s="3">
        <v>20</v>
      </c>
      <c r="B72" s="7">
        <v>279.3</v>
      </c>
      <c r="C72" s="7">
        <v>239.98</v>
      </c>
      <c r="D72" s="7">
        <v>39.33</v>
      </c>
      <c r="E72" s="7">
        <v>10365.25</v>
      </c>
      <c r="F72" s="7"/>
      <c r="G72" s="7"/>
      <c r="Q72" s="31" t="s">
        <v>76</v>
      </c>
      <c r="R72" s="32">
        <f>B29+B30+B31+B35+B36+B37</f>
        <v>19818.3</v>
      </c>
      <c r="S72" s="34">
        <f>K54</f>
        <v>3272.1900000000019</v>
      </c>
      <c r="T72" s="34" t="s">
        <v>77</v>
      </c>
    </row>
    <row r="73" spans="1:20" ht="30" x14ac:dyDescent="0.45">
      <c r="A73" s="3">
        <v>21</v>
      </c>
      <c r="B73" s="7">
        <v>279.3</v>
      </c>
      <c r="C73" s="7">
        <v>240.87</v>
      </c>
      <c r="D73" s="7">
        <v>38.44</v>
      </c>
      <c r="E73" s="7">
        <v>10124.379999999999</v>
      </c>
      <c r="F73" s="7"/>
      <c r="G73" s="7"/>
      <c r="Q73" s="29" t="s">
        <v>18</v>
      </c>
      <c r="R73" s="30">
        <f>B32+B33</f>
        <v>1194.47</v>
      </c>
      <c r="S73" s="33">
        <f>K65+S66</f>
        <v>77981.318171355961</v>
      </c>
      <c r="T73" s="33" t="s">
        <v>105</v>
      </c>
    </row>
    <row r="74" spans="1:20" ht="16.5" x14ac:dyDescent="0.45">
      <c r="A74" s="3">
        <v>22</v>
      </c>
      <c r="B74" s="7">
        <v>279.3</v>
      </c>
      <c r="C74" s="7">
        <v>241.76</v>
      </c>
      <c r="D74" s="7">
        <v>37.54</v>
      </c>
      <c r="E74" s="7">
        <v>9882.6200000000008</v>
      </c>
      <c r="F74" s="7"/>
      <c r="Q74" s="31" t="s">
        <v>98</v>
      </c>
      <c r="R74" s="32">
        <f>S75-SUM(R72:R73)</f>
        <v>73240.738171355959</v>
      </c>
      <c r="S74" s="34">
        <f>SUM(B44:B47)</f>
        <v>13000</v>
      </c>
      <c r="T74" s="34" t="s">
        <v>78</v>
      </c>
    </row>
    <row r="75" spans="1:20" ht="16.5" x14ac:dyDescent="0.45">
      <c r="A75" s="3">
        <v>23</v>
      </c>
      <c r="B75" s="7">
        <v>279.3</v>
      </c>
      <c r="C75" s="7">
        <v>242.66</v>
      </c>
      <c r="D75" s="7">
        <v>36.65</v>
      </c>
      <c r="E75" s="7">
        <v>9639.9699999999993</v>
      </c>
      <c r="F75" s="7"/>
      <c r="G75" s="7"/>
      <c r="Q75" s="39" t="s">
        <v>13</v>
      </c>
      <c r="R75" s="40">
        <f>SUM(R72:R74)</f>
        <v>94253.508171355963</v>
      </c>
      <c r="S75" s="41">
        <f>SUM(S72:S74)</f>
        <v>94253.508171355963</v>
      </c>
      <c r="T75" s="42" t="s">
        <v>13</v>
      </c>
    </row>
    <row r="76" spans="1:20" ht="16.5" x14ac:dyDescent="0.45">
      <c r="A76" s="3">
        <v>24</v>
      </c>
      <c r="B76" s="7">
        <v>279.3</v>
      </c>
      <c r="C76" s="7">
        <v>243.56</v>
      </c>
      <c r="D76" s="7">
        <v>35.75</v>
      </c>
      <c r="E76" s="7">
        <v>9396.41</v>
      </c>
      <c r="F76" s="7"/>
      <c r="G76" s="7"/>
      <c r="S76" s="35"/>
      <c r="T76" s="35"/>
    </row>
    <row r="77" spans="1:20" ht="18.5" x14ac:dyDescent="0.45">
      <c r="A77" s="3">
        <v>25</v>
      </c>
      <c r="B77" s="7">
        <v>279.3</v>
      </c>
      <c r="C77" s="7">
        <v>244.46</v>
      </c>
      <c r="D77" s="7">
        <v>34.85</v>
      </c>
      <c r="E77" s="7">
        <v>9151.9500000000007</v>
      </c>
      <c r="F77" s="7"/>
      <c r="G77" s="7"/>
      <c r="Q77" s="36" t="s">
        <v>103</v>
      </c>
      <c r="S77" s="35"/>
      <c r="T77" s="35"/>
    </row>
    <row r="78" spans="1:20" ht="16.5" x14ac:dyDescent="0.45">
      <c r="A78" s="3">
        <v>26</v>
      </c>
      <c r="B78" s="7">
        <v>279.3</v>
      </c>
      <c r="C78" s="7">
        <v>245.37</v>
      </c>
      <c r="D78" s="7">
        <v>33.94</v>
      </c>
      <c r="E78" s="7">
        <v>8906.58</v>
      </c>
      <c r="F78" s="7"/>
      <c r="G78" s="7"/>
      <c r="Q78" s="48" t="s">
        <v>70</v>
      </c>
      <c r="R78" s="48"/>
      <c r="S78" s="50" t="s">
        <v>71</v>
      </c>
      <c r="T78" s="50"/>
    </row>
    <row r="79" spans="1:20" ht="16.5" x14ac:dyDescent="0.45">
      <c r="A79" s="3">
        <v>27</v>
      </c>
      <c r="B79" s="7">
        <v>279.3</v>
      </c>
      <c r="C79" s="7">
        <v>246.28</v>
      </c>
      <c r="D79" s="7">
        <v>33.03</v>
      </c>
      <c r="E79" s="7">
        <v>8660.31</v>
      </c>
      <c r="F79" s="7"/>
      <c r="G79" s="7" t="s">
        <v>114</v>
      </c>
      <c r="H79" s="8">
        <f>-B49+H63/1.08+I63/1.08^2+J63/1.08^3+K63/1.08^4+L63/1.08^5</f>
        <v>103595.73223206916</v>
      </c>
      <c r="Q79" s="31" t="s">
        <v>76</v>
      </c>
      <c r="R79" s="32">
        <f>B29+B30+B31+B35+B36+B37</f>
        <v>19818.3</v>
      </c>
      <c r="S79" s="34">
        <f>L65+S73</f>
        <v>119982.65477406993</v>
      </c>
      <c r="T79" s="34" t="s">
        <v>105</v>
      </c>
    </row>
    <row r="80" spans="1:20" ht="30" x14ac:dyDescent="0.45">
      <c r="A80" s="3">
        <v>28</v>
      </c>
      <c r="B80" s="7">
        <v>279.3</v>
      </c>
      <c r="C80" s="7">
        <v>247.19</v>
      </c>
      <c r="D80" s="7">
        <v>32.119999999999997</v>
      </c>
      <c r="E80" s="7">
        <v>8413.1200000000008</v>
      </c>
      <c r="F80" s="7"/>
      <c r="G80" s="7"/>
      <c r="Q80" s="29" t="s">
        <v>18</v>
      </c>
      <c r="R80" s="30">
        <f>B32+B33</f>
        <v>1194.47</v>
      </c>
      <c r="S80" s="33">
        <f>SUM(B44:B47)</f>
        <v>13000</v>
      </c>
      <c r="T80" s="33" t="s">
        <v>78</v>
      </c>
    </row>
    <row r="81" spans="1:20" ht="16.5" x14ac:dyDescent="0.45">
      <c r="A81" s="3">
        <v>29</v>
      </c>
      <c r="B81" s="7">
        <v>279.3</v>
      </c>
      <c r="C81" s="7">
        <v>248.11</v>
      </c>
      <c r="D81" s="7">
        <v>31.2</v>
      </c>
      <c r="E81" s="7">
        <v>8165.01</v>
      </c>
      <c r="F81" s="7"/>
      <c r="G81" s="7"/>
      <c r="H81" s="25"/>
      <c r="Q81" s="31" t="s">
        <v>98</v>
      </c>
      <c r="R81" s="32">
        <f>S82-SUM(R79:R80)</f>
        <v>111969.88477406993</v>
      </c>
      <c r="S81" s="34"/>
      <c r="T81" s="34"/>
    </row>
    <row r="82" spans="1:20" ht="16.5" x14ac:dyDescent="0.45">
      <c r="A82" s="3">
        <v>30</v>
      </c>
      <c r="B82" s="7">
        <v>279.3</v>
      </c>
      <c r="C82" s="7">
        <v>249.03</v>
      </c>
      <c r="D82" s="7">
        <v>30.28</v>
      </c>
      <c r="E82" s="7">
        <v>7915.99</v>
      </c>
      <c r="F82" s="7"/>
      <c r="G82" s="7"/>
      <c r="Q82" s="39" t="s">
        <v>13</v>
      </c>
      <c r="R82" s="40">
        <f>SUM(R79:R81)</f>
        <v>132982.65477406993</v>
      </c>
      <c r="S82" s="41">
        <f>SUM(S79:S80)</f>
        <v>132982.65477406993</v>
      </c>
      <c r="T82" s="42" t="s">
        <v>13</v>
      </c>
    </row>
    <row r="83" spans="1:20" ht="16.5" x14ac:dyDescent="0.45">
      <c r="A83" s="3">
        <v>31</v>
      </c>
      <c r="B83" s="7">
        <v>279.3</v>
      </c>
      <c r="C83" s="7">
        <v>249.95</v>
      </c>
      <c r="D83" s="7">
        <v>29.36</v>
      </c>
      <c r="E83" s="7">
        <v>7666.04</v>
      </c>
      <c r="F83" s="7"/>
      <c r="G83" s="7"/>
      <c r="H83" s="26"/>
    </row>
    <row r="84" spans="1:20" ht="16.5" x14ac:dyDescent="0.45">
      <c r="A84" s="3">
        <v>32</v>
      </c>
      <c r="B84" s="7">
        <v>279.3</v>
      </c>
      <c r="C84" s="7">
        <v>250.88</v>
      </c>
      <c r="D84" s="7">
        <v>28.43</v>
      </c>
      <c r="E84" s="7">
        <v>7415.16</v>
      </c>
      <c r="F84" s="7"/>
      <c r="G84" s="7"/>
    </row>
    <row r="85" spans="1:20" ht="16.5" x14ac:dyDescent="0.45">
      <c r="A85" s="3">
        <v>33</v>
      </c>
      <c r="B85" s="7">
        <v>279.3</v>
      </c>
      <c r="C85" s="7">
        <v>251.81</v>
      </c>
      <c r="D85" s="7">
        <v>27.5</v>
      </c>
      <c r="E85" s="7">
        <v>7163.36</v>
      </c>
      <c r="F85" s="7"/>
      <c r="G85" s="7"/>
    </row>
    <row r="86" spans="1:20" ht="16.5" x14ac:dyDescent="0.45">
      <c r="A86" s="3">
        <v>34</v>
      </c>
      <c r="B86" s="7">
        <v>279.3</v>
      </c>
      <c r="C86" s="7">
        <v>252.74</v>
      </c>
      <c r="D86" s="7">
        <v>26.56</v>
      </c>
      <c r="E86" s="7">
        <v>6910.62</v>
      </c>
      <c r="F86" s="7"/>
      <c r="G86" s="7"/>
    </row>
    <row r="87" spans="1:20" ht="16.5" x14ac:dyDescent="0.45">
      <c r="A87" s="3">
        <v>35</v>
      </c>
      <c r="B87" s="7">
        <v>279.3</v>
      </c>
      <c r="C87" s="7">
        <v>253.68</v>
      </c>
      <c r="D87" s="7">
        <v>25.63</v>
      </c>
      <c r="E87" s="7">
        <v>6656.94</v>
      </c>
      <c r="F87" s="7"/>
      <c r="G87" s="24"/>
    </row>
    <row r="88" spans="1:20" ht="16.5" x14ac:dyDescent="0.45">
      <c r="A88" s="3">
        <v>36</v>
      </c>
      <c r="B88" s="7">
        <v>279.3</v>
      </c>
      <c r="C88" s="7">
        <v>254.62</v>
      </c>
      <c r="D88" s="7">
        <v>24.69</v>
      </c>
      <c r="E88" s="7">
        <v>6402.32</v>
      </c>
      <c r="F88" s="7"/>
      <c r="G88" s="27"/>
    </row>
    <row r="89" spans="1:20" ht="16.5" x14ac:dyDescent="0.45">
      <c r="A89" s="3">
        <v>37</v>
      </c>
      <c r="B89" s="7">
        <v>279.3</v>
      </c>
      <c r="C89" s="7">
        <v>255.56</v>
      </c>
      <c r="D89" s="7">
        <v>23.74</v>
      </c>
      <c r="E89" s="7">
        <v>6146.76</v>
      </c>
      <c r="F89" s="7"/>
    </row>
    <row r="90" spans="1:20" ht="16.5" x14ac:dyDescent="0.45">
      <c r="A90" s="3">
        <v>38</v>
      </c>
      <c r="B90" s="7">
        <v>279.3</v>
      </c>
      <c r="C90" s="7">
        <v>256.51</v>
      </c>
      <c r="D90" s="7">
        <v>22.79</v>
      </c>
      <c r="E90" s="7">
        <v>5890.25</v>
      </c>
      <c r="F90" s="7"/>
      <c r="G90" s="24"/>
    </row>
    <row r="91" spans="1:20" ht="16.5" x14ac:dyDescent="0.45">
      <c r="A91" s="3">
        <v>39</v>
      </c>
      <c r="B91" s="7">
        <v>279.3</v>
      </c>
      <c r="C91" s="7">
        <v>257.45999999999998</v>
      </c>
      <c r="D91" s="7">
        <v>21.84</v>
      </c>
      <c r="E91" s="7">
        <v>5632.79</v>
      </c>
      <c r="F91" s="7"/>
      <c r="G91" s="24"/>
    </row>
    <row r="92" spans="1:20" ht="16.5" x14ac:dyDescent="0.45">
      <c r="A92" s="3">
        <v>40</v>
      </c>
      <c r="B92" s="7">
        <v>279.3</v>
      </c>
      <c r="C92" s="7">
        <v>258.42</v>
      </c>
      <c r="D92" s="7">
        <v>20.89</v>
      </c>
      <c r="E92" s="7">
        <v>5374.37</v>
      </c>
      <c r="F92" s="7"/>
      <c r="G92" s="7"/>
    </row>
    <row r="93" spans="1:20" ht="16.5" x14ac:dyDescent="0.45">
      <c r="A93" s="3">
        <v>41</v>
      </c>
      <c r="B93" s="7">
        <v>279.3</v>
      </c>
      <c r="C93" s="7">
        <v>259.37</v>
      </c>
      <c r="D93" s="7">
        <v>19.93</v>
      </c>
      <c r="E93" s="7">
        <v>5115</v>
      </c>
      <c r="F93" s="7"/>
      <c r="G93" s="7"/>
    </row>
    <row r="94" spans="1:20" ht="16.5" x14ac:dyDescent="0.45">
      <c r="A94" s="3">
        <v>42</v>
      </c>
      <c r="B94" s="7">
        <v>279.3</v>
      </c>
      <c r="C94" s="7">
        <v>260.33999999999997</v>
      </c>
      <c r="D94" s="7">
        <v>18.97</v>
      </c>
      <c r="E94" s="7">
        <v>4854.66</v>
      </c>
      <c r="F94" s="7"/>
      <c r="G94" s="7"/>
    </row>
    <row r="95" spans="1:20" ht="16.5" x14ac:dyDescent="0.45">
      <c r="A95" s="3">
        <v>43</v>
      </c>
      <c r="B95" s="7">
        <v>279.3</v>
      </c>
      <c r="C95" s="7">
        <v>261.3</v>
      </c>
      <c r="D95" s="7">
        <v>18</v>
      </c>
      <c r="E95" s="7">
        <v>4593.3599999999997</v>
      </c>
      <c r="F95" s="7"/>
      <c r="G95" s="7"/>
    </row>
    <row r="96" spans="1:20" ht="16.5" x14ac:dyDescent="0.45">
      <c r="A96" s="3">
        <v>44</v>
      </c>
      <c r="B96" s="7">
        <v>279.3</v>
      </c>
      <c r="C96" s="7">
        <v>262.27</v>
      </c>
      <c r="D96" s="7">
        <v>17.03</v>
      </c>
      <c r="E96" s="7">
        <v>4331.09</v>
      </c>
      <c r="F96" s="7"/>
      <c r="G96" s="7"/>
    </row>
    <row r="97" spans="1:7" ht="16.5" x14ac:dyDescent="0.45">
      <c r="A97" s="3">
        <v>45</v>
      </c>
      <c r="B97" s="7">
        <v>279.3</v>
      </c>
      <c r="C97" s="7">
        <v>263.24</v>
      </c>
      <c r="D97" s="7">
        <v>16.059999999999999</v>
      </c>
      <c r="E97" s="7">
        <v>4067.84</v>
      </c>
      <c r="F97" s="7"/>
      <c r="G97" s="7"/>
    </row>
    <row r="98" spans="1:7" ht="16.5" x14ac:dyDescent="0.45">
      <c r="A98" s="3">
        <v>46</v>
      </c>
      <c r="B98" s="7">
        <v>279.3</v>
      </c>
      <c r="C98" s="7">
        <v>264.22000000000003</v>
      </c>
      <c r="D98" s="7">
        <v>15.08</v>
      </c>
      <c r="E98" s="7">
        <v>3803.62</v>
      </c>
      <c r="F98" s="7"/>
      <c r="G98" s="7"/>
    </row>
    <row r="99" spans="1:7" ht="16.5" x14ac:dyDescent="0.45">
      <c r="A99" s="3">
        <v>47</v>
      </c>
      <c r="B99" s="7">
        <v>279.3</v>
      </c>
      <c r="C99" s="7">
        <v>265.2</v>
      </c>
      <c r="D99" s="7">
        <v>14.11</v>
      </c>
      <c r="E99" s="7">
        <v>3538.43</v>
      </c>
      <c r="F99" s="7"/>
      <c r="G99" s="7"/>
    </row>
    <row r="100" spans="1:7" ht="16.5" x14ac:dyDescent="0.45">
      <c r="A100" s="3">
        <v>48</v>
      </c>
      <c r="B100" s="7">
        <v>279.3</v>
      </c>
      <c r="C100" s="7">
        <v>266.18</v>
      </c>
      <c r="D100" s="7">
        <v>13.12</v>
      </c>
      <c r="E100" s="7">
        <v>3272.24</v>
      </c>
      <c r="F100" s="7"/>
      <c r="G100" s="7"/>
    </row>
    <row r="101" spans="1:7" ht="16.5" x14ac:dyDescent="0.45">
      <c r="A101" s="3">
        <v>49</v>
      </c>
      <c r="B101" s="7">
        <v>279.3</v>
      </c>
      <c r="C101" s="7">
        <v>267.17</v>
      </c>
      <c r="D101" s="7">
        <v>12.13</v>
      </c>
      <c r="E101" s="7">
        <v>3005.07</v>
      </c>
      <c r="F101" s="7"/>
      <c r="G101" s="7"/>
    </row>
    <row r="102" spans="1:7" ht="16.5" x14ac:dyDescent="0.45">
      <c r="A102" s="3">
        <v>50</v>
      </c>
      <c r="B102" s="7">
        <v>279.3</v>
      </c>
      <c r="C102" s="7">
        <v>268.16000000000003</v>
      </c>
      <c r="D102" s="7">
        <v>11.14</v>
      </c>
      <c r="E102" s="7">
        <v>2736.91</v>
      </c>
      <c r="F102" s="7"/>
      <c r="G102" s="7"/>
    </row>
    <row r="103" spans="1:7" ht="16.5" x14ac:dyDescent="0.45">
      <c r="A103" s="3">
        <v>51</v>
      </c>
      <c r="B103" s="7">
        <v>279.3</v>
      </c>
      <c r="C103" s="7">
        <v>269.14999999999998</v>
      </c>
      <c r="D103" s="7">
        <v>10.15</v>
      </c>
      <c r="E103" s="7">
        <v>2467.7600000000002</v>
      </c>
      <c r="F103" s="7"/>
      <c r="G103" s="7"/>
    </row>
    <row r="104" spans="1:7" ht="16.5" x14ac:dyDescent="0.45">
      <c r="A104" s="3">
        <v>52</v>
      </c>
      <c r="B104" s="7">
        <v>279.3</v>
      </c>
      <c r="C104" s="7">
        <v>270.14999999999998</v>
      </c>
      <c r="D104" s="7">
        <v>9.15</v>
      </c>
      <c r="E104" s="7">
        <v>2197.6</v>
      </c>
      <c r="F104" s="7"/>
      <c r="G104" s="7"/>
    </row>
    <row r="105" spans="1:7" ht="16.5" x14ac:dyDescent="0.45">
      <c r="A105" s="3">
        <v>53</v>
      </c>
      <c r="B105" s="7">
        <v>279.3</v>
      </c>
      <c r="C105" s="7">
        <v>271.14999999999998</v>
      </c>
      <c r="D105" s="7">
        <v>8.15</v>
      </c>
      <c r="E105" s="7">
        <v>1926.45</v>
      </c>
      <c r="F105" s="7"/>
      <c r="G105" s="7"/>
    </row>
    <row r="106" spans="1:7" ht="16.5" x14ac:dyDescent="0.45">
      <c r="A106" s="3">
        <v>54</v>
      </c>
      <c r="B106" s="7">
        <v>279.3</v>
      </c>
      <c r="C106" s="7">
        <v>272.16000000000003</v>
      </c>
      <c r="D106" s="7">
        <v>7.14</v>
      </c>
      <c r="E106" s="7">
        <v>1654.29</v>
      </c>
      <c r="F106" s="7"/>
      <c r="G106" s="7"/>
    </row>
    <row r="107" spans="1:7" ht="16.5" x14ac:dyDescent="0.45">
      <c r="A107" s="3">
        <v>55</v>
      </c>
      <c r="B107" s="7">
        <v>279.3</v>
      </c>
      <c r="C107" s="7">
        <v>273.17</v>
      </c>
      <c r="D107" s="7">
        <v>6.13</v>
      </c>
      <c r="E107" s="7">
        <v>1381.12</v>
      </c>
      <c r="F107" s="7"/>
      <c r="G107" s="7"/>
    </row>
    <row r="108" spans="1:7" ht="16.5" x14ac:dyDescent="0.45">
      <c r="A108" s="3">
        <v>56</v>
      </c>
      <c r="B108" s="7">
        <v>279.3</v>
      </c>
      <c r="C108" s="7">
        <v>274.18</v>
      </c>
      <c r="D108" s="7">
        <v>5.12</v>
      </c>
      <c r="E108" s="7">
        <v>1106.94</v>
      </c>
      <c r="F108" s="7"/>
      <c r="G108" s="7"/>
    </row>
    <row r="109" spans="1:7" ht="16.5" x14ac:dyDescent="0.45">
      <c r="A109" s="3">
        <v>57</v>
      </c>
      <c r="B109" s="7">
        <v>279.3</v>
      </c>
      <c r="C109" s="7">
        <v>275.2</v>
      </c>
      <c r="D109" s="7">
        <v>4.0999999999999996</v>
      </c>
      <c r="E109" s="7">
        <v>831.74</v>
      </c>
      <c r="F109" s="7"/>
      <c r="G109" s="7"/>
    </row>
    <row r="110" spans="1:7" ht="16.5" x14ac:dyDescent="0.45">
      <c r="A110" s="3">
        <v>58</v>
      </c>
      <c r="B110" s="7">
        <v>279.3</v>
      </c>
      <c r="C110" s="7">
        <v>276.22000000000003</v>
      </c>
      <c r="D110" s="7">
        <v>3.08</v>
      </c>
      <c r="E110" s="7">
        <v>555.52</v>
      </c>
      <c r="F110" s="7"/>
      <c r="G110" s="7"/>
    </row>
    <row r="111" spans="1:7" ht="16.5" x14ac:dyDescent="0.45">
      <c r="A111" s="3">
        <v>59</v>
      </c>
      <c r="B111" s="7">
        <v>279.3</v>
      </c>
      <c r="C111" s="7">
        <v>277.24</v>
      </c>
      <c r="D111" s="7">
        <v>2.06</v>
      </c>
      <c r="E111" s="7">
        <v>278.27</v>
      </c>
      <c r="F111" s="7"/>
      <c r="G111" s="7"/>
    </row>
    <row r="112" spans="1:7" ht="16.5" x14ac:dyDescent="0.45">
      <c r="A112" s="3">
        <v>60</v>
      </c>
      <c r="B112" s="7">
        <v>279.3</v>
      </c>
      <c r="C112" s="7">
        <v>278.27</v>
      </c>
      <c r="D112" s="7">
        <v>1.03</v>
      </c>
      <c r="E112" s="7">
        <v>0</v>
      </c>
      <c r="F112" s="7"/>
    </row>
  </sheetData>
  <mergeCells count="23">
    <mergeCell ref="Q71:R71"/>
    <mergeCell ref="S71:T71"/>
    <mergeCell ref="Q78:R78"/>
    <mergeCell ref="S78:T78"/>
    <mergeCell ref="A13:F13"/>
    <mergeCell ref="Q57:R57"/>
    <mergeCell ref="S57:T57"/>
    <mergeCell ref="Q64:R64"/>
    <mergeCell ref="S64:T64"/>
    <mergeCell ref="S50:T50"/>
    <mergeCell ref="G59:L59"/>
    <mergeCell ref="Q50:R50"/>
    <mergeCell ref="A1:G1"/>
    <mergeCell ref="I1:V1"/>
    <mergeCell ref="I22:N22"/>
    <mergeCell ref="I9:N9"/>
    <mergeCell ref="A51:E51"/>
    <mergeCell ref="G49:K49"/>
    <mergeCell ref="Q37:R37"/>
    <mergeCell ref="S37:T37"/>
    <mergeCell ref="A27:B27"/>
    <mergeCell ref="A42:B42"/>
    <mergeCell ref="I16:M16"/>
  </mergeCells>
  <phoneticPr fontId="3" type="noConversion"/>
  <pageMargins left="0.7" right="0.7" top="0.75" bottom="0.75" header="0.3" footer="0.3"/>
  <pageSetup paperSize="9" orientation="portrait" r:id="rId1"/>
  <ignoredErrors>
    <ignoredError sqref="S39 S53:T58 S60:T82 T59" formulaRange="1"/>
    <ignoredError sqref="A9:G9" formula="1"/>
    <ignoredError sqref="Z28 AD28 AH28" calculatedColumn="1"/>
  </ignoredErrors>
  <drawing r:id="rId2"/>
  <tableParts count="17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Amor</dc:creator>
  <cp:lastModifiedBy>Miguel Fidalgo García</cp:lastModifiedBy>
  <dcterms:created xsi:type="dcterms:W3CDTF">2015-06-05T18:19:34Z</dcterms:created>
  <dcterms:modified xsi:type="dcterms:W3CDTF">2024-01-12T18:53:12Z</dcterms:modified>
</cp:coreProperties>
</file>