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B9D0573A-3CAA-4354-9B1D-92DB1021FFA7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ESORIA PM" sheetId="1" r:id="rId1"/>
    <sheet name="PM Y PFAE" sheetId="2" r:id="rId2"/>
    <sheet name="PF RIF" sheetId="4" state="hidden" r:id="rId3"/>
    <sheet name="PF ARRENDAMIENTO" sheetId="5" state="hidden" r:id="rId4"/>
    <sheet name="PF HONORARIOS" sheetId="6" state="hidden" r:id="rId5"/>
    <sheet name="CONSTRUCTORAS E INM" sheetId="7" state="hidden" r:id="rId6"/>
  </sheets>
  <calcPr calcId="191029"/>
</workbook>
</file>

<file path=xl/calcChain.xml><?xml version="1.0" encoding="utf-8"?>
<calcChain xmlns="http://schemas.openxmlformats.org/spreadsheetml/2006/main">
  <c r="D30" i="7" l="1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E14" i="6"/>
  <c r="E13" i="6"/>
  <c r="E12" i="6"/>
  <c r="E11" i="6"/>
  <c r="E29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E13" i="5"/>
  <c r="E12" i="5"/>
  <c r="L17" i="4"/>
  <c r="J17" i="4"/>
  <c r="H17" i="4"/>
  <c r="F19" i="4"/>
  <c r="F18" i="4"/>
  <c r="F17" i="4"/>
  <c r="E19" i="4"/>
  <c r="E18" i="4"/>
  <c r="E17" i="4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22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F20" i="1"/>
  <c r="G20" i="1" s="1"/>
  <c r="H20" i="1" s="1"/>
  <c r="I20" i="1" s="1"/>
  <c r="J20" i="1" s="1"/>
  <c r="K20" i="1" s="1"/>
  <c r="L20" i="1" s="1"/>
  <c r="M20" i="1" s="1"/>
  <c r="N20" i="1" s="1"/>
  <c r="O20" i="1" s="1"/>
  <c r="E19" i="1"/>
  <c r="E17" i="1"/>
  <c r="E18" i="1"/>
  <c r="F18" i="1"/>
  <c r="G18" i="1" s="1"/>
  <c r="H18" i="1" s="1"/>
  <c r="I18" i="1" s="1"/>
  <c r="J18" i="1" s="1"/>
  <c r="K18" i="1" s="1"/>
  <c r="L18" i="1" s="1"/>
  <c r="M18" i="1" s="1"/>
  <c r="N18" i="1" s="1"/>
  <c r="O18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E16" i="1"/>
  <c r="E30" i="7"/>
  <c r="F30" i="7" s="1"/>
  <c r="G30" i="7" s="1"/>
  <c r="H30" i="7" s="1"/>
  <c r="I30" i="7" s="1"/>
  <c r="J30" i="7" s="1"/>
  <c r="K30" i="7" s="1"/>
  <c r="L30" i="7" s="1"/>
  <c r="M30" i="7" s="1"/>
  <c r="N30" i="7" s="1"/>
  <c r="E29" i="7"/>
  <c r="F29" i="7" s="1"/>
  <c r="G29" i="7" s="1"/>
  <c r="H29" i="7" s="1"/>
  <c r="I29" i="7" s="1"/>
  <c r="J29" i="7" s="1"/>
  <c r="K29" i="7" s="1"/>
  <c r="L29" i="7" s="1"/>
  <c r="M29" i="7" s="1"/>
  <c r="N29" i="7" s="1"/>
  <c r="E28" i="7"/>
  <c r="F28" i="7" s="1"/>
  <c r="G28" i="7" s="1"/>
  <c r="H28" i="7" s="1"/>
  <c r="I28" i="7" s="1"/>
  <c r="J28" i="7" s="1"/>
  <c r="K28" i="7" s="1"/>
  <c r="L28" i="7" s="1"/>
  <c r="M28" i="7" s="1"/>
  <c r="N28" i="7" s="1"/>
  <c r="E27" i="7"/>
  <c r="F27" i="7" s="1"/>
  <c r="G27" i="7" s="1"/>
  <c r="H27" i="7" s="1"/>
  <c r="I27" i="7" s="1"/>
  <c r="J27" i="7" s="1"/>
  <c r="K27" i="7" s="1"/>
  <c r="L27" i="7" s="1"/>
  <c r="M27" i="7" s="1"/>
  <c r="N27" i="7" s="1"/>
  <c r="E26" i="7"/>
  <c r="F26" i="7" s="1"/>
  <c r="G26" i="7" s="1"/>
  <c r="H26" i="7" s="1"/>
  <c r="I26" i="7" s="1"/>
  <c r="J26" i="7" s="1"/>
  <c r="K26" i="7" s="1"/>
  <c r="L26" i="7" s="1"/>
  <c r="M26" i="7" s="1"/>
  <c r="N26" i="7" s="1"/>
  <c r="E25" i="7"/>
  <c r="F25" i="7" s="1"/>
  <c r="G25" i="7" s="1"/>
  <c r="H25" i="7" s="1"/>
  <c r="I25" i="7" s="1"/>
  <c r="J25" i="7" s="1"/>
  <c r="K25" i="7" s="1"/>
  <c r="L25" i="7" s="1"/>
  <c r="M25" i="7" s="1"/>
  <c r="N25" i="7" s="1"/>
  <c r="E24" i="7"/>
  <c r="F24" i="7" s="1"/>
  <c r="G24" i="7" s="1"/>
  <c r="H24" i="7" s="1"/>
  <c r="I24" i="7" s="1"/>
  <c r="J24" i="7" s="1"/>
  <c r="K24" i="7" s="1"/>
  <c r="L24" i="7" s="1"/>
  <c r="M24" i="7" s="1"/>
  <c r="N24" i="7" s="1"/>
  <c r="E23" i="7"/>
  <c r="F23" i="7" s="1"/>
  <c r="G23" i="7" s="1"/>
  <c r="H23" i="7" s="1"/>
  <c r="I23" i="7" s="1"/>
  <c r="J23" i="7" s="1"/>
  <c r="K23" i="7" s="1"/>
  <c r="L23" i="7" s="1"/>
  <c r="M23" i="7" s="1"/>
  <c r="N23" i="7" s="1"/>
  <c r="E22" i="7"/>
  <c r="F22" i="7" s="1"/>
  <c r="G22" i="7" s="1"/>
  <c r="H22" i="7" s="1"/>
  <c r="I22" i="7" s="1"/>
  <c r="J22" i="7" s="1"/>
  <c r="K22" i="7" s="1"/>
  <c r="L22" i="7" s="1"/>
  <c r="M22" i="7" s="1"/>
  <c r="N22" i="7" s="1"/>
  <c r="E21" i="7"/>
  <c r="F21" i="7" s="1"/>
  <c r="G21" i="7" s="1"/>
  <c r="H21" i="7" s="1"/>
  <c r="I21" i="7" s="1"/>
  <c r="J21" i="7" s="1"/>
  <c r="K21" i="7" s="1"/>
  <c r="L21" i="7" s="1"/>
  <c r="M21" i="7" s="1"/>
  <c r="N21" i="7" s="1"/>
  <c r="E20" i="7"/>
  <c r="F20" i="7" s="1"/>
  <c r="G20" i="7" s="1"/>
  <c r="H20" i="7" s="1"/>
  <c r="I20" i="7" s="1"/>
  <c r="J20" i="7" s="1"/>
  <c r="K20" i="7" s="1"/>
  <c r="L20" i="7" s="1"/>
  <c r="M20" i="7" s="1"/>
  <c r="N20" i="7" s="1"/>
  <c r="E19" i="7"/>
  <c r="F19" i="7" s="1"/>
  <c r="G19" i="7" s="1"/>
  <c r="H19" i="7" s="1"/>
  <c r="I19" i="7" s="1"/>
  <c r="J19" i="7" s="1"/>
  <c r="K19" i="7" s="1"/>
  <c r="L19" i="7" s="1"/>
  <c r="M19" i="7" s="1"/>
  <c r="N19" i="7" s="1"/>
  <c r="E18" i="7"/>
  <c r="F18" i="7" s="1"/>
  <c r="G18" i="7" s="1"/>
  <c r="H18" i="7" s="1"/>
  <c r="I18" i="7" s="1"/>
  <c r="J18" i="7" s="1"/>
  <c r="K18" i="7" s="1"/>
  <c r="L18" i="7" s="1"/>
  <c r="M18" i="7" s="1"/>
  <c r="N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E16" i="7"/>
  <c r="F16" i="7" s="1"/>
  <c r="G16" i="7" s="1"/>
  <c r="H16" i="7" s="1"/>
  <c r="I16" i="7" s="1"/>
  <c r="J16" i="7" s="1"/>
  <c r="K16" i="7" s="1"/>
  <c r="L16" i="7" s="1"/>
  <c r="M16" i="7" s="1"/>
  <c r="N16" i="7" s="1"/>
  <c r="E15" i="7"/>
  <c r="F15" i="7" s="1"/>
  <c r="G15" i="7" s="1"/>
  <c r="H15" i="7" s="1"/>
  <c r="I15" i="7" s="1"/>
  <c r="J15" i="7" s="1"/>
  <c r="K15" i="7" s="1"/>
  <c r="L15" i="7" s="1"/>
  <c r="M15" i="7" s="1"/>
  <c r="N15" i="7" s="1"/>
  <c r="E14" i="7"/>
  <c r="F14" i="7" s="1"/>
  <c r="G14" i="7" s="1"/>
  <c r="H14" i="7" s="1"/>
  <c r="I14" i="7" s="1"/>
  <c r="J14" i="7" s="1"/>
  <c r="K14" i="7" s="1"/>
  <c r="L14" i="7" s="1"/>
  <c r="M14" i="7" s="1"/>
  <c r="N14" i="7" s="1"/>
  <c r="E13" i="7"/>
  <c r="F13" i="7" s="1"/>
  <c r="G13" i="7" s="1"/>
  <c r="H13" i="7" s="1"/>
  <c r="I13" i="7" s="1"/>
  <c r="J13" i="7" s="1"/>
  <c r="K13" i="7" s="1"/>
  <c r="L13" i="7" s="1"/>
  <c r="M13" i="7" s="1"/>
  <c r="N13" i="7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F16" i="2" l="1"/>
  <c r="G16" i="2" s="1"/>
  <c r="H16" i="2" s="1"/>
  <c r="I16" i="2" s="1"/>
  <c r="J16" i="2" s="1"/>
  <c r="K16" i="2" s="1"/>
  <c r="L16" i="2" s="1"/>
  <c r="M16" i="2" s="1"/>
  <c r="N16" i="2" s="1"/>
  <c r="O16" i="2" s="1"/>
  <c r="F17" i="2"/>
  <c r="G17" i="2" s="1"/>
  <c r="H17" i="2" s="1"/>
  <c r="I17" i="2" s="1"/>
  <c r="J17" i="2" s="1"/>
  <c r="K17" i="2" s="1"/>
  <c r="L17" i="2" s="1"/>
  <c r="M17" i="2" s="1"/>
  <c r="N17" i="2" s="1"/>
  <c r="O17" i="2" s="1"/>
  <c r="F18" i="2"/>
  <c r="G18" i="2" s="1"/>
  <c r="H18" i="2" s="1"/>
  <c r="I18" i="2" s="1"/>
  <c r="J18" i="2" s="1"/>
  <c r="K18" i="2" s="1"/>
  <c r="L18" i="2" s="1"/>
  <c r="M18" i="2" s="1"/>
  <c r="N18" i="2" s="1"/>
  <c r="O18" i="2" s="1"/>
  <c r="F19" i="2"/>
  <c r="G19" i="2" s="1"/>
  <c r="H19" i="2" s="1"/>
  <c r="I19" i="2" s="1"/>
  <c r="J19" i="2" s="1"/>
  <c r="K19" i="2" s="1"/>
  <c r="L19" i="2" s="1"/>
  <c r="M19" i="2" s="1"/>
  <c r="N19" i="2" s="1"/>
  <c r="O19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F21" i="2"/>
  <c r="G21" i="2" s="1"/>
  <c r="H21" i="2" s="1"/>
  <c r="I21" i="2" s="1"/>
  <c r="J21" i="2" s="1"/>
  <c r="K21" i="2" s="1"/>
  <c r="L21" i="2" s="1"/>
  <c r="M21" i="2" s="1"/>
  <c r="N21" i="2" s="1"/>
  <c r="O21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F23" i="2"/>
  <c r="G23" i="2" s="1"/>
  <c r="H23" i="2" s="1"/>
  <c r="I23" i="2" s="1"/>
  <c r="J23" i="2" s="1"/>
  <c r="K23" i="2" s="1"/>
  <c r="L23" i="2" s="1"/>
  <c r="M23" i="2" s="1"/>
  <c r="N23" i="2" s="1"/>
  <c r="O23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F26" i="2"/>
  <c r="G26" i="2" s="1"/>
  <c r="H26" i="2" s="1"/>
  <c r="I26" i="2" s="1"/>
  <c r="J26" i="2" s="1"/>
  <c r="K26" i="2" s="1"/>
  <c r="L26" i="2" s="1"/>
  <c r="M26" i="2" s="1"/>
  <c r="N26" i="2" s="1"/>
  <c r="O26" i="2" s="1"/>
  <c r="F27" i="2"/>
  <c r="G27" i="2" s="1"/>
  <c r="H27" i="2" s="1"/>
  <c r="I27" i="2" s="1"/>
  <c r="J27" i="2" s="1"/>
  <c r="K27" i="2" s="1"/>
  <c r="L27" i="2" s="1"/>
  <c r="M27" i="2" s="1"/>
  <c r="N27" i="2" s="1"/>
  <c r="O27" i="2" s="1"/>
  <c r="F28" i="2"/>
  <c r="G28" i="2" s="1"/>
  <c r="H28" i="2" s="1"/>
  <c r="I28" i="2" s="1"/>
  <c r="J28" i="2" s="1"/>
  <c r="K28" i="2" s="1"/>
  <c r="L28" i="2" s="1"/>
  <c r="M28" i="2" s="1"/>
  <c r="N28" i="2" s="1"/>
  <c r="O28" i="2" s="1"/>
  <c r="F29" i="2"/>
  <c r="G29" i="2" s="1"/>
  <c r="H29" i="2" s="1"/>
  <c r="I29" i="2" s="1"/>
  <c r="J29" i="2" s="1"/>
  <c r="K29" i="2" s="1"/>
  <c r="L29" i="2" s="1"/>
  <c r="M29" i="2" s="1"/>
  <c r="N29" i="2" s="1"/>
  <c r="O29" i="2" s="1"/>
  <c r="F30" i="2"/>
  <c r="G30" i="2" s="1"/>
  <c r="H30" i="2" s="1"/>
  <c r="I30" i="2" s="1"/>
  <c r="J30" i="2" s="1"/>
  <c r="K30" i="2" s="1"/>
  <c r="L30" i="2" s="1"/>
  <c r="M30" i="2" s="1"/>
  <c r="N30" i="2" s="1"/>
  <c r="O30" i="2" s="1"/>
  <c r="F31" i="2"/>
  <c r="G31" i="2" s="1"/>
  <c r="H31" i="2" s="1"/>
  <c r="I31" i="2" s="1"/>
  <c r="J31" i="2" s="1"/>
  <c r="K31" i="2" s="1"/>
  <c r="L31" i="2" s="1"/>
  <c r="M31" i="2" s="1"/>
  <c r="N31" i="2" s="1"/>
  <c r="O31" i="2" s="1"/>
  <c r="F32" i="2"/>
  <c r="G32" i="2" s="1"/>
  <c r="H32" i="2" s="1"/>
  <c r="I32" i="2" s="1"/>
  <c r="J32" i="2" s="1"/>
  <c r="K32" i="2" s="1"/>
  <c r="L32" i="2" s="1"/>
  <c r="M32" i="2" s="1"/>
  <c r="N32" i="2" s="1"/>
  <c r="O32" i="2" s="1"/>
  <c r="F33" i="2"/>
  <c r="G33" i="2" s="1"/>
  <c r="H33" i="2" s="1"/>
  <c r="I33" i="2" s="1"/>
  <c r="J33" i="2" s="1"/>
  <c r="K33" i="2" s="1"/>
  <c r="L33" i="2" s="1"/>
  <c r="M33" i="2" s="1"/>
  <c r="N33" i="2" s="1"/>
  <c r="O33" i="2" s="1"/>
  <c r="E14" i="5" l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D13" i="5"/>
  <c r="D14" i="5" s="1"/>
  <c r="C13" i="5"/>
  <c r="C15" i="5" l="1"/>
  <c r="D15" i="5"/>
  <c r="D16" i="5" s="1"/>
  <c r="C17" i="5" s="1"/>
  <c r="C14" i="5"/>
  <c r="D17" i="5" l="1"/>
  <c r="D18" i="5" s="1"/>
  <c r="C16" i="5"/>
  <c r="C18" i="5" l="1"/>
  <c r="C19" i="5"/>
  <c r="D19" i="5"/>
  <c r="D20" i="5" l="1"/>
  <c r="C20" i="5"/>
  <c r="C21" i="5" l="1"/>
  <c r="D21" i="5"/>
  <c r="D22" i="5" l="1"/>
  <c r="C22" i="5"/>
  <c r="H18" i="4"/>
  <c r="J18" i="4" s="1"/>
  <c r="L18" i="4" s="1"/>
  <c r="H19" i="4"/>
  <c r="J19" i="4" s="1"/>
  <c r="L19" i="4" s="1"/>
  <c r="C23" i="5" l="1"/>
  <c r="D23" i="5"/>
  <c r="D24" i="5" l="1"/>
  <c r="C24" i="5"/>
  <c r="D25" i="5" l="1"/>
  <c r="C25" i="5"/>
  <c r="D26" i="5" l="1"/>
  <c r="C26" i="5"/>
  <c r="C27" i="5" l="1"/>
  <c r="D27" i="5"/>
  <c r="D28" i="5" l="1"/>
  <c r="C28" i="5"/>
  <c r="C29" i="5" l="1"/>
  <c r="D29" i="5"/>
</calcChain>
</file>

<file path=xl/sharedStrings.xml><?xml version="1.0" encoding="utf-8"?>
<sst xmlns="http://schemas.openxmlformats.org/spreadsheetml/2006/main" count="137" uniqueCount="59">
  <si>
    <t>INGRESOS ANUALES ($)</t>
  </si>
  <si>
    <t>BASE HONORARIO MENSUAL ($)</t>
  </si>
  <si>
    <t>A                        Moderado</t>
  </si>
  <si>
    <t>A                 Alto</t>
  </si>
  <si>
    <t>B                        Moderado</t>
  </si>
  <si>
    <t>B                 Alto</t>
  </si>
  <si>
    <t>C                        Moderado</t>
  </si>
  <si>
    <t>C                 Alto</t>
  </si>
  <si>
    <t>&lt; 50</t>
  </si>
  <si>
    <t>&gt;75&lt;100</t>
  </si>
  <si>
    <t>&gt;100&lt;125</t>
  </si>
  <si>
    <t>&gt;125&lt;150</t>
  </si>
  <si>
    <t>&gt;150&lt;225</t>
  </si>
  <si>
    <t>&gt;225&lt;275</t>
  </si>
  <si>
    <t>&gt;275&lt;300</t>
  </si>
  <si>
    <t>&gt;300&lt;350</t>
  </si>
  <si>
    <t>&gt;350&lt;400</t>
  </si>
  <si>
    <t>&gt;400</t>
  </si>
  <si>
    <t>A             Bajo</t>
  </si>
  <si>
    <t>B              Bajo</t>
  </si>
  <si>
    <t>C           Bajo</t>
  </si>
  <si>
    <t xml:space="preserve">Nota. </t>
  </si>
  <si>
    <t>PERSONA FISICA</t>
  </si>
  <si>
    <t>RIF</t>
  </si>
  <si>
    <t xml:space="preserve">Volumen Operación </t>
  </si>
  <si>
    <t xml:space="preserve">NOMINA </t>
  </si>
  <si>
    <t>BANCO</t>
  </si>
  <si>
    <t>NO</t>
  </si>
  <si>
    <t>SI</t>
  </si>
  <si>
    <t xml:space="preserve">NO </t>
  </si>
  <si>
    <t>ARRENDAMIENTO</t>
  </si>
  <si>
    <t>HONORARIO MENSUAL ($)</t>
  </si>
  <si>
    <t>HONORARIOS</t>
  </si>
  <si>
    <t xml:space="preserve"> PERSONA MORAL</t>
  </si>
  <si>
    <t xml:space="preserve">    PFAE Y </t>
  </si>
  <si>
    <t>AÑO 2021</t>
  </si>
  <si>
    <t>A partir de 5 trabajadores la Nómina se cotiza por separado</t>
  </si>
  <si>
    <t>Este tabulador no incluye costo de timbres de Nómina ni costo de timbres de Facturación de Ingresos</t>
  </si>
  <si>
    <t xml:space="preserve">Incluye elaboración de Nómina y calculo de impuestos de Nómina mayor a 5 trabajadores. </t>
  </si>
  <si>
    <t xml:space="preserve">Volumen Operación Movimientos Bancarios (Ingresos y Gastos) </t>
  </si>
  <si>
    <t>PERSONAS FISICAS</t>
  </si>
  <si>
    <t>NOTA: CON MAS RECIBOS SE INCREMENTA 200 PESOS MAS AL HONORARIO ESTABLECIDO.</t>
  </si>
  <si>
    <t>UN RECIBO Y SIN TRABAJADORES POR MES</t>
  </si>
  <si>
    <t xml:space="preserve">Nota: Incluye elaboración de Nómina y calculo de impuestos de Nómina mayor a 5 trabajadores. </t>
  </si>
  <si>
    <t>ASESORIA FISCAL</t>
  </si>
  <si>
    <t xml:space="preserve">PFAE Y PM </t>
  </si>
  <si>
    <t>Volumen Operación Movimientos Bancarios</t>
  </si>
  <si>
    <t xml:space="preserve">Elaboración Contable y Análisis de Impuestos </t>
  </si>
  <si>
    <t>HONORARIO MENSUAL Ley Antilavado de Dinero</t>
  </si>
  <si>
    <t>CONSTRUCTORAS E INMOBILIARIAS</t>
  </si>
  <si>
    <t>BASE HONORARIO</t>
  </si>
  <si>
    <t>Volumen Operación Polizas/Mes</t>
  </si>
  <si>
    <t>Nota. (A REVISIÓN)</t>
  </si>
  <si>
    <t>A partir de 6 trabajadores la Nomina se cotiza por separado</t>
  </si>
  <si>
    <t>Este tabulador no incluye costo de timbres de Nomina</t>
  </si>
  <si>
    <t>TABULADOR DE HONORARIOS POR GRUPOS</t>
  </si>
  <si>
    <r>
      <t xml:space="preserve">TABULADOR DE HONORARIOS POR GRUPOS  </t>
    </r>
    <r>
      <rPr>
        <sz val="15"/>
        <color rgb="FF0395B9"/>
        <rFont val="Avenir Black"/>
        <family val="2"/>
      </rPr>
      <t xml:space="preserve"> AÑO 2021</t>
    </r>
  </si>
  <si>
    <r>
      <rPr>
        <sz val="18"/>
        <color rgb="FF002A67"/>
        <rFont val="Avenir Black"/>
      </rPr>
      <t xml:space="preserve">TABULADOR DE HONORARIOS POR GRUPOS </t>
    </r>
    <r>
      <rPr>
        <sz val="20"/>
        <color rgb="FF002A67"/>
        <rFont val="Avenir Black"/>
        <family val="2"/>
      </rPr>
      <t xml:space="preserve"> </t>
    </r>
    <r>
      <rPr>
        <sz val="15"/>
        <color rgb="FF002A67"/>
        <rFont val="Avenir Black"/>
        <family val="2"/>
      </rPr>
      <t xml:space="preserve">    </t>
    </r>
    <r>
      <rPr>
        <sz val="15"/>
        <color rgb="FF0395B9"/>
        <rFont val="Avenir Black"/>
        <family val="2"/>
      </rPr>
      <t>AÑO 2021</t>
    </r>
  </si>
  <si>
    <r>
      <rPr>
        <sz val="20"/>
        <color rgb="FF002A67"/>
        <rFont val="Avenir Black"/>
        <family val="2"/>
      </rPr>
      <t xml:space="preserve">TABULADOR DE HONORARIOS POR GRUPOS </t>
    </r>
    <r>
      <rPr>
        <sz val="15"/>
        <color rgb="FF002A67"/>
        <rFont val="Avenir Black"/>
        <family val="2"/>
      </rPr>
      <t xml:space="preserve">    </t>
    </r>
    <r>
      <rPr>
        <sz val="15"/>
        <color rgb="FF0395B9"/>
        <rFont val="Avenir Black"/>
        <family val="2"/>
      </rPr>
      <t>AÑO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</si>
</sst>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.0\ ;&quot; (&quot;#,##0.00\);&quot; -&quot;#\ ;@\ "/>
    <numFmt numFmtId="166" formatCode="General\ "/>
    <numFmt numFmtId="167" formatCode="0.000"/>
    <numFmt numFmtId="168" formatCode="&quot;fl&quot;#,##0\ ;&quot;(fl&quot;#,##0\)"/>
    <numFmt numFmtId="169" formatCode="&quot;fl&quot;#,##0\ ;[Red]&quot;(fl&quot;#,##0\)"/>
    <numFmt numFmtId="170" formatCode="&quot;fl&quot;#,##0.00\ ;&quot;(fl&quot;#,##0.00\)"/>
    <numFmt numFmtId="171" formatCode="#,##0.00\ ;&quot; (&quot;#,##0.00\);&quot; -&quot;#\ ;@\ "/>
    <numFmt numFmtId="172" formatCode="_-[$€-2]* #,##0.00_-;\-[$€-2]* #,##0.00_-;_-[$€-2]* &quot;-&quot;??_-"/>
    <numFmt numFmtId="173" formatCode="_-[$€]* #,##0.00_-;\-[$€]* #,##0.00_-;_-[$€]* &quot;-&quot;??_-;_-@_-"/>
    <numFmt numFmtId="174" formatCode="0.00\ "/>
    <numFmt numFmtId="175" formatCode="\60&quot;47:&quot;"/>
    <numFmt numFmtId="176" formatCode="&quot;fl&quot;#,##0.00\ ;[Red]&quot;(fl&quot;#,##0.00\)"/>
    <numFmt numFmtId="177" formatCode="&quot; fl&quot;#,##0\ ;&quot; fl(&quot;#,##0\);&quot; fl- &quot;;@\ "/>
    <numFmt numFmtId="178" formatCode="_-&quot;$&quot;* #,##0_-;\-&quot;$&quot;* #,##0_-;_-&quot;$&quot;* &quot;-&quot;??_-;_-@_-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9"/>
      <name val="Times New Roman"/>
      <family val="1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Helv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i/>
      <sz val="16"/>
      <name val="Arial"/>
      <family val="2"/>
    </font>
    <font>
      <sz val="11"/>
      <color theme="1"/>
      <name val="Lucida Sans Unicode"/>
      <family val="2"/>
    </font>
    <font>
      <sz val="11"/>
      <color theme="1"/>
      <name val="Berlin Sans FB"/>
      <family val="2"/>
    </font>
    <font>
      <sz val="10"/>
      <name val="Book Antiqua"/>
      <family val="1"/>
    </font>
    <font>
      <sz val="12"/>
      <name val="Book Antiqua"/>
      <family val="1"/>
    </font>
    <font>
      <sz val="12"/>
      <color theme="1"/>
      <name val="Avenir Book"/>
      <family val="2"/>
    </font>
    <font>
      <b/>
      <sz val="12"/>
      <color theme="3" tint="-0.249977111117893"/>
      <name val="Avenir Black"/>
      <family val="2"/>
    </font>
    <font>
      <b/>
      <sz val="12"/>
      <name val="Avenir Book"/>
      <family val="2"/>
    </font>
    <font>
      <b/>
      <sz val="12"/>
      <color rgb="FF002A67"/>
      <name val="Avenir Black"/>
      <family val="2"/>
    </font>
    <font>
      <b/>
      <sz val="11"/>
      <color theme="1"/>
      <name val="Calibri"/>
      <family val="2"/>
    </font>
    <font>
      <sz val="10"/>
      <color rgb="FF0395B9"/>
      <name val="Avenir Book"/>
      <family val="2"/>
    </font>
    <font>
      <b/>
      <sz val="12"/>
      <color rgb="FF005274"/>
      <name val="Avenir Black"/>
      <family val="2"/>
    </font>
    <font>
      <sz val="10"/>
      <name val="Avenir Book"/>
      <family val="2"/>
    </font>
    <font>
      <sz val="12"/>
      <name val="Avenir Book"/>
      <family val="2"/>
    </font>
    <font>
      <sz val="14"/>
      <name val="Avenir Book"/>
      <family val="2"/>
    </font>
    <font>
      <sz val="8"/>
      <name val="Avenir Book"/>
      <family val="2"/>
    </font>
    <font>
      <b/>
      <sz val="9"/>
      <name val="Avenir Book"/>
      <family val="2"/>
    </font>
    <font>
      <b/>
      <sz val="8"/>
      <name val="Avenir Book"/>
      <family val="2"/>
    </font>
    <font>
      <b/>
      <sz val="10"/>
      <name val="Avenir Book"/>
      <family val="2"/>
    </font>
    <font>
      <sz val="10"/>
      <name val="Avenir Black"/>
      <family val="2"/>
    </font>
    <font>
      <sz val="12"/>
      <color rgb="FF002A67"/>
      <name val="Avenir Black"/>
      <family val="2"/>
    </font>
    <font>
      <sz val="10"/>
      <name val="Avenir Heavy"/>
      <family val="2"/>
    </font>
    <font>
      <b/>
      <sz val="14"/>
      <color rgb="FF002A67"/>
      <name val="Avenir Book"/>
      <family val="2"/>
    </font>
    <font>
      <b/>
      <sz val="12"/>
      <color rgb="FF0395B9"/>
      <name val="Avenir Book"/>
      <family val="2"/>
    </font>
    <font>
      <sz val="12"/>
      <color rgb="FF0395B9"/>
      <name val="Avenir Book"/>
      <family val="2"/>
    </font>
    <font>
      <sz val="8"/>
      <name val="Avenir Heavy"/>
      <family val="2"/>
    </font>
    <font>
      <sz val="10"/>
      <color theme="0"/>
      <name val="Avenir Book"/>
      <family val="2"/>
    </font>
    <font>
      <sz val="12"/>
      <color theme="0"/>
      <name val="Avenir Book"/>
      <family val="2"/>
    </font>
    <font>
      <sz val="20"/>
      <color rgb="FF005274"/>
      <name val="Avenir Heavy"/>
      <family val="2"/>
    </font>
    <font>
      <b/>
      <sz val="20"/>
      <color rgb="FF002A67"/>
      <name val="Avenir Black"/>
      <family val="2"/>
    </font>
    <font>
      <sz val="20"/>
      <color rgb="FF005274"/>
      <name val="Avenir Black"/>
      <family val="2"/>
    </font>
    <font>
      <sz val="20"/>
      <color rgb="FF002A67"/>
      <name val="Avenir Black"/>
      <family val="2"/>
    </font>
    <font>
      <b/>
      <sz val="20"/>
      <color rgb="FF005274"/>
      <name val="Avenir Book"/>
      <family val="2"/>
    </font>
    <font>
      <sz val="15"/>
      <color rgb="FF0395B9"/>
      <name val="Avenir Black"/>
      <family val="2"/>
    </font>
    <font>
      <sz val="15"/>
      <color rgb="FF002A67"/>
      <name val="Avenir Black"/>
      <family val="2"/>
    </font>
    <font>
      <sz val="20"/>
      <color rgb="FF002A67"/>
      <name val="Avenir Book"/>
      <family val="2"/>
    </font>
    <font>
      <sz val="11"/>
      <color theme="1"/>
      <name val="Avenir Book"/>
      <family val="2"/>
    </font>
    <font>
      <b/>
      <sz val="11"/>
      <name val="Avenir Book"/>
      <family val="2"/>
    </font>
    <font>
      <b/>
      <sz val="14"/>
      <name val="Avenir Book"/>
      <family val="2"/>
    </font>
    <font>
      <b/>
      <sz val="18"/>
      <color rgb="FF005274"/>
      <name val="Avenir Book"/>
      <family val="2"/>
    </font>
    <font>
      <sz val="19"/>
      <color rgb="FF002A67"/>
      <name val="Avenir Black"/>
    </font>
    <font>
      <sz val="18"/>
      <color rgb="FF002A67"/>
      <name val="Avenir Black"/>
    </font>
    <font>
      <sz val="15"/>
      <color rgb="FF002A67"/>
      <name val="Avenir Black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/>
      <right/>
      <top style="thin">
        <color indexed="64"/>
      </top>
      <bottom style="double">
        <color rgb="FF002A67"/>
      </bottom>
      <diagonal/>
    </border>
  </borders>
  <cellStyleXfs count="281">
    <xf numFmtId="0" fontId="0" fillId="0" borderId="0"/>
    <xf numFmtId="43" fontId="3" fillId="0" borderId="0" applyFont="0" applyFill="0" applyBorder="0" applyAlignment="0" applyProtection="0"/>
    <xf numFmtId="0" fontId="2" fillId="0" borderId="0"/>
    <xf numFmtId="165" fontId="4" fillId="0" borderId="0" applyFill="0" applyBorder="0" applyAlignment="0"/>
    <xf numFmtId="166" fontId="4" fillId="0" borderId="0" applyFill="0" applyBorder="0" applyAlignment="0"/>
    <xf numFmtId="167" fontId="4" fillId="0" borderId="0" applyFill="0" applyBorder="0" applyAlignment="0"/>
    <xf numFmtId="168" fontId="4" fillId="0" borderId="0" applyFill="0" applyBorder="0" applyAlignment="0"/>
    <xf numFmtId="169" fontId="4" fillId="0" borderId="0" applyFill="0" applyBorder="0" applyAlignment="0"/>
    <xf numFmtId="165" fontId="4" fillId="0" borderId="0" applyFill="0" applyBorder="0" applyAlignment="0"/>
    <xf numFmtId="170" fontId="4" fillId="0" borderId="0" applyFill="0" applyBorder="0" applyAlignment="0"/>
    <xf numFmtId="166" fontId="4" fillId="0" borderId="0" applyFill="0" applyBorder="0" applyAlignment="0"/>
    <xf numFmtId="0" fontId="5" fillId="0" borderId="5">
      <alignment horizontal="center"/>
    </xf>
    <xf numFmtId="165" fontId="3" fillId="0" borderId="0" applyFill="0" applyBorder="0" applyAlignment="0" applyProtection="0"/>
    <xf numFmtId="171" fontId="3" fillId="0" borderId="0" applyFill="0" applyBorder="0" applyAlignment="0" applyProtection="0"/>
    <xf numFmtId="166" fontId="3" fillId="0" borderId="0" applyFill="0" applyBorder="0" applyAlignment="0" applyProtection="0"/>
    <xf numFmtId="14" fontId="6" fillId="0" borderId="0" applyFill="0" applyBorder="0" applyAlignment="0"/>
    <xf numFmtId="38" fontId="7" fillId="0" borderId="6">
      <alignment vertical="center"/>
    </xf>
    <xf numFmtId="165" fontId="4" fillId="0" borderId="0" applyFill="0" applyBorder="0" applyAlignment="0"/>
    <xf numFmtId="166" fontId="4" fillId="0" borderId="0" applyFill="0" applyBorder="0" applyAlignment="0"/>
    <xf numFmtId="165" fontId="4" fillId="0" borderId="0" applyFill="0" applyBorder="0" applyAlignment="0"/>
    <xf numFmtId="170" fontId="4" fillId="0" borderId="0" applyFill="0" applyBorder="0" applyAlignment="0"/>
    <xf numFmtId="166" fontId="4" fillId="0" borderId="0" applyFill="0" applyBorder="0" applyAlignment="0"/>
    <xf numFmtId="0" fontId="8" fillId="0" borderId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9" fillId="2" borderId="0" applyNumberFormat="0" applyBorder="0" applyAlignment="0" applyProtection="0"/>
    <xf numFmtId="0" fontId="10" fillId="0" borderId="7" applyNumberFormat="0" applyAlignment="0" applyProtection="0"/>
    <xf numFmtId="0" fontId="10" fillId="0" borderId="8">
      <alignment horizontal="left" vertical="center"/>
    </xf>
    <xf numFmtId="0" fontId="9" fillId="3" borderId="0" applyNumberFormat="0" applyBorder="0" applyAlignment="0" applyProtection="0"/>
    <xf numFmtId="165" fontId="4" fillId="0" borderId="0" applyFill="0" applyBorder="0" applyAlignment="0"/>
    <xf numFmtId="166" fontId="4" fillId="0" borderId="0" applyFill="0" applyBorder="0" applyAlignment="0"/>
    <xf numFmtId="165" fontId="4" fillId="0" borderId="0" applyFill="0" applyBorder="0" applyAlignment="0"/>
    <xf numFmtId="170" fontId="4" fillId="0" borderId="0" applyFill="0" applyBorder="0" applyAlignment="0"/>
    <xf numFmtId="166" fontId="4" fillId="0" borderId="0" applyFill="0" applyBorder="0" applyAlignment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1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1" fillId="0" borderId="0"/>
    <xf numFmtId="169" fontId="3" fillId="0" borderId="0" applyFill="0" applyBorder="0" applyAlignment="0" applyProtection="0"/>
    <xf numFmtId="175" fontId="3" fillId="0" borderId="0" applyFill="0" applyBorder="0" applyAlignment="0" applyProtection="0"/>
    <xf numFmtId="10" fontId="3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4" fillId="0" borderId="0" applyFill="0" applyBorder="0" applyAlignment="0"/>
    <xf numFmtId="166" fontId="4" fillId="0" borderId="0" applyFill="0" applyBorder="0" applyAlignment="0"/>
    <xf numFmtId="165" fontId="4" fillId="0" borderId="0" applyFill="0" applyBorder="0" applyAlignment="0"/>
    <xf numFmtId="170" fontId="4" fillId="0" borderId="0" applyFill="0" applyBorder="0" applyAlignment="0"/>
    <xf numFmtId="166" fontId="4" fillId="0" borderId="0" applyFill="0" applyBorder="0" applyAlignment="0"/>
    <xf numFmtId="49" fontId="6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44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2"/>
    <xf numFmtId="0" fontId="15" fillId="0" borderId="0" xfId="2" applyFont="1" applyAlignment="1"/>
    <xf numFmtId="0" fontId="16" fillId="0" borderId="0" xfId="2" applyFont="1"/>
    <xf numFmtId="0" fontId="16" fillId="0" borderId="0" xfId="2" applyFont="1" applyBorder="1"/>
    <xf numFmtId="0" fontId="17" fillId="0" borderId="0" xfId="2" applyFont="1"/>
    <xf numFmtId="0" fontId="17" fillId="0" borderId="0" xfId="2" applyFont="1" applyBorder="1"/>
    <xf numFmtId="0" fontId="18" fillId="0" borderId="0" xfId="2" applyFont="1" applyBorder="1"/>
    <xf numFmtId="0" fontId="18" fillId="0" borderId="0" xfId="2" applyFont="1"/>
    <xf numFmtId="43" fontId="18" fillId="0" borderId="1" xfId="35" applyFont="1" applyBorder="1" applyAlignment="1">
      <alignment horizontal="center" vertical="center"/>
    </xf>
    <xf numFmtId="4" fontId="18" fillId="0" borderId="1" xfId="2" applyNumberFormat="1" applyFont="1" applyBorder="1" applyAlignment="1"/>
    <xf numFmtId="0" fontId="18" fillId="0" borderId="18" xfId="2" applyFont="1" applyBorder="1"/>
    <xf numFmtId="0" fontId="18" fillId="0" borderId="20" xfId="2" applyFont="1" applyBorder="1"/>
    <xf numFmtId="0" fontId="18" fillId="0" borderId="21" xfId="2" applyFont="1" applyBorder="1"/>
    <xf numFmtId="0" fontId="18" fillId="0" borderId="22" xfId="2" applyFont="1" applyBorder="1" applyAlignment="1"/>
    <xf numFmtId="0" fontId="18" fillId="0" borderId="23" xfId="2" applyFont="1" applyBorder="1"/>
    <xf numFmtId="0" fontId="18" fillId="0" borderId="24" xfId="2" applyFont="1" applyBorder="1"/>
    <xf numFmtId="0" fontId="18" fillId="0" borderId="25" xfId="2" applyFont="1" applyBorder="1"/>
    <xf numFmtId="0" fontId="18" fillId="0" borderId="22" xfId="2" applyFont="1" applyBorder="1"/>
    <xf numFmtId="0" fontId="18" fillId="0" borderId="19" xfId="2" applyFont="1" applyBorder="1"/>
    <xf numFmtId="178" fontId="18" fillId="0" borderId="1" xfId="154" applyNumberFormat="1" applyFont="1" applyBorder="1" applyAlignment="1">
      <alignment horizontal="center" vertical="center"/>
    </xf>
    <xf numFmtId="178" fontId="18" fillId="0" borderId="1" xfId="154" applyNumberFormat="1" applyFont="1" applyBorder="1" applyAlignment="1"/>
    <xf numFmtId="0" fontId="22" fillId="0" borderId="0" xfId="2" applyFont="1" applyBorder="1"/>
    <xf numFmtId="0" fontId="23" fillId="0" borderId="0" xfId="2" applyFont="1" applyBorder="1"/>
    <xf numFmtId="0" fontId="24" fillId="0" borderId="1" xfId="2" applyFont="1" applyBorder="1" applyAlignment="1">
      <alignment horizontal="center" vertical="center"/>
    </xf>
    <xf numFmtId="0" fontId="25" fillId="0" borderId="18" xfId="2" applyFont="1" applyBorder="1"/>
    <xf numFmtId="0" fontId="25" fillId="0" borderId="19" xfId="2" applyFont="1" applyBorder="1"/>
    <xf numFmtId="0" fontId="25" fillId="0" borderId="20" xfId="2" applyFont="1" applyBorder="1"/>
    <xf numFmtId="0" fontId="25" fillId="0" borderId="21" xfId="2" applyFont="1" applyBorder="1"/>
    <xf numFmtId="0" fontId="25" fillId="0" borderId="0" xfId="2" applyFont="1" applyBorder="1"/>
    <xf numFmtId="0" fontId="20" fillId="0" borderId="0" xfId="2" applyFont="1" applyBorder="1" applyAlignment="1">
      <alignment horizontal="right"/>
    </xf>
    <xf numFmtId="0" fontId="26" fillId="0" borderId="0" xfId="2" applyFont="1" applyBorder="1" applyAlignment="1">
      <alignment horizontal="right"/>
    </xf>
    <xf numFmtId="164" fontId="26" fillId="0" borderId="0" xfId="1" applyNumberFormat="1" applyFont="1" applyBorder="1" applyAlignment="1">
      <alignment horizontal="right"/>
    </xf>
    <xf numFmtId="0" fontId="25" fillId="0" borderId="22" xfId="2" applyFont="1" applyBorder="1"/>
    <xf numFmtId="0" fontId="26" fillId="0" borderId="23" xfId="2" applyFont="1" applyBorder="1"/>
    <xf numFmtId="0" fontId="27" fillId="0" borderId="24" xfId="2" applyFont="1" applyBorder="1" applyAlignment="1"/>
    <xf numFmtId="0" fontId="26" fillId="0" borderId="25" xfId="2" applyFont="1" applyBorder="1"/>
    <xf numFmtId="0" fontId="26" fillId="0" borderId="0" xfId="2" applyFont="1" applyBorder="1"/>
    <xf numFmtId="0" fontId="26" fillId="0" borderId="0" xfId="2" applyFont="1"/>
    <xf numFmtId="0" fontId="26" fillId="0" borderId="0" xfId="2" applyFont="1" applyAlignment="1"/>
    <xf numFmtId="9" fontId="25" fillId="0" borderId="19" xfId="2" applyNumberFormat="1" applyFont="1" applyBorder="1"/>
    <xf numFmtId="0" fontId="28" fillId="0" borderId="2" xfId="2" applyFont="1" applyBorder="1" applyAlignment="1">
      <alignment horizontal="center" vertical="center" wrapText="1"/>
    </xf>
    <xf numFmtId="0" fontId="30" fillId="0" borderId="1" xfId="2" applyFont="1" applyBorder="1" applyAlignment="1">
      <alignment horizontal="center" vertical="center" wrapText="1"/>
    </xf>
    <xf numFmtId="164" fontId="25" fillId="0" borderId="1" xfId="1" applyNumberFormat="1" applyFont="1" applyBorder="1" applyAlignment="1"/>
    <xf numFmtId="0" fontId="25" fillId="0" borderId="23" xfId="2" applyFont="1" applyBorder="1"/>
    <xf numFmtId="0" fontId="25" fillId="0" borderId="24" xfId="2" applyFont="1" applyBorder="1"/>
    <xf numFmtId="0" fontId="25" fillId="0" borderId="25" xfId="2" applyFont="1" applyBorder="1"/>
    <xf numFmtId="0" fontId="26" fillId="0" borderId="24" xfId="2" applyFont="1" applyBorder="1"/>
    <xf numFmtId="0" fontId="31" fillId="0" borderId="0" xfId="2" applyFont="1" applyBorder="1" applyAlignment="1">
      <alignment horizontal="right"/>
    </xf>
    <xf numFmtId="0" fontId="31" fillId="0" borderId="0" xfId="2" applyFont="1" applyBorder="1" applyAlignment="1"/>
    <xf numFmtId="0" fontId="25" fillId="0" borderId="24" xfId="2" applyFont="1" applyBorder="1" applyAlignment="1"/>
    <xf numFmtId="0" fontId="25" fillId="0" borderId="0" xfId="2" applyFont="1"/>
    <xf numFmtId="0" fontId="25" fillId="0" borderId="0" xfId="2" applyFont="1" applyAlignment="1"/>
    <xf numFmtId="0" fontId="25" fillId="0" borderId="2" xfId="2" applyFont="1" applyBorder="1" applyAlignment="1">
      <alignment horizontal="center" vertical="center" wrapText="1"/>
    </xf>
    <xf numFmtId="0" fontId="25" fillId="0" borderId="4" xfId="2" applyFont="1" applyBorder="1" applyAlignment="1">
      <alignment horizontal="center" vertical="center" wrapText="1"/>
    </xf>
    <xf numFmtId="0" fontId="31" fillId="0" borderId="1" xfId="2" applyFont="1" applyBorder="1" applyAlignment="1">
      <alignment horizontal="center" vertical="center" wrapText="1"/>
    </xf>
    <xf numFmtId="0" fontId="31" fillId="0" borderId="17" xfId="2" applyFont="1" applyBorder="1" applyAlignment="1">
      <alignment horizontal="center" vertical="center" wrapText="1"/>
    </xf>
    <xf numFmtId="0" fontId="32" fillId="0" borderId="19" xfId="2" applyFont="1" applyBorder="1"/>
    <xf numFmtId="0" fontId="21" fillId="0" borderId="0" xfId="2" applyFont="1" applyBorder="1" applyAlignment="1">
      <alignment horizontal="right"/>
    </xf>
    <xf numFmtId="0" fontId="33" fillId="0" borderId="0" xfId="2" applyFont="1" applyBorder="1" applyAlignment="1">
      <alignment horizontal="right"/>
    </xf>
    <xf numFmtId="0" fontId="33" fillId="0" borderId="0" xfId="2" applyFont="1" applyBorder="1"/>
    <xf numFmtId="164" fontId="33" fillId="0" borderId="0" xfId="1" applyNumberFormat="1" applyFont="1" applyBorder="1" applyAlignment="1">
      <alignment horizontal="right"/>
    </xf>
    <xf numFmtId="0" fontId="21" fillId="0" borderId="0" xfId="2" applyFont="1" applyBorder="1" applyAlignment="1"/>
    <xf numFmtId="164" fontId="26" fillId="0" borderId="0" xfId="1" applyNumberFormat="1" applyFont="1" applyBorder="1" applyAlignment="1">
      <alignment horizontal="center"/>
    </xf>
    <xf numFmtId="9" fontId="25" fillId="0" borderId="0" xfId="2" applyNumberFormat="1" applyFont="1" applyBorder="1"/>
    <xf numFmtId="0" fontId="26" fillId="0" borderId="0" xfId="2" applyFont="1" applyBorder="1" applyAlignment="1"/>
    <xf numFmtId="0" fontId="28" fillId="0" borderId="1" xfId="2" applyFont="1" applyBorder="1" applyAlignment="1">
      <alignment horizontal="center" vertical="center" wrapText="1"/>
    </xf>
    <xf numFmtId="0" fontId="30" fillId="0" borderId="2" xfId="2" applyFont="1" applyBorder="1" applyAlignment="1">
      <alignment horizontal="center" vertical="center" wrapText="1"/>
    </xf>
    <xf numFmtId="164" fontId="25" fillId="0" borderId="11" xfId="1" applyNumberFormat="1" applyFont="1" applyBorder="1" applyAlignment="1"/>
    <xf numFmtId="164" fontId="25" fillId="0" borderId="2" xfId="1" applyNumberFormat="1" applyFont="1" applyBorder="1" applyAlignment="1"/>
    <xf numFmtId="0" fontId="25" fillId="0" borderId="26" xfId="2" applyFont="1" applyBorder="1"/>
    <xf numFmtId="164" fontId="36" fillId="0" borderId="0" xfId="1" applyNumberFormat="1" applyFont="1" applyBorder="1" applyAlignment="1">
      <alignment horizontal="right"/>
    </xf>
    <xf numFmtId="164" fontId="37" fillId="0" borderId="0" xfId="1" applyNumberFormat="1" applyFont="1" applyBorder="1" applyAlignment="1">
      <alignment horizontal="left"/>
    </xf>
    <xf numFmtId="0" fontId="23" fillId="0" borderId="0" xfId="2" applyFont="1"/>
    <xf numFmtId="0" fontId="37" fillId="0" borderId="0" xfId="2" applyFont="1" applyBorder="1" applyAlignment="1"/>
    <xf numFmtId="0" fontId="39" fillId="0" borderId="0" xfId="2" applyFont="1" applyFill="1" applyBorder="1"/>
    <xf numFmtId="0" fontId="40" fillId="0" borderId="0" xfId="2" applyFont="1" applyFill="1" applyBorder="1"/>
    <xf numFmtId="0" fontId="24" fillId="0" borderId="1" xfId="2" applyFont="1" applyBorder="1" applyAlignment="1">
      <alignment horizontal="center" vertical="center"/>
    </xf>
    <xf numFmtId="0" fontId="41" fillId="0" borderId="0" xfId="2" applyFont="1" applyBorder="1" applyAlignment="1">
      <alignment horizontal="right"/>
    </xf>
    <xf numFmtId="164" fontId="41" fillId="0" borderId="0" xfId="1" applyNumberFormat="1" applyFont="1" applyBorder="1" applyAlignment="1">
      <alignment horizontal="right"/>
    </xf>
    <xf numFmtId="164" fontId="41" fillId="0" borderId="0" xfId="1" applyNumberFormat="1" applyFont="1" applyBorder="1" applyAlignment="1">
      <alignment horizontal="center"/>
    </xf>
    <xf numFmtId="0" fontId="35" fillId="0" borderId="0" xfId="2" applyFont="1" applyBorder="1" applyAlignment="1"/>
    <xf numFmtId="0" fontId="42" fillId="0" borderId="0" xfId="2" applyFont="1" applyBorder="1" applyAlignment="1"/>
    <xf numFmtId="0" fontId="43" fillId="0" borderId="0" xfId="2" applyFont="1" applyBorder="1"/>
    <xf numFmtId="164" fontId="43" fillId="0" borderId="0" xfId="1" applyNumberFormat="1" applyFont="1" applyBorder="1" applyAlignment="1">
      <alignment horizontal="right"/>
    </xf>
    <xf numFmtId="0" fontId="45" fillId="0" borderId="0" xfId="2" applyFont="1" applyBorder="1" applyAlignment="1">
      <alignment horizontal="right"/>
    </xf>
    <xf numFmtId="0" fontId="21" fillId="0" borderId="19" xfId="2" applyFont="1" applyBorder="1" applyAlignment="1">
      <alignment horizontal="right"/>
    </xf>
    <xf numFmtId="0" fontId="20" fillId="0" borderId="19" xfId="2" applyFont="1" applyBorder="1" applyAlignment="1">
      <alignment horizontal="center"/>
    </xf>
    <xf numFmtId="0" fontId="23" fillId="0" borderId="22" xfId="2" applyFont="1" applyBorder="1"/>
    <xf numFmtId="164" fontId="37" fillId="0" borderId="24" xfId="1" applyNumberFormat="1" applyFont="1" applyBorder="1" applyAlignment="1">
      <alignment horizontal="left"/>
    </xf>
    <xf numFmtId="0" fontId="23" fillId="0" borderId="24" xfId="2" applyFont="1" applyBorder="1"/>
    <xf numFmtId="0" fontId="23" fillId="0" borderId="25" xfId="2" applyFont="1" applyBorder="1"/>
    <xf numFmtId="44" fontId="18" fillId="0" borderId="1" xfId="280" applyFont="1" applyBorder="1" applyAlignment="1"/>
    <xf numFmtId="0" fontId="48" fillId="0" borderId="0" xfId="2" applyFont="1" applyAlignment="1"/>
    <xf numFmtId="0" fontId="24" fillId="0" borderId="1" xfId="2" applyFont="1" applyBorder="1" applyAlignment="1">
      <alignment horizontal="center" vertical="center" wrapText="1"/>
    </xf>
    <xf numFmtId="0" fontId="49" fillId="0" borderId="0" xfId="0" applyFont="1"/>
    <xf numFmtId="0" fontId="27" fillId="0" borderId="0" xfId="2" applyFont="1"/>
    <xf numFmtId="0" fontId="29" fillId="0" borderId="0" xfId="2" applyFont="1" applyAlignment="1">
      <alignment vertical="center"/>
    </xf>
    <xf numFmtId="0" fontId="28" fillId="4" borderId="1" xfId="2" applyFont="1" applyFill="1" applyBorder="1" applyAlignment="1">
      <alignment horizontal="center" vertical="center" wrapText="1"/>
    </xf>
    <xf numFmtId="0" fontId="28" fillId="5" borderId="1" xfId="2" applyFont="1" applyFill="1" applyBorder="1" applyAlignment="1">
      <alignment horizontal="center" vertical="center" wrapText="1"/>
    </xf>
    <xf numFmtId="0" fontId="28" fillId="6" borderId="1" xfId="2" applyFont="1" applyFill="1" applyBorder="1" applyAlignment="1">
      <alignment horizontal="center" vertical="center" wrapText="1"/>
    </xf>
    <xf numFmtId="0" fontId="28" fillId="0" borderId="0" xfId="2" applyFont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wrapText="1"/>
    </xf>
    <xf numFmtId="0" fontId="30" fillId="5" borderId="1" xfId="2" applyFont="1" applyFill="1" applyBorder="1" applyAlignment="1">
      <alignment horizontal="center" vertical="center" wrapText="1"/>
    </xf>
    <xf numFmtId="0" fontId="30" fillId="6" borderId="1" xfId="2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 wrapText="1"/>
    </xf>
    <xf numFmtId="164" fontId="25" fillId="0" borderId="0" xfId="1" applyNumberFormat="1" applyFont="1" applyBorder="1" applyAlignment="1"/>
    <xf numFmtId="0" fontId="50" fillId="0" borderId="19" xfId="2" applyFont="1" applyBorder="1" applyAlignment="1">
      <alignment horizontal="center"/>
    </xf>
    <xf numFmtId="0" fontId="20" fillId="0" borderId="19" xfId="2" applyFont="1" applyBorder="1"/>
    <xf numFmtId="0" fontId="50" fillId="0" borderId="19" xfId="2" applyFont="1" applyBorder="1"/>
    <xf numFmtId="0" fontId="51" fillId="0" borderId="19" xfId="2" applyFont="1" applyBorder="1"/>
    <xf numFmtId="0" fontId="31" fillId="0" borderId="18" xfId="2" applyFont="1" applyBorder="1"/>
    <xf numFmtId="0" fontId="31" fillId="0" borderId="19" xfId="2" applyFont="1" applyBorder="1"/>
    <xf numFmtId="0" fontId="20" fillId="0" borderId="19" xfId="2" applyFont="1" applyBorder="1" applyAlignment="1">
      <alignment horizontal="right"/>
    </xf>
    <xf numFmtId="164" fontId="29" fillId="0" borderId="19" xfId="1" applyNumberFormat="1" applyFont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31" fillId="0" borderId="21" xfId="2" applyFont="1" applyBorder="1"/>
    <xf numFmtId="0" fontId="31" fillId="0" borderId="0" xfId="2" applyFont="1" applyBorder="1"/>
    <xf numFmtId="0" fontId="20" fillId="0" borderId="22" xfId="2" applyFont="1" applyBorder="1" applyAlignment="1">
      <alignment horizontal="right"/>
    </xf>
    <xf numFmtId="9" fontId="31" fillId="0" borderId="0" xfId="2" applyNumberFormat="1" applyFont="1" applyBorder="1"/>
    <xf numFmtId="0" fontId="31" fillId="0" borderId="22" xfId="2" applyFont="1" applyBorder="1"/>
    <xf numFmtId="0" fontId="31" fillId="0" borderId="23" xfId="2" applyFont="1" applyBorder="1"/>
    <xf numFmtId="0" fontId="31" fillId="0" borderId="24" xfId="2" applyFont="1" applyBorder="1"/>
    <xf numFmtId="9" fontId="31" fillId="0" borderId="24" xfId="2" applyNumberFormat="1" applyFont="1" applyBorder="1"/>
    <xf numFmtId="0" fontId="31" fillId="0" borderId="25" xfId="2" applyFont="1" applyBorder="1"/>
    <xf numFmtId="0" fontId="51" fillId="0" borderId="0" xfId="2" applyFont="1" applyBorder="1"/>
    <xf numFmtId="0" fontId="52" fillId="0" borderId="0" xfId="2" applyFont="1" applyBorder="1"/>
    <xf numFmtId="0" fontId="48" fillId="0" borderId="0" xfId="2" applyFont="1" applyBorder="1" applyAlignment="1">
      <alignment horizontal="center"/>
    </xf>
    <xf numFmtId="0" fontId="37" fillId="0" borderId="0" xfId="2" applyFont="1"/>
    <xf numFmtId="0" fontId="46" fillId="0" borderId="0" xfId="2" applyFont="1" applyAlignment="1">
      <alignment horizontal="center"/>
    </xf>
    <xf numFmtId="0" fontId="44" fillId="0" borderId="0" xfId="2" applyFont="1" applyAlignment="1">
      <alignment horizontal="center"/>
    </xf>
    <xf numFmtId="0" fontId="35" fillId="0" borderId="0" xfId="2" applyFont="1" applyBorder="1" applyAlignment="1">
      <alignment horizontal="left"/>
    </xf>
    <xf numFmtId="0" fontId="38" fillId="0" borderId="14" xfId="2" applyFont="1" applyBorder="1" applyAlignment="1">
      <alignment horizontal="center" vertical="center"/>
    </xf>
    <xf numFmtId="0" fontId="38" fillId="0" borderId="15" xfId="2" applyFont="1" applyBorder="1" applyAlignment="1">
      <alignment horizontal="center" vertical="center"/>
    </xf>
    <xf numFmtId="0" fontId="38" fillId="0" borderId="12" xfId="2" applyFont="1" applyBorder="1" applyAlignment="1">
      <alignment horizontal="center" vertical="center"/>
    </xf>
    <xf numFmtId="0" fontId="38" fillId="0" borderId="16" xfId="2" applyFont="1" applyBorder="1" applyAlignment="1">
      <alignment horizontal="center" vertical="center"/>
    </xf>
    <xf numFmtId="0" fontId="38" fillId="0" borderId="13" xfId="2" applyFont="1" applyBorder="1" applyAlignment="1">
      <alignment horizontal="center" vertical="center"/>
    </xf>
    <xf numFmtId="0" fontId="38" fillId="0" borderId="17" xfId="2" applyFont="1" applyBorder="1" applyAlignment="1">
      <alignment horizontal="center" vertical="center"/>
    </xf>
    <xf numFmtId="0" fontId="38" fillId="0" borderId="9" xfId="2" applyFont="1" applyBorder="1" applyAlignment="1">
      <alignment horizontal="center" vertical="center" wrapText="1"/>
    </xf>
    <xf numFmtId="0" fontId="38" fillId="0" borderId="10" xfId="2" applyFont="1" applyBorder="1" applyAlignment="1">
      <alignment horizontal="center" vertical="center" wrapText="1"/>
    </xf>
    <xf numFmtId="0" fontId="38" fillId="0" borderId="11" xfId="2" applyFont="1" applyBorder="1" applyAlignment="1">
      <alignment horizontal="center" vertical="center" wrapText="1"/>
    </xf>
    <xf numFmtId="0" fontId="29" fillId="0" borderId="2" xfId="2" applyFont="1" applyBorder="1" applyAlignment="1">
      <alignment horizontal="center" vertical="center"/>
    </xf>
    <xf numFmtId="0" fontId="29" fillId="0" borderId="3" xfId="2" applyFont="1" applyBorder="1" applyAlignment="1">
      <alignment horizontal="center" vertical="center"/>
    </xf>
    <xf numFmtId="0" fontId="29" fillId="0" borderId="4" xfId="2" applyFont="1" applyBorder="1" applyAlignment="1">
      <alignment horizontal="center" vertical="center"/>
    </xf>
    <xf numFmtId="0" fontId="38" fillId="0" borderId="14" xfId="2" applyFont="1" applyBorder="1" applyAlignment="1">
      <alignment horizontal="center" vertical="center" wrapText="1"/>
    </xf>
    <xf numFmtId="0" fontId="38" fillId="0" borderId="15" xfId="2" applyFont="1" applyBorder="1" applyAlignment="1">
      <alignment horizontal="center" vertical="center" wrapText="1"/>
    </xf>
    <xf numFmtId="0" fontId="38" fillId="0" borderId="12" xfId="2" applyFont="1" applyBorder="1" applyAlignment="1">
      <alignment horizontal="center" vertical="center" wrapText="1"/>
    </xf>
    <xf numFmtId="0" fontId="38" fillId="0" borderId="16" xfId="2" applyFont="1" applyBorder="1" applyAlignment="1">
      <alignment horizontal="center" vertical="center" wrapText="1"/>
    </xf>
    <xf numFmtId="0" fontId="38" fillId="0" borderId="13" xfId="2" applyFont="1" applyBorder="1" applyAlignment="1">
      <alignment horizontal="center" vertical="center" wrapText="1"/>
    </xf>
    <xf numFmtId="0" fontId="38" fillId="0" borderId="17" xfId="2" applyFont="1" applyBorder="1" applyAlignment="1">
      <alignment horizontal="center" vertical="center" wrapText="1"/>
    </xf>
    <xf numFmtId="0" fontId="35" fillId="0" borderId="0" xfId="2" applyFont="1" applyBorder="1" applyAlignment="1">
      <alignment horizontal="center"/>
    </xf>
    <xf numFmtId="0" fontId="44" fillId="0" borderId="0" xfId="2" applyFont="1" applyAlignment="1"/>
    <xf numFmtId="0" fontId="48" fillId="0" borderId="0" xfId="2" applyFont="1" applyAlignment="1">
      <alignment horizontal="center"/>
    </xf>
    <xf numFmtId="164" fontId="25" fillId="0" borderId="2" xfId="1" applyNumberFormat="1" applyFont="1" applyBorder="1" applyAlignment="1">
      <alignment horizontal="center"/>
    </xf>
    <xf numFmtId="164" fontId="25" fillId="0" borderId="4" xfId="1" applyNumberFormat="1" applyFont="1" applyBorder="1" applyAlignment="1">
      <alignment horizontal="center"/>
    </xf>
    <xf numFmtId="0" fontId="53" fillId="0" borderId="0" xfId="2" applyFont="1" applyAlignment="1">
      <alignment horizontal="center"/>
    </xf>
    <xf numFmtId="164" fontId="43" fillId="0" borderId="0" xfId="1" applyNumberFormat="1" applyFont="1" applyBorder="1" applyAlignment="1">
      <alignment horizontal="center"/>
    </xf>
    <xf numFmtId="0" fontId="34" fillId="0" borderId="1" xfId="2" applyFont="1" applyBorder="1" applyAlignment="1">
      <alignment horizontal="center" vertical="center"/>
    </xf>
    <xf numFmtId="0" fontId="34" fillId="0" borderId="9" xfId="2" applyFont="1" applyBorder="1" applyAlignment="1">
      <alignment horizontal="center" vertical="center" wrapText="1"/>
    </xf>
    <xf numFmtId="0" fontId="34" fillId="0" borderId="10" xfId="2" applyFont="1" applyBorder="1" applyAlignment="1">
      <alignment horizontal="center" vertical="center" wrapText="1"/>
    </xf>
    <xf numFmtId="0" fontId="34" fillId="0" borderId="11" xfId="2" applyFont="1" applyBorder="1" applyAlignment="1">
      <alignment horizontal="center" vertical="center" wrapText="1"/>
    </xf>
    <xf numFmtId="0" fontId="31" fillId="0" borderId="2" xfId="2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0" fontId="31" fillId="0" borderId="4" xfId="2" applyFont="1" applyBorder="1" applyAlignment="1">
      <alignment horizontal="center" vertical="center"/>
    </xf>
    <xf numFmtId="0" fontId="21" fillId="0" borderId="19" xfId="2" applyFont="1" applyBorder="1" applyAlignment="1">
      <alignment horizontal="right"/>
    </xf>
    <xf numFmtId="0" fontId="20" fillId="0" borderId="19" xfId="2" applyFont="1" applyBorder="1" applyAlignment="1">
      <alignment horizontal="center"/>
    </xf>
    <xf numFmtId="0" fontId="24" fillId="0" borderId="1" xfId="2" applyFont="1" applyBorder="1" applyAlignment="1">
      <alignment horizontal="center" vertical="center"/>
    </xf>
    <xf numFmtId="0" fontId="19" fillId="0" borderId="19" xfId="2" applyFont="1" applyBorder="1" applyAlignment="1">
      <alignment horizontal="right"/>
    </xf>
    <xf numFmtId="0" fontId="55" fillId="0" borderId="0" xfId="2" applyFont="1" applyAlignment="1">
      <alignment horizontal="center"/>
    </xf>
    <xf numFmtId="0" fontId="47" fillId="0" borderId="0" xfId="2" applyFont="1" applyAlignment="1">
      <alignment horizontal="center"/>
    </xf>
    <xf numFmtId="0" fontId="28" fillId="0" borderId="14" xfId="2" applyFont="1" applyBorder="1" applyAlignment="1">
      <alignment horizontal="center" vertical="center" wrapText="1"/>
    </xf>
    <xf numFmtId="0" fontId="28" fillId="0" borderId="15" xfId="2" applyFont="1" applyBorder="1" applyAlignment="1">
      <alignment horizontal="center" vertical="center" wrapText="1"/>
    </xf>
    <xf numFmtId="0" fontId="28" fillId="0" borderId="12" xfId="2" applyFont="1" applyBorder="1" applyAlignment="1">
      <alignment horizontal="center" vertical="center" wrapText="1"/>
    </xf>
    <xf numFmtId="0" fontId="28" fillId="0" borderId="16" xfId="2" applyFont="1" applyBorder="1" applyAlignment="1">
      <alignment horizontal="center" vertical="center" wrapText="1"/>
    </xf>
    <xf numFmtId="0" fontId="28" fillId="0" borderId="13" xfId="2" applyFont="1" applyBorder="1" applyAlignment="1">
      <alignment horizontal="center" vertical="center" wrapText="1"/>
    </xf>
    <xf numFmtId="0" fontId="28" fillId="0" borderId="17" xfId="2" applyFont="1" applyBorder="1" applyAlignment="1">
      <alignment horizontal="center" vertical="center" wrapText="1"/>
    </xf>
    <xf numFmtId="0" fontId="28" fillId="0" borderId="9" xfId="2" applyFont="1" applyBorder="1" applyAlignment="1">
      <alignment horizontal="center" vertical="center" wrapText="1"/>
    </xf>
    <xf numFmtId="0" fontId="28" fillId="0" borderId="10" xfId="2" applyFont="1" applyBorder="1" applyAlignment="1">
      <alignment horizontal="center" vertical="center" wrapText="1"/>
    </xf>
    <xf numFmtId="0" fontId="28" fillId="0" borderId="11" xfId="2" applyFont="1" applyBorder="1" applyAlignment="1">
      <alignment horizontal="center" vertical="center" wrapText="1"/>
    </xf>
    <xf numFmtId="0" fontId="29" fillId="0" borderId="1" xfId="2" applyFont="1" applyBorder="1" applyAlignment="1">
      <alignment horizontal="center" vertical="center"/>
    </xf>
    <xf numFmtId="0" fontId="48" fillId="0" borderId="0" xfId="2" applyFont="1" applyBorder="1" applyAlignment="1">
      <alignment horizontal="center"/>
    </xf>
  </cellXfs>
  <cellStyles count="281">
    <cellStyle name="Calc Currency (0)" xfId="3" xr:uid="{00000000-0005-0000-0000-000000000000}"/>
    <cellStyle name="Calc Currency (2)" xfId="4" xr:uid="{00000000-0005-0000-0000-000001000000}"/>
    <cellStyle name="Calc Percent (0)" xfId="5" xr:uid="{00000000-0005-0000-0000-000002000000}"/>
    <cellStyle name="Calc Percent (1)" xfId="6" xr:uid="{00000000-0005-0000-0000-000003000000}"/>
    <cellStyle name="Calc Percent (2)" xfId="7" xr:uid="{00000000-0005-0000-0000-000004000000}"/>
    <cellStyle name="Calc Units (0)" xfId="8" xr:uid="{00000000-0005-0000-0000-000005000000}"/>
    <cellStyle name="Calc Units (1)" xfId="9" xr:uid="{00000000-0005-0000-0000-000006000000}"/>
    <cellStyle name="Calc Units (2)" xfId="10" xr:uid="{00000000-0005-0000-0000-000007000000}"/>
    <cellStyle name="Column_Title" xfId="11" xr:uid="{00000000-0005-0000-0000-000008000000}"/>
    <cellStyle name="Comma [00]" xfId="12" xr:uid="{00000000-0005-0000-0000-000009000000}"/>
    <cellStyle name="Comma_B-10 HIDRORENT" xfId="13" xr:uid="{00000000-0005-0000-0000-00000A000000}"/>
    <cellStyle name="Currency [00]" xfId="14" xr:uid="{00000000-0005-0000-0000-00000B000000}"/>
    <cellStyle name="Date Short" xfId="15" xr:uid="{00000000-0005-0000-0000-00000C000000}"/>
    <cellStyle name="DELTA" xfId="16" xr:uid="{00000000-0005-0000-0000-00000D000000}"/>
    <cellStyle name="Enter Currency (0)" xfId="17" xr:uid="{00000000-0005-0000-0000-00000E000000}"/>
    <cellStyle name="Enter Currency (2)" xfId="18" xr:uid="{00000000-0005-0000-0000-00000F000000}"/>
    <cellStyle name="Enter Units (0)" xfId="19" xr:uid="{00000000-0005-0000-0000-000010000000}"/>
    <cellStyle name="Enter Units (1)" xfId="20" xr:uid="{00000000-0005-0000-0000-000011000000}"/>
    <cellStyle name="Enter Units (2)" xfId="21" xr:uid="{00000000-0005-0000-0000-000012000000}"/>
    <cellStyle name="Estilo 1" xfId="22" xr:uid="{00000000-0005-0000-0000-000013000000}"/>
    <cellStyle name="Euro" xfId="23" xr:uid="{00000000-0005-0000-0000-000014000000}"/>
    <cellStyle name="Euro 2" xfId="24" xr:uid="{00000000-0005-0000-0000-000015000000}"/>
    <cellStyle name="Grey" xfId="25" xr:uid="{00000000-0005-0000-0000-000016000000}"/>
    <cellStyle name="Header1" xfId="26" xr:uid="{00000000-0005-0000-0000-000017000000}"/>
    <cellStyle name="Header2" xfId="27" xr:uid="{00000000-0005-0000-0000-000018000000}"/>
    <cellStyle name="Input [yellow]" xfId="28" xr:uid="{00000000-0005-0000-0000-000019000000}"/>
    <cellStyle name="Link Currency (0)" xfId="29" xr:uid="{00000000-0005-0000-0000-00001A000000}"/>
    <cellStyle name="Link Currency (2)" xfId="30" xr:uid="{00000000-0005-0000-0000-00001B000000}"/>
    <cellStyle name="Link Units (0)" xfId="31" xr:uid="{00000000-0005-0000-0000-00001C000000}"/>
    <cellStyle name="Link Units (1)" xfId="32" xr:uid="{00000000-0005-0000-0000-00001D000000}"/>
    <cellStyle name="Link Units (2)" xfId="33" xr:uid="{00000000-0005-0000-0000-00001E000000}"/>
    <cellStyle name="Millares" xfId="1" builtinId="3"/>
    <cellStyle name="Millares 10" xfId="34" xr:uid="{00000000-0005-0000-0000-000020000000}"/>
    <cellStyle name="Millares 11" xfId="35" xr:uid="{00000000-0005-0000-0000-000021000000}"/>
    <cellStyle name="Millares 13" xfId="36" xr:uid="{00000000-0005-0000-0000-000022000000}"/>
    <cellStyle name="Millares 14" xfId="37" xr:uid="{00000000-0005-0000-0000-000023000000}"/>
    <cellStyle name="Millares 15" xfId="38" xr:uid="{00000000-0005-0000-0000-000024000000}"/>
    <cellStyle name="Millares 16" xfId="39" xr:uid="{00000000-0005-0000-0000-000025000000}"/>
    <cellStyle name="Millares 17" xfId="40" xr:uid="{00000000-0005-0000-0000-000026000000}"/>
    <cellStyle name="Millares 2" xfId="41" xr:uid="{00000000-0005-0000-0000-000027000000}"/>
    <cellStyle name="Millares 2 10" xfId="42" xr:uid="{00000000-0005-0000-0000-000028000000}"/>
    <cellStyle name="Millares 2 11" xfId="43" xr:uid="{00000000-0005-0000-0000-000029000000}"/>
    <cellStyle name="Millares 2 12" xfId="44" xr:uid="{00000000-0005-0000-0000-00002A000000}"/>
    <cellStyle name="Millares 2 13" xfId="45" xr:uid="{00000000-0005-0000-0000-00002B000000}"/>
    <cellStyle name="Millares 2 14" xfId="46" xr:uid="{00000000-0005-0000-0000-00002C000000}"/>
    <cellStyle name="Millares 2 15" xfId="47" xr:uid="{00000000-0005-0000-0000-00002D000000}"/>
    <cellStyle name="Millares 2 16" xfId="48" xr:uid="{00000000-0005-0000-0000-00002E000000}"/>
    <cellStyle name="Millares 2 17" xfId="49" xr:uid="{00000000-0005-0000-0000-00002F000000}"/>
    <cellStyle name="Millares 2 18" xfId="50" xr:uid="{00000000-0005-0000-0000-000030000000}"/>
    <cellStyle name="Millares 2 19" xfId="51" xr:uid="{00000000-0005-0000-0000-000031000000}"/>
    <cellStyle name="Millares 2 2" xfId="52" xr:uid="{00000000-0005-0000-0000-000032000000}"/>
    <cellStyle name="Millares 2 2 2" xfId="53" xr:uid="{00000000-0005-0000-0000-000033000000}"/>
    <cellStyle name="Millares 2 20" xfId="54" xr:uid="{00000000-0005-0000-0000-000034000000}"/>
    <cellStyle name="Millares 2 21" xfId="55" xr:uid="{00000000-0005-0000-0000-000035000000}"/>
    <cellStyle name="Millares 2 22" xfId="56" xr:uid="{00000000-0005-0000-0000-000036000000}"/>
    <cellStyle name="Millares 2 23" xfId="57" xr:uid="{00000000-0005-0000-0000-000037000000}"/>
    <cellStyle name="Millares 2 24" xfId="58" xr:uid="{00000000-0005-0000-0000-000038000000}"/>
    <cellStyle name="Millares 2 25" xfId="59" xr:uid="{00000000-0005-0000-0000-000039000000}"/>
    <cellStyle name="Millares 2 26" xfId="60" xr:uid="{00000000-0005-0000-0000-00003A000000}"/>
    <cellStyle name="Millares 2 27" xfId="61" xr:uid="{00000000-0005-0000-0000-00003B000000}"/>
    <cellStyle name="Millares 2 28" xfId="62" xr:uid="{00000000-0005-0000-0000-00003C000000}"/>
    <cellStyle name="Millares 2 29" xfId="63" xr:uid="{00000000-0005-0000-0000-00003D000000}"/>
    <cellStyle name="Millares 2 3" xfId="64" xr:uid="{00000000-0005-0000-0000-00003E000000}"/>
    <cellStyle name="Millares 2 3 2" xfId="65" xr:uid="{00000000-0005-0000-0000-00003F000000}"/>
    <cellStyle name="Millares 2 30" xfId="66" xr:uid="{00000000-0005-0000-0000-000040000000}"/>
    <cellStyle name="Millares 2 31" xfId="67" xr:uid="{00000000-0005-0000-0000-000041000000}"/>
    <cellStyle name="Millares 2 32" xfId="68" xr:uid="{00000000-0005-0000-0000-000042000000}"/>
    <cellStyle name="Millares 2 33" xfId="69" xr:uid="{00000000-0005-0000-0000-000043000000}"/>
    <cellStyle name="Millares 2 34" xfId="70" xr:uid="{00000000-0005-0000-0000-000044000000}"/>
    <cellStyle name="Millares 2 35" xfId="71" xr:uid="{00000000-0005-0000-0000-000045000000}"/>
    <cellStyle name="Millares 2 36" xfId="72" xr:uid="{00000000-0005-0000-0000-000046000000}"/>
    <cellStyle name="Millares 2 37" xfId="73" xr:uid="{00000000-0005-0000-0000-000047000000}"/>
    <cellStyle name="Millares 2 38" xfId="74" xr:uid="{00000000-0005-0000-0000-000048000000}"/>
    <cellStyle name="Millares 2 39" xfId="75" xr:uid="{00000000-0005-0000-0000-000049000000}"/>
    <cellStyle name="Millares 2 4" xfId="76" xr:uid="{00000000-0005-0000-0000-00004A000000}"/>
    <cellStyle name="Millares 2 40" xfId="77" xr:uid="{00000000-0005-0000-0000-00004B000000}"/>
    <cellStyle name="Millares 2 41" xfId="78" xr:uid="{00000000-0005-0000-0000-00004C000000}"/>
    <cellStyle name="Millares 2 42" xfId="79" xr:uid="{00000000-0005-0000-0000-00004D000000}"/>
    <cellStyle name="Millares 2 43" xfId="80" xr:uid="{00000000-0005-0000-0000-00004E000000}"/>
    <cellStyle name="Millares 2 44" xfId="81" xr:uid="{00000000-0005-0000-0000-00004F000000}"/>
    <cellStyle name="Millares 2 45" xfId="82" xr:uid="{00000000-0005-0000-0000-000050000000}"/>
    <cellStyle name="Millares 2 46" xfId="83" xr:uid="{00000000-0005-0000-0000-000051000000}"/>
    <cellStyle name="Millares 2 47" xfId="84" xr:uid="{00000000-0005-0000-0000-000052000000}"/>
    <cellStyle name="Millares 2 48" xfId="85" xr:uid="{00000000-0005-0000-0000-000053000000}"/>
    <cellStyle name="Millares 2 49" xfId="86" xr:uid="{00000000-0005-0000-0000-000054000000}"/>
    <cellStyle name="Millares 2 5" xfId="87" xr:uid="{00000000-0005-0000-0000-000055000000}"/>
    <cellStyle name="Millares 2 50" xfId="88" xr:uid="{00000000-0005-0000-0000-000056000000}"/>
    <cellStyle name="Millares 2 51" xfId="89" xr:uid="{00000000-0005-0000-0000-000057000000}"/>
    <cellStyle name="Millares 2 52" xfId="90" xr:uid="{00000000-0005-0000-0000-000058000000}"/>
    <cellStyle name="Millares 2 53" xfId="91" xr:uid="{00000000-0005-0000-0000-000059000000}"/>
    <cellStyle name="Millares 2 54" xfId="92" xr:uid="{00000000-0005-0000-0000-00005A000000}"/>
    <cellStyle name="Millares 2 55" xfId="93" xr:uid="{00000000-0005-0000-0000-00005B000000}"/>
    <cellStyle name="Millares 2 56" xfId="94" xr:uid="{00000000-0005-0000-0000-00005C000000}"/>
    <cellStyle name="Millares 2 57" xfId="95" xr:uid="{00000000-0005-0000-0000-00005D000000}"/>
    <cellStyle name="Millares 2 58" xfId="96" xr:uid="{00000000-0005-0000-0000-00005E000000}"/>
    <cellStyle name="Millares 2 59" xfId="97" xr:uid="{00000000-0005-0000-0000-00005F000000}"/>
    <cellStyle name="Millares 2 6" xfId="98" xr:uid="{00000000-0005-0000-0000-000060000000}"/>
    <cellStyle name="Millares 2 60" xfId="99" xr:uid="{00000000-0005-0000-0000-000061000000}"/>
    <cellStyle name="Millares 2 61" xfId="100" xr:uid="{00000000-0005-0000-0000-000062000000}"/>
    <cellStyle name="Millares 2 62" xfId="101" xr:uid="{00000000-0005-0000-0000-000063000000}"/>
    <cellStyle name="Millares 2 7" xfId="102" xr:uid="{00000000-0005-0000-0000-000064000000}"/>
    <cellStyle name="Millares 2 8" xfId="103" xr:uid="{00000000-0005-0000-0000-000065000000}"/>
    <cellStyle name="Millares 2 9" xfId="104" xr:uid="{00000000-0005-0000-0000-000066000000}"/>
    <cellStyle name="Millares 20" xfId="105" xr:uid="{00000000-0005-0000-0000-000067000000}"/>
    <cellStyle name="Millares 21" xfId="106" xr:uid="{00000000-0005-0000-0000-000068000000}"/>
    <cellStyle name="Millares 22" xfId="107" xr:uid="{00000000-0005-0000-0000-000069000000}"/>
    <cellStyle name="Millares 23" xfId="108" xr:uid="{00000000-0005-0000-0000-00006A000000}"/>
    <cellStyle name="Millares 24" xfId="109" xr:uid="{00000000-0005-0000-0000-00006B000000}"/>
    <cellStyle name="Millares 27" xfId="110" xr:uid="{00000000-0005-0000-0000-00006C000000}"/>
    <cellStyle name="Millares 28" xfId="111" xr:uid="{00000000-0005-0000-0000-00006D000000}"/>
    <cellStyle name="Millares 29" xfId="112" xr:uid="{00000000-0005-0000-0000-00006E000000}"/>
    <cellStyle name="Millares 3" xfId="113" xr:uid="{00000000-0005-0000-0000-00006F000000}"/>
    <cellStyle name="Millares 3 2" xfId="114" xr:uid="{00000000-0005-0000-0000-000070000000}"/>
    <cellStyle name="Millares 30" xfId="115" xr:uid="{00000000-0005-0000-0000-000071000000}"/>
    <cellStyle name="Millares 31" xfId="116" xr:uid="{00000000-0005-0000-0000-000072000000}"/>
    <cellStyle name="Millares 32" xfId="117" xr:uid="{00000000-0005-0000-0000-000073000000}"/>
    <cellStyle name="Millares 35" xfId="118" xr:uid="{00000000-0005-0000-0000-000074000000}"/>
    <cellStyle name="Millares 36" xfId="119" xr:uid="{00000000-0005-0000-0000-000075000000}"/>
    <cellStyle name="Millares 37" xfId="120" xr:uid="{00000000-0005-0000-0000-000076000000}"/>
    <cellStyle name="Millares 38" xfId="121" xr:uid="{00000000-0005-0000-0000-000077000000}"/>
    <cellStyle name="Millares 39" xfId="122" xr:uid="{00000000-0005-0000-0000-000078000000}"/>
    <cellStyle name="Millares 4" xfId="123" xr:uid="{00000000-0005-0000-0000-000079000000}"/>
    <cellStyle name="Millares 4 2" xfId="124" xr:uid="{00000000-0005-0000-0000-00007A000000}"/>
    <cellStyle name="Millares 4 3" xfId="125" xr:uid="{00000000-0005-0000-0000-00007B000000}"/>
    <cellStyle name="Millares 4 4" xfId="126" xr:uid="{00000000-0005-0000-0000-00007C000000}"/>
    <cellStyle name="Millares 41" xfId="127" xr:uid="{00000000-0005-0000-0000-00007D000000}"/>
    <cellStyle name="Millares 42" xfId="128" xr:uid="{00000000-0005-0000-0000-00007E000000}"/>
    <cellStyle name="Millares 43" xfId="129" xr:uid="{00000000-0005-0000-0000-00007F000000}"/>
    <cellStyle name="Millares 46" xfId="130" xr:uid="{00000000-0005-0000-0000-000080000000}"/>
    <cellStyle name="Millares 47" xfId="131" xr:uid="{00000000-0005-0000-0000-000081000000}"/>
    <cellStyle name="Millares 48" xfId="132" xr:uid="{00000000-0005-0000-0000-000082000000}"/>
    <cellStyle name="Millares 49" xfId="133" xr:uid="{00000000-0005-0000-0000-000083000000}"/>
    <cellStyle name="Millares 5" xfId="134" xr:uid="{00000000-0005-0000-0000-000084000000}"/>
    <cellStyle name="Millares 50" xfId="135" xr:uid="{00000000-0005-0000-0000-000085000000}"/>
    <cellStyle name="Millares 51" xfId="136" xr:uid="{00000000-0005-0000-0000-000086000000}"/>
    <cellStyle name="Millares 54" xfId="137" xr:uid="{00000000-0005-0000-0000-000087000000}"/>
    <cellStyle name="Millares 55" xfId="138" xr:uid="{00000000-0005-0000-0000-000088000000}"/>
    <cellStyle name="Millares 56" xfId="139" xr:uid="{00000000-0005-0000-0000-000089000000}"/>
    <cellStyle name="Millares 57" xfId="140" xr:uid="{00000000-0005-0000-0000-00008A000000}"/>
    <cellStyle name="Millares 58" xfId="141" xr:uid="{00000000-0005-0000-0000-00008B000000}"/>
    <cellStyle name="Millares 59" xfId="142" xr:uid="{00000000-0005-0000-0000-00008C000000}"/>
    <cellStyle name="Millares 6" xfId="143" xr:uid="{00000000-0005-0000-0000-00008D000000}"/>
    <cellStyle name="Millares 6 2" xfId="144" xr:uid="{00000000-0005-0000-0000-00008E000000}"/>
    <cellStyle name="Millares 7" xfId="145" xr:uid="{00000000-0005-0000-0000-00008F000000}"/>
    <cellStyle name="Millares 7 2" xfId="146" xr:uid="{00000000-0005-0000-0000-000090000000}"/>
    <cellStyle name="Millares 8" xfId="147" xr:uid="{00000000-0005-0000-0000-000091000000}"/>
    <cellStyle name="Millares 8 2" xfId="148" xr:uid="{00000000-0005-0000-0000-000092000000}"/>
    <cellStyle name="Millares 9" xfId="149" xr:uid="{00000000-0005-0000-0000-000093000000}"/>
    <cellStyle name="Millares 9 2" xfId="150" xr:uid="{00000000-0005-0000-0000-000094000000}"/>
    <cellStyle name="Moneda" xfId="280" builtinId="4"/>
    <cellStyle name="Moneda 10" xfId="151" xr:uid="{00000000-0005-0000-0000-000096000000}"/>
    <cellStyle name="Moneda 11" xfId="152" xr:uid="{00000000-0005-0000-0000-000097000000}"/>
    <cellStyle name="Moneda 2" xfId="153" xr:uid="{00000000-0005-0000-0000-000098000000}"/>
    <cellStyle name="Moneda 2 2" xfId="154" xr:uid="{00000000-0005-0000-0000-000099000000}"/>
    <cellStyle name="Moneda 3" xfId="155" xr:uid="{00000000-0005-0000-0000-00009A000000}"/>
    <cellStyle name="Moneda 4" xfId="156" xr:uid="{00000000-0005-0000-0000-00009B000000}"/>
    <cellStyle name="Moneda 5" xfId="157" xr:uid="{00000000-0005-0000-0000-00009C000000}"/>
    <cellStyle name="Moneda 6" xfId="158" xr:uid="{00000000-0005-0000-0000-00009D000000}"/>
    <cellStyle name="Moneda 7" xfId="159" xr:uid="{00000000-0005-0000-0000-00009E000000}"/>
    <cellStyle name="Moneda 8" xfId="160" xr:uid="{00000000-0005-0000-0000-00009F000000}"/>
    <cellStyle name="Moneda 9" xfId="161" xr:uid="{00000000-0005-0000-0000-0000A0000000}"/>
    <cellStyle name="Normal" xfId="0" builtinId="0"/>
    <cellStyle name="Normal - Style1" xfId="162" xr:uid="{00000000-0005-0000-0000-0000A2000000}"/>
    <cellStyle name="Normal 10" xfId="163" xr:uid="{00000000-0005-0000-0000-0000A3000000}"/>
    <cellStyle name="Normal 11" xfId="164" xr:uid="{00000000-0005-0000-0000-0000A4000000}"/>
    <cellStyle name="Normal 11 2" xfId="165" xr:uid="{00000000-0005-0000-0000-0000A5000000}"/>
    <cellStyle name="Normal 12" xfId="166" xr:uid="{00000000-0005-0000-0000-0000A6000000}"/>
    <cellStyle name="Normal 12 2" xfId="167" xr:uid="{00000000-0005-0000-0000-0000A7000000}"/>
    <cellStyle name="Normal 13" xfId="168" xr:uid="{00000000-0005-0000-0000-0000A8000000}"/>
    <cellStyle name="Normal 14" xfId="169" xr:uid="{00000000-0005-0000-0000-0000A9000000}"/>
    <cellStyle name="Normal 15" xfId="170" xr:uid="{00000000-0005-0000-0000-0000AA000000}"/>
    <cellStyle name="Normal 16" xfId="171" xr:uid="{00000000-0005-0000-0000-0000AB000000}"/>
    <cellStyle name="Normal 17" xfId="172" xr:uid="{00000000-0005-0000-0000-0000AC000000}"/>
    <cellStyle name="Normal 18" xfId="173" xr:uid="{00000000-0005-0000-0000-0000AD000000}"/>
    <cellStyle name="Normal 19" xfId="174" xr:uid="{00000000-0005-0000-0000-0000AE000000}"/>
    <cellStyle name="Normal 2" xfId="175" xr:uid="{00000000-0005-0000-0000-0000AF000000}"/>
    <cellStyle name="Normal 2 10" xfId="176" xr:uid="{00000000-0005-0000-0000-0000B0000000}"/>
    <cellStyle name="Normal 2 11" xfId="177" xr:uid="{00000000-0005-0000-0000-0000B1000000}"/>
    <cellStyle name="Normal 2 12" xfId="178" xr:uid="{00000000-0005-0000-0000-0000B2000000}"/>
    <cellStyle name="Normal 2 13" xfId="179" xr:uid="{00000000-0005-0000-0000-0000B3000000}"/>
    <cellStyle name="Normal 2 14" xfId="180" xr:uid="{00000000-0005-0000-0000-0000B4000000}"/>
    <cellStyle name="Normal 2 15" xfId="181" xr:uid="{00000000-0005-0000-0000-0000B5000000}"/>
    <cellStyle name="Normal 2 16" xfId="182" xr:uid="{00000000-0005-0000-0000-0000B6000000}"/>
    <cellStyle name="Normal 2 17" xfId="183" xr:uid="{00000000-0005-0000-0000-0000B7000000}"/>
    <cellStyle name="Normal 2 18" xfId="184" xr:uid="{00000000-0005-0000-0000-0000B8000000}"/>
    <cellStyle name="Normal 2 19" xfId="185" xr:uid="{00000000-0005-0000-0000-0000B9000000}"/>
    <cellStyle name="Normal 2 2" xfId="186" xr:uid="{00000000-0005-0000-0000-0000BA000000}"/>
    <cellStyle name="Normal 2 20" xfId="187" xr:uid="{00000000-0005-0000-0000-0000BB000000}"/>
    <cellStyle name="Normal 2 21" xfId="188" xr:uid="{00000000-0005-0000-0000-0000BC000000}"/>
    <cellStyle name="Normal 2 22" xfId="189" xr:uid="{00000000-0005-0000-0000-0000BD000000}"/>
    <cellStyle name="Normal 2 23" xfId="190" xr:uid="{00000000-0005-0000-0000-0000BE000000}"/>
    <cellStyle name="Normal 2 24" xfId="191" xr:uid="{00000000-0005-0000-0000-0000BF000000}"/>
    <cellStyle name="Normal 2 25" xfId="192" xr:uid="{00000000-0005-0000-0000-0000C0000000}"/>
    <cellStyle name="Normal 2 26" xfId="193" xr:uid="{00000000-0005-0000-0000-0000C1000000}"/>
    <cellStyle name="Normal 2 27" xfId="194" xr:uid="{00000000-0005-0000-0000-0000C2000000}"/>
    <cellStyle name="Normal 2 28" xfId="195" xr:uid="{00000000-0005-0000-0000-0000C3000000}"/>
    <cellStyle name="Normal 2 29" xfId="196" xr:uid="{00000000-0005-0000-0000-0000C4000000}"/>
    <cellStyle name="Normal 2 3" xfId="197" xr:uid="{00000000-0005-0000-0000-0000C5000000}"/>
    <cellStyle name="Normal 2 30" xfId="198" xr:uid="{00000000-0005-0000-0000-0000C6000000}"/>
    <cellStyle name="Normal 2 31" xfId="199" xr:uid="{00000000-0005-0000-0000-0000C7000000}"/>
    <cellStyle name="Normal 2 32" xfId="200" xr:uid="{00000000-0005-0000-0000-0000C8000000}"/>
    <cellStyle name="Normal 2 33" xfId="201" xr:uid="{00000000-0005-0000-0000-0000C9000000}"/>
    <cellStyle name="Normal 2 34" xfId="202" xr:uid="{00000000-0005-0000-0000-0000CA000000}"/>
    <cellStyle name="Normal 2 35" xfId="203" xr:uid="{00000000-0005-0000-0000-0000CB000000}"/>
    <cellStyle name="Normal 2 36" xfId="204" xr:uid="{00000000-0005-0000-0000-0000CC000000}"/>
    <cellStyle name="Normal 2 37" xfId="205" xr:uid="{00000000-0005-0000-0000-0000CD000000}"/>
    <cellStyle name="Normal 2 38" xfId="206" xr:uid="{00000000-0005-0000-0000-0000CE000000}"/>
    <cellStyle name="Normal 2 39" xfId="207" xr:uid="{00000000-0005-0000-0000-0000CF000000}"/>
    <cellStyle name="Normal 2 4" xfId="208" xr:uid="{00000000-0005-0000-0000-0000D0000000}"/>
    <cellStyle name="Normal 2 40" xfId="209" xr:uid="{00000000-0005-0000-0000-0000D1000000}"/>
    <cellStyle name="Normal 2 41" xfId="210" xr:uid="{00000000-0005-0000-0000-0000D2000000}"/>
    <cellStyle name="Normal 2 42" xfId="211" xr:uid="{00000000-0005-0000-0000-0000D3000000}"/>
    <cellStyle name="Normal 2 43" xfId="212" xr:uid="{00000000-0005-0000-0000-0000D4000000}"/>
    <cellStyle name="Normal 2 44" xfId="213" xr:uid="{00000000-0005-0000-0000-0000D5000000}"/>
    <cellStyle name="Normal 2 45" xfId="214" xr:uid="{00000000-0005-0000-0000-0000D6000000}"/>
    <cellStyle name="Normal 2 46" xfId="215" xr:uid="{00000000-0005-0000-0000-0000D7000000}"/>
    <cellStyle name="Normal 2 47" xfId="216" xr:uid="{00000000-0005-0000-0000-0000D8000000}"/>
    <cellStyle name="Normal 2 48" xfId="217" xr:uid="{00000000-0005-0000-0000-0000D9000000}"/>
    <cellStyle name="Normal 2 49" xfId="218" xr:uid="{00000000-0005-0000-0000-0000DA000000}"/>
    <cellStyle name="Normal 2 5" xfId="219" xr:uid="{00000000-0005-0000-0000-0000DB000000}"/>
    <cellStyle name="Normal 2 50" xfId="220" xr:uid="{00000000-0005-0000-0000-0000DC000000}"/>
    <cellStyle name="Normal 2 51" xfId="221" xr:uid="{00000000-0005-0000-0000-0000DD000000}"/>
    <cellStyle name="Normal 2 52" xfId="222" xr:uid="{00000000-0005-0000-0000-0000DE000000}"/>
    <cellStyle name="Normal 2 53" xfId="223" xr:uid="{00000000-0005-0000-0000-0000DF000000}"/>
    <cellStyle name="Normal 2 54" xfId="224" xr:uid="{00000000-0005-0000-0000-0000E0000000}"/>
    <cellStyle name="Normal 2 55" xfId="225" xr:uid="{00000000-0005-0000-0000-0000E1000000}"/>
    <cellStyle name="Normal 2 56" xfId="226" xr:uid="{00000000-0005-0000-0000-0000E2000000}"/>
    <cellStyle name="Normal 2 57" xfId="227" xr:uid="{00000000-0005-0000-0000-0000E3000000}"/>
    <cellStyle name="Normal 2 58" xfId="228" xr:uid="{00000000-0005-0000-0000-0000E4000000}"/>
    <cellStyle name="Normal 2 59" xfId="229" xr:uid="{00000000-0005-0000-0000-0000E5000000}"/>
    <cellStyle name="Normal 2 6" xfId="230" xr:uid="{00000000-0005-0000-0000-0000E6000000}"/>
    <cellStyle name="Normal 2 60" xfId="231" xr:uid="{00000000-0005-0000-0000-0000E7000000}"/>
    <cellStyle name="Normal 2 61" xfId="232" xr:uid="{00000000-0005-0000-0000-0000E8000000}"/>
    <cellStyle name="Normal 2 7" xfId="233" xr:uid="{00000000-0005-0000-0000-0000E9000000}"/>
    <cellStyle name="Normal 2 8" xfId="234" xr:uid="{00000000-0005-0000-0000-0000EA000000}"/>
    <cellStyle name="Normal 2 9" xfId="235" xr:uid="{00000000-0005-0000-0000-0000EB000000}"/>
    <cellStyle name="Normal 2_conta 09" xfId="236" xr:uid="{00000000-0005-0000-0000-0000EC000000}"/>
    <cellStyle name="Normal 20" xfId="2" xr:uid="{00000000-0005-0000-0000-0000ED000000}"/>
    <cellStyle name="Normal 25" xfId="237" xr:uid="{00000000-0005-0000-0000-0000EE000000}"/>
    <cellStyle name="Normal 26" xfId="238" xr:uid="{00000000-0005-0000-0000-0000EF000000}"/>
    <cellStyle name="Normal 3" xfId="239" xr:uid="{00000000-0005-0000-0000-0000F0000000}"/>
    <cellStyle name="Normal 3 2" xfId="240" xr:uid="{00000000-0005-0000-0000-0000F1000000}"/>
    <cellStyle name="Normal 3 2 2" xfId="241" xr:uid="{00000000-0005-0000-0000-0000F2000000}"/>
    <cellStyle name="Normal 3 3" xfId="242" xr:uid="{00000000-0005-0000-0000-0000F3000000}"/>
    <cellStyle name="Normal 33" xfId="243" xr:uid="{00000000-0005-0000-0000-0000F4000000}"/>
    <cellStyle name="Normal 34" xfId="244" xr:uid="{00000000-0005-0000-0000-0000F5000000}"/>
    <cellStyle name="Normal 4" xfId="245" xr:uid="{00000000-0005-0000-0000-0000F6000000}"/>
    <cellStyle name="Normal 4 2" xfId="246" xr:uid="{00000000-0005-0000-0000-0000F7000000}"/>
    <cellStyle name="Normal 4 3" xfId="247" xr:uid="{00000000-0005-0000-0000-0000F8000000}"/>
    <cellStyle name="Normal 40" xfId="248" xr:uid="{00000000-0005-0000-0000-0000F9000000}"/>
    <cellStyle name="Normal 44" xfId="249" xr:uid="{00000000-0005-0000-0000-0000FA000000}"/>
    <cellStyle name="Normal 45" xfId="250" xr:uid="{00000000-0005-0000-0000-0000FB000000}"/>
    <cellStyle name="Normal 5" xfId="251" xr:uid="{00000000-0005-0000-0000-0000FC000000}"/>
    <cellStyle name="Normal 5 2" xfId="252" xr:uid="{00000000-0005-0000-0000-0000FD000000}"/>
    <cellStyle name="Normal 52" xfId="253" xr:uid="{00000000-0005-0000-0000-0000FE000000}"/>
    <cellStyle name="Normal 53" xfId="254" xr:uid="{00000000-0005-0000-0000-0000FF000000}"/>
    <cellStyle name="Normal 6" xfId="255" xr:uid="{00000000-0005-0000-0000-000000010000}"/>
    <cellStyle name="Normal 60" xfId="256" xr:uid="{00000000-0005-0000-0000-000001010000}"/>
    <cellStyle name="Normal 61" xfId="257" xr:uid="{00000000-0005-0000-0000-000002010000}"/>
    <cellStyle name="Normal 7" xfId="258" xr:uid="{00000000-0005-0000-0000-000003010000}"/>
    <cellStyle name="Normal 8" xfId="259" xr:uid="{00000000-0005-0000-0000-000004010000}"/>
    <cellStyle name="Normal 9" xfId="260" xr:uid="{00000000-0005-0000-0000-000005010000}"/>
    <cellStyle name="Percent [0]" xfId="261" xr:uid="{00000000-0005-0000-0000-000006010000}"/>
    <cellStyle name="Percent [00]" xfId="262" xr:uid="{00000000-0005-0000-0000-000007010000}"/>
    <cellStyle name="Percent [2]" xfId="263" xr:uid="{00000000-0005-0000-0000-000008010000}"/>
    <cellStyle name="Porcentaje 2" xfId="264" xr:uid="{00000000-0005-0000-0000-000009010000}"/>
    <cellStyle name="Porcentaje 3" xfId="265" xr:uid="{00000000-0005-0000-0000-00000A010000}"/>
    <cellStyle name="Porcentaje 4" xfId="266" xr:uid="{00000000-0005-0000-0000-00000B010000}"/>
    <cellStyle name="Porcentaje 5" xfId="267" xr:uid="{00000000-0005-0000-0000-00000C010000}"/>
    <cellStyle name="Porcentaje 6" xfId="268" xr:uid="{00000000-0005-0000-0000-00000D010000}"/>
    <cellStyle name="Porcentaje 7" xfId="269" xr:uid="{00000000-0005-0000-0000-00000E010000}"/>
    <cellStyle name="Porcentual 2" xfId="270" xr:uid="{00000000-0005-0000-0000-00000F010000}"/>
    <cellStyle name="Porcentual 2 2" xfId="271" xr:uid="{00000000-0005-0000-0000-000010010000}"/>
    <cellStyle name="PrePop Currency (0)" xfId="272" xr:uid="{00000000-0005-0000-0000-000011010000}"/>
    <cellStyle name="PrePop Currency (2)" xfId="273" xr:uid="{00000000-0005-0000-0000-000012010000}"/>
    <cellStyle name="PrePop Units (0)" xfId="274" xr:uid="{00000000-0005-0000-0000-000013010000}"/>
    <cellStyle name="PrePop Units (1)" xfId="275" xr:uid="{00000000-0005-0000-0000-000014010000}"/>
    <cellStyle name="PrePop Units (2)" xfId="276" xr:uid="{00000000-0005-0000-0000-000015010000}"/>
    <cellStyle name="Text Indent A" xfId="277" xr:uid="{00000000-0005-0000-0000-000016010000}"/>
    <cellStyle name="Text Indent B" xfId="278" xr:uid="{00000000-0005-0000-0000-000017010000}"/>
    <cellStyle name="Text Indent C" xfId="279" xr:uid="{00000000-0005-0000-0000-000018010000}"/>
  </cellStyles>
  <dxfs count="0"/>
  <tableStyles count="0" defaultTableStyle="TableStyleMedium2" defaultPivotStyle="PivotStyleLight16"/>
  <colors>
    <mruColors>
      <color rgb="FF0395B9"/>
      <color rgb="FF005274"/>
      <color rgb="FF002A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9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</xdr:row>
      <xdr:rowOff>88900</xdr:rowOff>
    </xdr:from>
    <xdr:to>
      <xdr:col>4</xdr:col>
      <xdr:colOff>673100</xdr:colOff>
      <xdr:row>7</xdr:row>
      <xdr:rowOff>66496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72C2C98-8817-4E4C-A0B0-099349DA2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15900"/>
          <a:ext cx="2311400" cy="90469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16</xdr:col>
      <xdr:colOff>0</xdr:colOff>
      <xdr:row>38</xdr:row>
      <xdr:rowOff>139699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867396CD-6D6F-A449-827C-49A4ACEDAD30}"/>
            </a:ext>
          </a:extLst>
        </xdr:cNvPr>
        <xdr:cNvGrpSpPr/>
      </xdr:nvGrpSpPr>
      <xdr:grpSpPr>
        <a:xfrm>
          <a:off x="257175" y="8848725"/>
          <a:ext cx="8448675" cy="863599"/>
          <a:chOff x="-1219200" y="3517901"/>
          <a:chExt cx="9664700" cy="952499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BF3E6A7D-42EA-5F4F-A633-E858013688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-1219200" y="3517901"/>
            <a:ext cx="9664700" cy="952499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956140A6-9C44-3E4C-AAC5-FCA7AA9D31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-50800" y="3708056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127000</xdr:colOff>
      <xdr:row>4</xdr:row>
      <xdr:rowOff>52596</xdr:rowOff>
    </xdr:from>
    <xdr:to>
      <xdr:col>10</xdr:col>
      <xdr:colOff>0</xdr:colOff>
      <xdr:row>8</xdr:row>
      <xdr:rowOff>177800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4E93C5-1E6D-874E-8FA3-2F6B94D15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200" y="179596"/>
          <a:ext cx="1168400" cy="1192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17</xdr:col>
      <xdr:colOff>38100</xdr:colOff>
      <xdr:row>42</xdr:row>
      <xdr:rowOff>12699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E7754BA-C29F-6742-8C7C-03F996C60AE3}"/>
            </a:ext>
          </a:extLst>
        </xdr:cNvPr>
        <xdr:cNvGrpSpPr/>
      </xdr:nvGrpSpPr>
      <xdr:grpSpPr>
        <a:xfrm>
          <a:off x="0" y="10020300"/>
          <a:ext cx="9344025" cy="946149"/>
          <a:chOff x="-1219200" y="3517901"/>
          <a:chExt cx="10414000" cy="952499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C42A2F6A-EBC4-FF44-B136-18F9A37A14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1219200" y="3517901"/>
            <a:ext cx="10414000" cy="952499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180922DC-E2E2-3349-9C4C-F1C7B7A31A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9100" y="3733800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241300</xdr:colOff>
      <xdr:row>5</xdr:row>
      <xdr:rowOff>0</xdr:rowOff>
    </xdr:from>
    <xdr:to>
      <xdr:col>4</xdr:col>
      <xdr:colOff>25400</xdr:colOff>
      <xdr:row>7</xdr:row>
      <xdr:rowOff>323671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E1D1D54-8BA4-224A-AACE-DF80D2F1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200" y="127000"/>
          <a:ext cx="2311400" cy="904696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5</xdr:row>
      <xdr:rowOff>25400</xdr:rowOff>
    </xdr:from>
    <xdr:to>
      <xdr:col>10</xdr:col>
      <xdr:colOff>0</xdr:colOff>
      <xdr:row>9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C567A-38DE-5649-B0E6-E82CDA5FB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8000" y="1828800"/>
          <a:ext cx="1206500" cy="1206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5</xdr:row>
      <xdr:rowOff>38100</xdr:rowOff>
    </xdr:from>
    <xdr:to>
      <xdr:col>4</xdr:col>
      <xdr:colOff>558800</xdr:colOff>
      <xdr:row>9</xdr:row>
      <xdr:rowOff>79196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5D448B-1C34-1844-846E-B4CA571A8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65100"/>
          <a:ext cx="2311400" cy="90469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177800</xdr:rowOff>
    </xdr:from>
    <xdr:to>
      <xdr:col>14</xdr:col>
      <xdr:colOff>0</xdr:colOff>
      <xdr:row>28</xdr:row>
      <xdr:rowOff>203199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84738D9E-88E9-E04C-B3D6-5B9D0D8933DE}"/>
            </a:ext>
          </a:extLst>
        </xdr:cNvPr>
        <xdr:cNvGrpSpPr/>
      </xdr:nvGrpSpPr>
      <xdr:grpSpPr>
        <a:xfrm>
          <a:off x="247650" y="5578475"/>
          <a:ext cx="7305675" cy="1063624"/>
          <a:chOff x="0" y="3797301"/>
          <a:chExt cx="8382000" cy="952499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5C9A86C7-C253-9C46-913F-33301C7865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797301"/>
            <a:ext cx="8382000" cy="952499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345D6A76-EC38-764C-A66C-7870EAFD4C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76437" y="3987800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5</xdr:row>
      <xdr:rowOff>139700</xdr:rowOff>
    </xdr:from>
    <xdr:to>
      <xdr:col>9</xdr:col>
      <xdr:colOff>216408</xdr:colOff>
      <xdr:row>10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9592AA-C84F-864E-B0D9-EB5F594A0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38700" y="266700"/>
          <a:ext cx="902208" cy="939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38100</xdr:colOff>
      <xdr:row>40</xdr:row>
      <xdr:rowOff>190499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19D05D2C-C60C-C446-B13E-72C9F5F20813}"/>
            </a:ext>
          </a:extLst>
        </xdr:cNvPr>
        <xdr:cNvGrpSpPr/>
      </xdr:nvGrpSpPr>
      <xdr:grpSpPr>
        <a:xfrm>
          <a:off x="323850" y="8410575"/>
          <a:ext cx="8772525" cy="952499"/>
          <a:chOff x="0" y="3797301"/>
          <a:chExt cx="6921500" cy="95249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46F0089-17C3-1F4B-8C23-FC35E8C2C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3797301"/>
            <a:ext cx="6921500" cy="952499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23817F7C-8524-354B-AFCD-43681C1720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1634" y="4000501"/>
            <a:ext cx="4580520" cy="50799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139700</xdr:colOff>
      <xdr:row>4</xdr:row>
      <xdr:rowOff>152400</xdr:rowOff>
    </xdr:from>
    <xdr:to>
      <xdr:col>3</xdr:col>
      <xdr:colOff>863</xdr:colOff>
      <xdr:row>6</xdr:row>
      <xdr:rowOff>139700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089D91C-606A-3847-AF60-4A16A61B5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700" y="152400"/>
          <a:ext cx="2109063" cy="82550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889000</xdr:colOff>
      <xdr:row>4</xdr:row>
      <xdr:rowOff>114300</xdr:rowOff>
    </xdr:from>
    <xdr:to>
      <xdr:col>4</xdr:col>
      <xdr:colOff>1879600</xdr:colOff>
      <xdr:row>6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144DAC-696E-5C43-BC95-A360FC8F0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18100" y="1219200"/>
          <a:ext cx="990600" cy="990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4</xdr:row>
      <xdr:rowOff>190501</xdr:rowOff>
    </xdr:from>
    <xdr:to>
      <xdr:col>3</xdr:col>
      <xdr:colOff>160308</xdr:colOff>
      <xdr:row>6</xdr:row>
      <xdr:rowOff>127000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EFF3BF-57EF-B844-BE16-EBDEC5B86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" y="190501"/>
          <a:ext cx="2141509" cy="838199"/>
        </a:xfrm>
        <a:prstGeom prst="rect">
          <a:avLst/>
        </a:prstGeom>
      </xdr:spPr>
    </xdr:pic>
    <xdr:clientData/>
  </xdr:twoCellAnchor>
  <xdr:twoCellAnchor>
    <xdr:from>
      <xdr:col>1</xdr:col>
      <xdr:colOff>101600</xdr:colOff>
      <xdr:row>20</xdr:row>
      <xdr:rowOff>25401</xdr:rowOff>
    </xdr:from>
    <xdr:to>
      <xdr:col>6</xdr:col>
      <xdr:colOff>139700</xdr:colOff>
      <xdr:row>25</xdr:row>
      <xdr:rowOff>25400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E6E88B4A-EA9F-3A46-9A2B-B0811AA696A0}"/>
            </a:ext>
          </a:extLst>
        </xdr:cNvPr>
        <xdr:cNvGrpSpPr/>
      </xdr:nvGrpSpPr>
      <xdr:grpSpPr>
        <a:xfrm>
          <a:off x="349250" y="5854701"/>
          <a:ext cx="8105775" cy="952499"/>
          <a:chOff x="0" y="3797301"/>
          <a:chExt cx="6921500" cy="95249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E5C64ACD-5DB1-6F4E-AD89-B3B7DB519F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797301"/>
            <a:ext cx="6921500" cy="952499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56554F84-FB17-7741-ACA8-B353764667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03200" y="4000500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469900</xdr:colOff>
      <xdr:row>4</xdr:row>
      <xdr:rowOff>304800</xdr:rowOff>
    </xdr:from>
    <xdr:to>
      <xdr:col>3</xdr:col>
      <xdr:colOff>1342237</xdr:colOff>
      <xdr:row>6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8D73CB-DD81-214C-B589-DE4678521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7300" y="304800"/>
          <a:ext cx="872337" cy="825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142876</xdr:colOff>
      <xdr:row>4</xdr:row>
      <xdr:rowOff>47625</xdr:rowOff>
    </xdr:from>
    <xdr:to>
      <xdr:col>3</xdr:col>
      <xdr:colOff>269876</xdr:colOff>
      <xdr:row>6</xdr:row>
      <xdr:rowOff>177896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27B00B-7109-8C4D-9BAD-ABDCCDE3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376" y="682625"/>
          <a:ext cx="1930400" cy="676371"/>
        </a:xfrm>
        <a:prstGeom prst="rect">
          <a:avLst/>
        </a:prstGeom>
      </xdr:spPr>
    </xdr:pic>
    <xdr:clientData/>
  </xdr:twoCellAnchor>
  <xdr:twoCellAnchor>
    <xdr:from>
      <xdr:col>0</xdr:col>
      <xdr:colOff>666749</xdr:colOff>
      <xdr:row>34</xdr:row>
      <xdr:rowOff>38100</xdr:rowOff>
    </xdr:from>
    <xdr:to>
      <xdr:col>14</xdr:col>
      <xdr:colOff>19050</xdr:colOff>
      <xdr:row>40</xdr:row>
      <xdr:rowOff>114299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6AE9D9EB-14FA-0A45-9619-04A9201A7E81}"/>
            </a:ext>
          </a:extLst>
        </xdr:cNvPr>
        <xdr:cNvGrpSpPr/>
      </xdr:nvGrpSpPr>
      <xdr:grpSpPr>
        <a:xfrm>
          <a:off x="314324" y="7134225"/>
          <a:ext cx="8515351" cy="1219199"/>
          <a:chOff x="1" y="7436273"/>
          <a:chExt cx="9045680" cy="1088570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D66BF6B1-D70D-AD46-A1AB-91B767E2F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" y="7436273"/>
            <a:ext cx="9045680" cy="1088570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92B65D8B-2DBF-4340-AA8D-DB1F9E55C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1559" y="7697237"/>
            <a:ext cx="6213929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469900</xdr:colOff>
      <xdr:row>3</xdr:row>
      <xdr:rowOff>127000</xdr:rowOff>
    </xdr:from>
    <xdr:to>
      <xdr:col>7</xdr:col>
      <xdr:colOff>168039</xdr:colOff>
      <xdr:row>7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044F3BE-EBEF-DC43-9C5F-731EBB7BD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1054100"/>
          <a:ext cx="1260239" cy="96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R58"/>
  <sheetViews>
    <sheetView workbookViewId="0">
      <selection activeCell="C3" sqref="C3"/>
    </sheetView>
  </sheetViews>
  <sheetFormatPr baseColWidth="10" defaultColWidth="11.42578125" defaultRowHeight="29.25" customHeight="1"/>
  <cols>
    <col min="1" max="1" width="3.85546875" style="51" customWidth="1"/>
    <col min="2" max="2" width="1.140625" style="29" customWidth="1"/>
    <col min="3" max="3" width="11" style="51" bestFit="1" customWidth="1"/>
    <col min="4" max="4" width="12" style="51" bestFit="1" customWidth="1"/>
    <col min="5" max="5" width="11.42578125" style="51" customWidth="1"/>
    <col min="6" max="15" width="9" style="51" customWidth="1"/>
    <col min="16" max="16" width="1.140625" style="29" customWidth="1"/>
    <col min="17" max="17" width="2.28515625" style="75" customWidth="1"/>
    <col min="18" max="18" width="1.140625" style="29" customWidth="1"/>
    <col min="19" max="19" width="11" style="51" bestFit="1" customWidth="1"/>
    <col min="20" max="20" width="12" style="51" bestFit="1" customWidth="1"/>
    <col min="21" max="21" width="11.42578125" style="51" customWidth="1"/>
    <col min="22" max="31" width="9" style="51" customWidth="1"/>
    <col min="32" max="32" width="1.140625" style="51" customWidth="1"/>
    <col min="33" max="16384" width="11.42578125" style="51"/>
  </cols>
  <sheetData>
    <row r="2" spans="2:18" ht="41.1" customHeight="1">
      <c r="C2" s="130" t="s">
        <v>55</v>
      </c>
      <c r="D2" s="130"/>
      <c r="E2" s="130"/>
      <c r="F2" s="130"/>
      <c r="G2" s="130"/>
      <c r="H2" s="130"/>
      <c r="I2" s="130"/>
      <c r="J2" s="130"/>
      <c r="K2" s="130"/>
      <c r="L2" s="129" t="s">
        <v>35</v>
      </c>
      <c r="M2" s="129"/>
      <c r="N2" s="129"/>
      <c r="O2" s="129"/>
    </row>
    <row r="3" spans="2:18" ht="18.95" customHeight="1" thickBot="1"/>
    <row r="4" spans="2:18" ht="10.5" customHeight="1" thickTop="1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R4" s="51"/>
    </row>
    <row r="5" spans="2:18" ht="15.75">
      <c r="B5" s="28"/>
      <c r="C5" s="29"/>
      <c r="D5" s="29"/>
      <c r="E5" s="29"/>
      <c r="F5" s="30"/>
      <c r="G5" s="30"/>
      <c r="H5" s="30"/>
      <c r="I5" s="29"/>
      <c r="J5" s="30"/>
      <c r="K5" s="31"/>
      <c r="L5" s="29"/>
      <c r="M5" s="59"/>
      <c r="N5" s="59"/>
      <c r="O5" s="61"/>
      <c r="P5" s="33"/>
      <c r="R5" s="51"/>
    </row>
    <row r="6" spans="2:18" ht="25.5">
      <c r="B6" s="28"/>
      <c r="C6" s="29"/>
      <c r="D6" s="29"/>
      <c r="E6" s="29"/>
      <c r="F6" s="30"/>
      <c r="G6" s="131"/>
      <c r="H6" s="131"/>
      <c r="I6" s="131"/>
      <c r="J6" s="131"/>
      <c r="K6" s="131"/>
      <c r="L6" s="31"/>
      <c r="M6" s="78"/>
      <c r="N6" s="78"/>
      <c r="O6" s="79" t="s">
        <v>44</v>
      </c>
      <c r="P6" s="33"/>
      <c r="R6" s="51"/>
    </row>
    <row r="7" spans="2:18" ht="25.5">
      <c r="B7" s="28"/>
      <c r="C7" s="29"/>
      <c r="D7" s="29"/>
      <c r="E7" s="29"/>
      <c r="F7" s="30"/>
      <c r="G7" s="29"/>
      <c r="H7" s="29"/>
      <c r="I7" s="29"/>
      <c r="J7" s="29"/>
      <c r="K7" s="29"/>
      <c r="L7" s="31"/>
      <c r="M7" s="78"/>
      <c r="N7" s="78"/>
      <c r="O7" s="79" t="s">
        <v>45</v>
      </c>
      <c r="P7" s="33"/>
      <c r="R7" s="51"/>
    </row>
    <row r="8" spans="2:18" ht="11.1" customHeight="1"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33"/>
      <c r="R8" s="51"/>
    </row>
    <row r="9" spans="2:18" ht="18.75" customHeight="1"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3"/>
      <c r="R9" s="51"/>
    </row>
    <row r="10" spans="2:18" s="38" customFormat="1" ht="12" customHeight="1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  <c r="Q10" s="76"/>
    </row>
    <row r="11" spans="2:18" s="38" customFormat="1" ht="10.5" customHeight="1" thickTop="1" thickBot="1">
      <c r="B11" s="37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7"/>
      <c r="Q11" s="76"/>
    </row>
    <row r="12" spans="2:18" ht="9.75" customHeight="1" thickTop="1">
      <c r="B12" s="25"/>
      <c r="C12" s="26"/>
      <c r="D12" s="26"/>
      <c r="E12" s="40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7"/>
      <c r="R12" s="51"/>
    </row>
    <row r="13" spans="2:18" ht="23.25" customHeight="1">
      <c r="B13" s="28"/>
      <c r="C13" s="132" t="s">
        <v>0</v>
      </c>
      <c r="D13" s="133"/>
      <c r="E13" s="138" t="s">
        <v>1</v>
      </c>
      <c r="F13" s="141" t="s">
        <v>46</v>
      </c>
      <c r="G13" s="142"/>
      <c r="H13" s="142"/>
      <c r="I13" s="142"/>
      <c r="J13" s="142"/>
      <c r="K13" s="142"/>
      <c r="L13" s="142"/>
      <c r="M13" s="142"/>
      <c r="N13" s="142"/>
      <c r="O13" s="143"/>
      <c r="P13" s="33"/>
      <c r="R13" s="51"/>
    </row>
    <row r="14" spans="2:18" ht="25.5" customHeight="1">
      <c r="B14" s="28"/>
      <c r="C14" s="134"/>
      <c r="D14" s="135"/>
      <c r="E14" s="139"/>
      <c r="F14" s="66" t="s">
        <v>18</v>
      </c>
      <c r="G14" s="66" t="s">
        <v>2</v>
      </c>
      <c r="H14" s="66" t="s">
        <v>3</v>
      </c>
      <c r="I14" s="66" t="s">
        <v>19</v>
      </c>
      <c r="J14" s="66" t="s">
        <v>4</v>
      </c>
      <c r="K14" s="66" t="s">
        <v>5</v>
      </c>
      <c r="L14" s="66" t="s">
        <v>20</v>
      </c>
      <c r="M14" s="66" t="s">
        <v>6</v>
      </c>
      <c r="N14" s="66" t="s">
        <v>7</v>
      </c>
      <c r="O14" s="66" t="s">
        <v>7</v>
      </c>
      <c r="P14" s="33"/>
      <c r="R14" s="51"/>
    </row>
    <row r="15" spans="2:18" ht="14.25" customHeight="1">
      <c r="B15" s="28"/>
      <c r="C15" s="136"/>
      <c r="D15" s="137"/>
      <c r="E15" s="140"/>
      <c r="F15" s="42" t="s">
        <v>8</v>
      </c>
      <c r="G15" s="42" t="s">
        <v>9</v>
      </c>
      <c r="H15" s="42" t="s">
        <v>10</v>
      </c>
      <c r="I15" s="42" t="s">
        <v>11</v>
      </c>
      <c r="J15" s="42" t="s">
        <v>12</v>
      </c>
      <c r="K15" s="42" t="s">
        <v>13</v>
      </c>
      <c r="L15" s="42" t="s">
        <v>14</v>
      </c>
      <c r="M15" s="42" t="s">
        <v>15</v>
      </c>
      <c r="N15" s="42" t="s">
        <v>16</v>
      </c>
      <c r="O15" s="42" t="s">
        <v>17</v>
      </c>
      <c r="P15" s="33"/>
      <c r="R15" s="51"/>
    </row>
    <row r="16" spans="2:18" ht="21" customHeight="1">
      <c r="B16" s="28"/>
      <c r="C16" s="43">
        <v>0</v>
      </c>
      <c r="D16" s="43">
        <v>500000</v>
      </c>
      <c r="E16" s="43">
        <f>1000*0.9</f>
        <v>900</v>
      </c>
      <c r="F16" s="43">
        <f>E16</f>
        <v>900</v>
      </c>
      <c r="G16" s="43">
        <f>+F16+50</f>
        <v>950</v>
      </c>
      <c r="H16" s="43">
        <f>+G16+50</f>
        <v>1000</v>
      </c>
      <c r="I16" s="43">
        <f>+H16+50</f>
        <v>1050</v>
      </c>
      <c r="J16" s="43">
        <f>+I16+50</f>
        <v>1100</v>
      </c>
      <c r="K16" s="43">
        <f>+J16+100</f>
        <v>1200</v>
      </c>
      <c r="L16" s="43">
        <f>+K16+100</f>
        <v>1300</v>
      </c>
      <c r="M16" s="43">
        <f>+L16+100</f>
        <v>1400</v>
      </c>
      <c r="N16" s="43">
        <f>+M16+150</f>
        <v>1550</v>
      </c>
      <c r="O16" s="43">
        <f>+N16+150</f>
        <v>1700</v>
      </c>
      <c r="P16" s="33"/>
      <c r="R16" s="51"/>
    </row>
    <row r="17" spans="2:18" ht="21" customHeight="1">
      <c r="B17" s="28"/>
      <c r="C17" s="43">
        <v>500001</v>
      </c>
      <c r="D17" s="43">
        <v>1000000</v>
      </c>
      <c r="E17" s="43">
        <f>1600*0.9</f>
        <v>1440</v>
      </c>
      <c r="F17" s="43">
        <f t="shared" ref="F17:F33" si="0">E17</f>
        <v>1440</v>
      </c>
      <c r="G17" s="43">
        <f t="shared" ref="G17:J33" si="1">+F17+50</f>
        <v>1490</v>
      </c>
      <c r="H17" s="43">
        <f t="shared" si="1"/>
        <v>1540</v>
      </c>
      <c r="I17" s="43">
        <f t="shared" si="1"/>
        <v>1590</v>
      </c>
      <c r="J17" s="43">
        <f t="shared" si="1"/>
        <v>1640</v>
      </c>
      <c r="K17" s="43">
        <f t="shared" ref="K17:M33" si="2">+J17+100</f>
        <v>1740</v>
      </c>
      <c r="L17" s="43">
        <f t="shared" si="2"/>
        <v>1840</v>
      </c>
      <c r="M17" s="43">
        <f t="shared" si="2"/>
        <v>1940</v>
      </c>
      <c r="N17" s="43">
        <f t="shared" ref="N17:O33" si="3">+M17+150</f>
        <v>2090</v>
      </c>
      <c r="O17" s="43">
        <f t="shared" si="3"/>
        <v>2240</v>
      </c>
      <c r="P17" s="33"/>
      <c r="R17" s="51"/>
    </row>
    <row r="18" spans="2:18" ht="21" customHeight="1">
      <c r="B18" s="28"/>
      <c r="C18" s="43">
        <v>1000001</v>
      </c>
      <c r="D18" s="43">
        <v>2000000</v>
      </c>
      <c r="E18" s="43">
        <f>2160*0.9</f>
        <v>1944</v>
      </c>
      <c r="F18" s="43">
        <f t="shared" si="0"/>
        <v>1944</v>
      </c>
      <c r="G18" s="43">
        <f t="shared" si="1"/>
        <v>1994</v>
      </c>
      <c r="H18" s="43">
        <f t="shared" si="1"/>
        <v>2044</v>
      </c>
      <c r="I18" s="43">
        <f t="shared" si="1"/>
        <v>2094</v>
      </c>
      <c r="J18" s="43">
        <f t="shared" si="1"/>
        <v>2144</v>
      </c>
      <c r="K18" s="43">
        <f t="shared" si="2"/>
        <v>2244</v>
      </c>
      <c r="L18" s="43">
        <f t="shared" si="2"/>
        <v>2344</v>
      </c>
      <c r="M18" s="43">
        <f t="shared" si="2"/>
        <v>2444</v>
      </c>
      <c r="N18" s="43">
        <f t="shared" si="3"/>
        <v>2594</v>
      </c>
      <c r="O18" s="43">
        <f t="shared" si="3"/>
        <v>2744</v>
      </c>
      <c r="P18" s="33"/>
      <c r="R18" s="51"/>
    </row>
    <row r="19" spans="2:18" ht="21" customHeight="1">
      <c r="B19" s="28"/>
      <c r="C19" s="43">
        <v>2000001</v>
      </c>
      <c r="D19" s="43">
        <v>3000000</v>
      </c>
      <c r="E19" s="43">
        <f>2800*0.9</f>
        <v>2520</v>
      </c>
      <c r="F19" s="43">
        <f t="shared" si="0"/>
        <v>2520</v>
      </c>
      <c r="G19" s="43">
        <f t="shared" si="1"/>
        <v>2570</v>
      </c>
      <c r="H19" s="43">
        <f t="shared" si="1"/>
        <v>2620</v>
      </c>
      <c r="I19" s="43">
        <f t="shared" si="1"/>
        <v>2670</v>
      </c>
      <c r="J19" s="43">
        <f t="shared" si="1"/>
        <v>2720</v>
      </c>
      <c r="K19" s="43">
        <f t="shared" si="2"/>
        <v>2820</v>
      </c>
      <c r="L19" s="43">
        <f t="shared" si="2"/>
        <v>2920</v>
      </c>
      <c r="M19" s="43">
        <f t="shared" si="2"/>
        <v>3020</v>
      </c>
      <c r="N19" s="43">
        <f t="shared" si="3"/>
        <v>3170</v>
      </c>
      <c r="O19" s="43">
        <f t="shared" si="3"/>
        <v>3320</v>
      </c>
      <c r="P19" s="33"/>
      <c r="R19" s="51"/>
    </row>
    <row r="20" spans="2:18" ht="21" customHeight="1">
      <c r="B20" s="28"/>
      <c r="C20" s="43">
        <v>3000001</v>
      </c>
      <c r="D20" s="43">
        <v>6000000</v>
      </c>
      <c r="E20" s="43">
        <f>3600*0.9</f>
        <v>3240</v>
      </c>
      <c r="F20" s="43">
        <f t="shared" si="0"/>
        <v>3240</v>
      </c>
      <c r="G20" s="43">
        <f t="shared" si="1"/>
        <v>3290</v>
      </c>
      <c r="H20" s="43">
        <f t="shared" si="1"/>
        <v>3340</v>
      </c>
      <c r="I20" s="43">
        <f t="shared" si="1"/>
        <v>3390</v>
      </c>
      <c r="J20" s="43">
        <f t="shared" si="1"/>
        <v>3440</v>
      </c>
      <c r="K20" s="43">
        <f t="shared" si="2"/>
        <v>3540</v>
      </c>
      <c r="L20" s="43">
        <f t="shared" si="2"/>
        <v>3640</v>
      </c>
      <c r="M20" s="43">
        <f t="shared" si="2"/>
        <v>3740</v>
      </c>
      <c r="N20" s="43">
        <f t="shared" si="3"/>
        <v>3890</v>
      </c>
      <c r="O20" s="43">
        <f t="shared" si="3"/>
        <v>4040</v>
      </c>
      <c r="P20" s="33"/>
      <c r="R20" s="51"/>
    </row>
    <row r="21" spans="2:18" ht="21" customHeight="1">
      <c r="B21" s="28"/>
      <c r="C21" s="43">
        <v>6000001</v>
      </c>
      <c r="D21" s="43">
        <v>9000000</v>
      </c>
      <c r="E21" s="43">
        <f>4400*0.9</f>
        <v>3960</v>
      </c>
      <c r="F21" s="43">
        <f t="shared" si="0"/>
        <v>3960</v>
      </c>
      <c r="G21" s="43">
        <f t="shared" si="1"/>
        <v>4010</v>
      </c>
      <c r="H21" s="43">
        <f t="shared" si="1"/>
        <v>4060</v>
      </c>
      <c r="I21" s="43">
        <f t="shared" si="1"/>
        <v>4110</v>
      </c>
      <c r="J21" s="43">
        <f t="shared" si="1"/>
        <v>4160</v>
      </c>
      <c r="K21" s="43">
        <f t="shared" si="2"/>
        <v>4260</v>
      </c>
      <c r="L21" s="43">
        <f t="shared" si="2"/>
        <v>4360</v>
      </c>
      <c r="M21" s="43">
        <f t="shared" si="2"/>
        <v>4460</v>
      </c>
      <c r="N21" s="43">
        <f t="shared" si="3"/>
        <v>4610</v>
      </c>
      <c r="O21" s="43">
        <f t="shared" si="3"/>
        <v>4760</v>
      </c>
      <c r="P21" s="33"/>
      <c r="R21" s="51"/>
    </row>
    <row r="22" spans="2:18" ht="21" customHeight="1">
      <c r="B22" s="28"/>
      <c r="C22" s="43">
        <v>9000001</v>
      </c>
      <c r="D22" s="43">
        <v>12000000</v>
      </c>
      <c r="E22" s="43">
        <f>5200*0.9</f>
        <v>4680</v>
      </c>
      <c r="F22" s="43">
        <f t="shared" si="0"/>
        <v>4680</v>
      </c>
      <c r="G22" s="43">
        <f t="shared" si="1"/>
        <v>4730</v>
      </c>
      <c r="H22" s="43">
        <f t="shared" si="1"/>
        <v>4780</v>
      </c>
      <c r="I22" s="43">
        <f t="shared" si="1"/>
        <v>4830</v>
      </c>
      <c r="J22" s="43">
        <f t="shared" si="1"/>
        <v>4880</v>
      </c>
      <c r="K22" s="43">
        <f t="shared" si="2"/>
        <v>4980</v>
      </c>
      <c r="L22" s="43">
        <f t="shared" si="2"/>
        <v>5080</v>
      </c>
      <c r="M22" s="43">
        <f t="shared" si="2"/>
        <v>5180</v>
      </c>
      <c r="N22" s="43">
        <f t="shared" si="3"/>
        <v>5330</v>
      </c>
      <c r="O22" s="43">
        <f t="shared" si="3"/>
        <v>5480</v>
      </c>
      <c r="P22" s="33"/>
      <c r="R22" s="51"/>
    </row>
    <row r="23" spans="2:18" ht="21" customHeight="1">
      <c r="B23" s="28"/>
      <c r="C23" s="43">
        <v>12000001</v>
      </c>
      <c r="D23" s="43">
        <v>15000000</v>
      </c>
      <c r="E23" s="43">
        <f>6000*0.9</f>
        <v>5400</v>
      </c>
      <c r="F23" s="43">
        <f t="shared" si="0"/>
        <v>5400</v>
      </c>
      <c r="G23" s="43">
        <f t="shared" si="1"/>
        <v>5450</v>
      </c>
      <c r="H23" s="43">
        <f t="shared" si="1"/>
        <v>5500</v>
      </c>
      <c r="I23" s="43">
        <f t="shared" si="1"/>
        <v>5550</v>
      </c>
      <c r="J23" s="43">
        <f t="shared" si="1"/>
        <v>5600</v>
      </c>
      <c r="K23" s="43">
        <f t="shared" si="2"/>
        <v>5700</v>
      </c>
      <c r="L23" s="43">
        <f t="shared" si="2"/>
        <v>5800</v>
      </c>
      <c r="M23" s="43">
        <f t="shared" si="2"/>
        <v>5900</v>
      </c>
      <c r="N23" s="43">
        <f t="shared" si="3"/>
        <v>6050</v>
      </c>
      <c r="O23" s="43">
        <f t="shared" si="3"/>
        <v>6200</v>
      </c>
      <c r="P23" s="33"/>
      <c r="R23" s="51"/>
    </row>
    <row r="24" spans="2:18" ht="21" customHeight="1">
      <c r="B24" s="28"/>
      <c r="C24" s="43">
        <v>15000001</v>
      </c>
      <c r="D24" s="43">
        <v>18000000</v>
      </c>
      <c r="E24" s="43">
        <f>6800*0.9</f>
        <v>6120</v>
      </c>
      <c r="F24" s="43">
        <f t="shared" si="0"/>
        <v>6120</v>
      </c>
      <c r="G24" s="43">
        <f t="shared" si="1"/>
        <v>6170</v>
      </c>
      <c r="H24" s="43">
        <f t="shared" si="1"/>
        <v>6220</v>
      </c>
      <c r="I24" s="43">
        <f t="shared" si="1"/>
        <v>6270</v>
      </c>
      <c r="J24" s="43">
        <f t="shared" si="1"/>
        <v>6320</v>
      </c>
      <c r="K24" s="43">
        <f t="shared" si="2"/>
        <v>6420</v>
      </c>
      <c r="L24" s="43">
        <f t="shared" si="2"/>
        <v>6520</v>
      </c>
      <c r="M24" s="43">
        <f t="shared" si="2"/>
        <v>6620</v>
      </c>
      <c r="N24" s="43">
        <f t="shared" si="3"/>
        <v>6770</v>
      </c>
      <c r="O24" s="43">
        <f t="shared" si="3"/>
        <v>6920</v>
      </c>
      <c r="P24" s="33"/>
      <c r="R24" s="51"/>
    </row>
    <row r="25" spans="2:18" ht="21" customHeight="1">
      <c r="B25" s="28"/>
      <c r="C25" s="43">
        <v>18000001</v>
      </c>
      <c r="D25" s="43">
        <v>21000000</v>
      </c>
      <c r="E25" s="43">
        <f>7600*0.9</f>
        <v>6840</v>
      </c>
      <c r="F25" s="43">
        <f t="shared" si="0"/>
        <v>6840</v>
      </c>
      <c r="G25" s="43">
        <f t="shared" si="1"/>
        <v>6890</v>
      </c>
      <c r="H25" s="43">
        <f t="shared" si="1"/>
        <v>6940</v>
      </c>
      <c r="I25" s="43">
        <f t="shared" si="1"/>
        <v>6990</v>
      </c>
      <c r="J25" s="43">
        <f t="shared" si="1"/>
        <v>7040</v>
      </c>
      <c r="K25" s="43">
        <f t="shared" si="2"/>
        <v>7140</v>
      </c>
      <c r="L25" s="43">
        <f t="shared" si="2"/>
        <v>7240</v>
      </c>
      <c r="M25" s="43">
        <f t="shared" si="2"/>
        <v>7340</v>
      </c>
      <c r="N25" s="43">
        <f t="shared" si="3"/>
        <v>7490</v>
      </c>
      <c r="O25" s="43">
        <f t="shared" si="3"/>
        <v>7640</v>
      </c>
      <c r="P25" s="33"/>
      <c r="R25" s="51"/>
    </row>
    <row r="26" spans="2:18" ht="21" customHeight="1">
      <c r="B26" s="28"/>
      <c r="C26" s="43">
        <v>21000001</v>
      </c>
      <c r="D26" s="43">
        <v>30000000</v>
      </c>
      <c r="E26" s="43">
        <f>8400*0.9</f>
        <v>7560</v>
      </c>
      <c r="F26" s="43">
        <f t="shared" si="0"/>
        <v>7560</v>
      </c>
      <c r="G26" s="43">
        <f t="shared" si="1"/>
        <v>7610</v>
      </c>
      <c r="H26" s="43">
        <f t="shared" si="1"/>
        <v>7660</v>
      </c>
      <c r="I26" s="43">
        <f t="shared" si="1"/>
        <v>7710</v>
      </c>
      <c r="J26" s="43">
        <f t="shared" si="1"/>
        <v>7760</v>
      </c>
      <c r="K26" s="43">
        <f t="shared" si="2"/>
        <v>7860</v>
      </c>
      <c r="L26" s="43">
        <f t="shared" si="2"/>
        <v>7960</v>
      </c>
      <c r="M26" s="43">
        <f t="shared" si="2"/>
        <v>8060</v>
      </c>
      <c r="N26" s="43">
        <f t="shared" si="3"/>
        <v>8210</v>
      </c>
      <c r="O26" s="43">
        <f t="shared" si="3"/>
        <v>8360</v>
      </c>
      <c r="P26" s="33"/>
      <c r="R26" s="51"/>
    </row>
    <row r="27" spans="2:18" ht="21" customHeight="1">
      <c r="B27" s="28"/>
      <c r="C27" s="43">
        <v>31000001</v>
      </c>
      <c r="D27" s="43">
        <v>40000000</v>
      </c>
      <c r="E27" s="43">
        <f>9200*0.9</f>
        <v>8280</v>
      </c>
      <c r="F27" s="43">
        <f t="shared" si="0"/>
        <v>8280</v>
      </c>
      <c r="G27" s="43">
        <f t="shared" si="1"/>
        <v>8330</v>
      </c>
      <c r="H27" s="43">
        <f t="shared" si="1"/>
        <v>8380</v>
      </c>
      <c r="I27" s="43">
        <f t="shared" si="1"/>
        <v>8430</v>
      </c>
      <c r="J27" s="43">
        <f t="shared" si="1"/>
        <v>8480</v>
      </c>
      <c r="K27" s="43">
        <f t="shared" si="2"/>
        <v>8580</v>
      </c>
      <c r="L27" s="43">
        <f t="shared" si="2"/>
        <v>8680</v>
      </c>
      <c r="M27" s="43">
        <f t="shared" si="2"/>
        <v>8780</v>
      </c>
      <c r="N27" s="43">
        <f t="shared" si="3"/>
        <v>8930</v>
      </c>
      <c r="O27" s="43">
        <f t="shared" si="3"/>
        <v>9080</v>
      </c>
      <c r="P27" s="33"/>
      <c r="R27" s="51"/>
    </row>
    <row r="28" spans="2:18" ht="21" customHeight="1">
      <c r="B28" s="28"/>
      <c r="C28" s="43">
        <v>41000001</v>
      </c>
      <c r="D28" s="43">
        <v>50000000</v>
      </c>
      <c r="E28" s="43">
        <f>10000*0.9</f>
        <v>9000</v>
      </c>
      <c r="F28" s="43">
        <f t="shared" si="0"/>
        <v>9000</v>
      </c>
      <c r="G28" s="43">
        <f t="shared" si="1"/>
        <v>9050</v>
      </c>
      <c r="H28" s="43">
        <f t="shared" si="1"/>
        <v>9100</v>
      </c>
      <c r="I28" s="43">
        <f t="shared" si="1"/>
        <v>9150</v>
      </c>
      <c r="J28" s="43">
        <f t="shared" si="1"/>
        <v>9200</v>
      </c>
      <c r="K28" s="43">
        <f t="shared" si="2"/>
        <v>9300</v>
      </c>
      <c r="L28" s="43">
        <f t="shared" si="2"/>
        <v>9400</v>
      </c>
      <c r="M28" s="43">
        <f t="shared" si="2"/>
        <v>9500</v>
      </c>
      <c r="N28" s="43">
        <f t="shared" si="3"/>
        <v>9650</v>
      </c>
      <c r="O28" s="43">
        <f t="shared" si="3"/>
        <v>9800</v>
      </c>
      <c r="P28" s="33"/>
      <c r="R28" s="51"/>
    </row>
    <row r="29" spans="2:18" ht="21" customHeight="1">
      <c r="B29" s="28"/>
      <c r="C29" s="43">
        <v>51000001</v>
      </c>
      <c r="D29" s="43">
        <v>60000000</v>
      </c>
      <c r="E29" s="43">
        <f>10800*0.9</f>
        <v>9720</v>
      </c>
      <c r="F29" s="43">
        <f t="shared" si="0"/>
        <v>9720</v>
      </c>
      <c r="G29" s="43">
        <f t="shared" si="1"/>
        <v>9770</v>
      </c>
      <c r="H29" s="43">
        <f t="shared" si="1"/>
        <v>9820</v>
      </c>
      <c r="I29" s="43">
        <f t="shared" si="1"/>
        <v>9870</v>
      </c>
      <c r="J29" s="43">
        <f t="shared" si="1"/>
        <v>9920</v>
      </c>
      <c r="K29" s="43">
        <f t="shared" si="2"/>
        <v>10020</v>
      </c>
      <c r="L29" s="43">
        <f t="shared" si="2"/>
        <v>10120</v>
      </c>
      <c r="M29" s="43">
        <f t="shared" si="2"/>
        <v>10220</v>
      </c>
      <c r="N29" s="43">
        <f t="shared" si="3"/>
        <v>10370</v>
      </c>
      <c r="O29" s="43">
        <f t="shared" si="3"/>
        <v>10520</v>
      </c>
      <c r="P29" s="33"/>
      <c r="R29" s="51"/>
    </row>
    <row r="30" spans="2:18" ht="21" customHeight="1">
      <c r="B30" s="28"/>
      <c r="C30" s="43">
        <v>61000001</v>
      </c>
      <c r="D30" s="43">
        <v>70000000</v>
      </c>
      <c r="E30" s="43">
        <f>11600*0.9</f>
        <v>10440</v>
      </c>
      <c r="F30" s="43">
        <f t="shared" si="0"/>
        <v>10440</v>
      </c>
      <c r="G30" s="43">
        <f t="shared" si="1"/>
        <v>10490</v>
      </c>
      <c r="H30" s="43">
        <f t="shared" si="1"/>
        <v>10540</v>
      </c>
      <c r="I30" s="43">
        <f t="shared" si="1"/>
        <v>10590</v>
      </c>
      <c r="J30" s="43">
        <f t="shared" si="1"/>
        <v>10640</v>
      </c>
      <c r="K30" s="43">
        <f t="shared" si="2"/>
        <v>10740</v>
      </c>
      <c r="L30" s="43">
        <f t="shared" si="2"/>
        <v>10840</v>
      </c>
      <c r="M30" s="43">
        <f t="shared" si="2"/>
        <v>10940</v>
      </c>
      <c r="N30" s="43">
        <f t="shared" si="3"/>
        <v>11090</v>
      </c>
      <c r="O30" s="43">
        <f t="shared" si="3"/>
        <v>11240</v>
      </c>
      <c r="P30" s="33"/>
      <c r="R30" s="51"/>
    </row>
    <row r="31" spans="2:18" ht="21" customHeight="1">
      <c r="B31" s="28"/>
      <c r="C31" s="43">
        <v>71000001</v>
      </c>
      <c r="D31" s="43">
        <v>80000000</v>
      </c>
      <c r="E31" s="43">
        <f>12400*0.9</f>
        <v>11160</v>
      </c>
      <c r="F31" s="43">
        <f t="shared" si="0"/>
        <v>11160</v>
      </c>
      <c r="G31" s="43">
        <f t="shared" si="1"/>
        <v>11210</v>
      </c>
      <c r="H31" s="43">
        <f t="shared" si="1"/>
        <v>11260</v>
      </c>
      <c r="I31" s="43">
        <f t="shared" si="1"/>
        <v>11310</v>
      </c>
      <c r="J31" s="43">
        <f t="shared" si="1"/>
        <v>11360</v>
      </c>
      <c r="K31" s="43">
        <f t="shared" si="2"/>
        <v>11460</v>
      </c>
      <c r="L31" s="43">
        <f t="shared" si="2"/>
        <v>11560</v>
      </c>
      <c r="M31" s="43">
        <f t="shared" si="2"/>
        <v>11660</v>
      </c>
      <c r="N31" s="43">
        <f t="shared" si="3"/>
        <v>11810</v>
      </c>
      <c r="O31" s="43">
        <f t="shared" si="3"/>
        <v>11960</v>
      </c>
      <c r="P31" s="33"/>
      <c r="R31" s="51"/>
    </row>
    <row r="32" spans="2:18" ht="21" customHeight="1">
      <c r="B32" s="28"/>
      <c r="C32" s="43">
        <v>81000001</v>
      </c>
      <c r="D32" s="43">
        <v>90000000</v>
      </c>
      <c r="E32" s="43">
        <f>13200*0.9</f>
        <v>11880</v>
      </c>
      <c r="F32" s="43">
        <f t="shared" si="0"/>
        <v>11880</v>
      </c>
      <c r="G32" s="43">
        <f t="shared" si="1"/>
        <v>11930</v>
      </c>
      <c r="H32" s="43">
        <f t="shared" si="1"/>
        <v>11980</v>
      </c>
      <c r="I32" s="43">
        <f t="shared" si="1"/>
        <v>12030</v>
      </c>
      <c r="J32" s="43">
        <f t="shared" si="1"/>
        <v>12080</v>
      </c>
      <c r="K32" s="43">
        <f t="shared" si="2"/>
        <v>12180</v>
      </c>
      <c r="L32" s="43">
        <f t="shared" si="2"/>
        <v>12280</v>
      </c>
      <c r="M32" s="43">
        <f t="shared" si="2"/>
        <v>12380</v>
      </c>
      <c r="N32" s="43">
        <f t="shared" si="3"/>
        <v>12530</v>
      </c>
      <c r="O32" s="43">
        <f t="shared" si="3"/>
        <v>12680</v>
      </c>
      <c r="P32" s="33"/>
      <c r="R32" s="51"/>
    </row>
    <row r="33" spans="2:18" ht="21" customHeight="1">
      <c r="B33" s="28"/>
      <c r="C33" s="43">
        <v>91000001</v>
      </c>
      <c r="D33" s="43">
        <v>100000000</v>
      </c>
      <c r="E33" s="43">
        <f>14000*0.9</f>
        <v>12600</v>
      </c>
      <c r="F33" s="43">
        <f t="shared" si="0"/>
        <v>12600</v>
      </c>
      <c r="G33" s="43">
        <f t="shared" si="1"/>
        <v>12650</v>
      </c>
      <c r="H33" s="43">
        <f t="shared" si="1"/>
        <v>12700</v>
      </c>
      <c r="I33" s="43">
        <f t="shared" si="1"/>
        <v>12750</v>
      </c>
      <c r="J33" s="43">
        <f t="shared" si="1"/>
        <v>12800</v>
      </c>
      <c r="K33" s="43">
        <f t="shared" si="2"/>
        <v>12900</v>
      </c>
      <c r="L33" s="43">
        <f t="shared" si="2"/>
        <v>13000</v>
      </c>
      <c r="M33" s="43">
        <f t="shared" si="2"/>
        <v>13100</v>
      </c>
      <c r="N33" s="43">
        <f t="shared" si="3"/>
        <v>13250</v>
      </c>
      <c r="O33" s="43">
        <f t="shared" si="3"/>
        <v>13400</v>
      </c>
      <c r="P33" s="33"/>
      <c r="R33" s="51"/>
    </row>
    <row r="34" spans="2:18" ht="12.75" customHeight="1" thickBot="1"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6"/>
      <c r="R34" s="51"/>
    </row>
    <row r="35" spans="2:18" ht="15.75" customHeight="1" thickTop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R35" s="51"/>
    </row>
    <row r="36" spans="2:18" ht="12.75">
      <c r="F36" s="29"/>
      <c r="G36" s="29"/>
      <c r="H36" s="29"/>
      <c r="I36" s="29"/>
      <c r="J36" s="29"/>
      <c r="K36" s="29"/>
      <c r="L36" s="29"/>
      <c r="M36" s="29"/>
      <c r="N36" s="29"/>
      <c r="O36" s="29"/>
      <c r="R36" s="51"/>
    </row>
    <row r="37" spans="2:18" ht="15">
      <c r="F37" s="65"/>
      <c r="G37" s="65"/>
      <c r="H37" s="65"/>
      <c r="I37" s="65"/>
      <c r="J37" s="65"/>
      <c r="K37" s="65"/>
      <c r="L37" s="65"/>
      <c r="M37" s="65"/>
      <c r="N37" s="65"/>
      <c r="O37" s="65"/>
      <c r="R37" s="51"/>
    </row>
    <row r="38" spans="2:18" s="38" customFormat="1" ht="29.25" customHeight="1">
      <c r="B38" s="37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7"/>
      <c r="Q38" s="76"/>
    </row>
    <row r="39" spans="2:18" ht="18" customHeight="1">
      <c r="P39" s="51"/>
      <c r="Q39" s="51"/>
      <c r="R39" s="51"/>
    </row>
    <row r="40" spans="2:18" ht="34.5" customHeight="1"/>
    <row r="41" spans="2:18" ht="22.5" customHeight="1"/>
    <row r="42" spans="2:18" ht="22.5" customHeight="1"/>
    <row r="43" spans="2:18" ht="22.5" customHeight="1"/>
    <row r="44" spans="2:18" ht="22.5" customHeight="1"/>
    <row r="45" spans="2:18" ht="22.5" customHeight="1"/>
    <row r="46" spans="2:18" ht="22.5" customHeight="1"/>
    <row r="47" spans="2:18" ht="22.5" customHeight="1"/>
    <row r="48" spans="2:1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</sheetData>
  <mergeCells count="6">
    <mergeCell ref="L2:O2"/>
    <mergeCell ref="C2:K2"/>
    <mergeCell ref="G6:K6"/>
    <mergeCell ref="C13:D15"/>
    <mergeCell ref="E13:E15"/>
    <mergeCell ref="F13:O13"/>
  </mergeCells>
  <pageMargins left="0.25" right="0.25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59"/>
  <sheetViews>
    <sheetView tabSelected="1" topLeftCell="A4" workbookViewId="0">
      <selection activeCell="E34" sqref="E34"/>
    </sheetView>
  </sheetViews>
  <sheetFormatPr baseColWidth="10" defaultColWidth="11.42578125" defaultRowHeight="29.25" customHeight="1"/>
  <cols>
    <col min="1" max="1" width="3.85546875" style="29" customWidth="1"/>
    <col min="2" max="2" width="5.7109375" style="51" customWidth="1"/>
    <col min="3" max="3" width="12" style="51" bestFit="1" customWidth="1"/>
    <col min="4" max="4" width="15.42578125" style="51" customWidth="1"/>
    <col min="5" max="5" width="9.85546875" style="51" customWidth="1"/>
    <col min="6" max="14" width="9" style="51" customWidth="1"/>
    <col min="15" max="15" width="9.140625" style="29" customWidth="1"/>
    <col min="16" max="16" width="1.42578125" style="29" customWidth="1"/>
    <col min="17" max="17" width="1.140625" style="51" customWidth="1"/>
    <col min="18" max="18" width="6" style="51" customWidth="1"/>
    <col min="19" max="16384" width="11.42578125" style="51"/>
  </cols>
  <sheetData>
    <row r="2" spans="1:17" ht="41.1" customHeight="1">
      <c r="B2" s="151" t="s">
        <v>55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29" t="s">
        <v>35</v>
      </c>
      <c r="N2" s="129"/>
      <c r="O2" s="129"/>
      <c r="P2" s="129"/>
      <c r="Q2" s="129"/>
    </row>
    <row r="3" spans="1:17" ht="41.1" customHeight="1">
      <c r="B3" s="152" t="s">
        <v>47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</row>
    <row r="4" spans="1:17" ht="21" customHeight="1" thickBot="1"/>
    <row r="5" spans="1:17" ht="10.5" customHeight="1" thickTop="1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7"/>
    </row>
    <row r="6" spans="1:17" ht="15.75">
      <c r="B6" s="28"/>
      <c r="C6" s="29"/>
      <c r="D6" s="29"/>
      <c r="E6" s="29"/>
      <c r="F6" s="30"/>
      <c r="G6" s="30"/>
      <c r="H6" s="30"/>
      <c r="I6" s="29"/>
      <c r="J6" s="30"/>
      <c r="K6" s="31"/>
      <c r="L6" s="29"/>
      <c r="M6" s="31"/>
      <c r="N6" s="61"/>
      <c r="O6" s="32"/>
      <c r="Q6" s="33"/>
    </row>
    <row r="7" spans="1:17" ht="25.5">
      <c r="B7" s="28"/>
      <c r="C7" s="29"/>
      <c r="D7" s="29"/>
      <c r="E7" s="29"/>
      <c r="F7" s="150"/>
      <c r="G7" s="150"/>
      <c r="H7" s="150"/>
      <c r="I7" s="150"/>
      <c r="J7" s="81"/>
      <c r="K7" s="81"/>
      <c r="L7" s="31"/>
      <c r="M7" s="80" t="s">
        <v>34</v>
      </c>
      <c r="N7" s="63"/>
      <c r="O7" s="32"/>
      <c r="Q7" s="33"/>
    </row>
    <row r="8" spans="1:17" ht="25.5">
      <c r="B8" s="28"/>
      <c r="C8" s="29"/>
      <c r="D8" s="29"/>
      <c r="E8" s="29"/>
      <c r="F8" s="30"/>
      <c r="G8" s="29"/>
      <c r="H8" s="29"/>
      <c r="I8" s="29"/>
      <c r="J8" s="29"/>
      <c r="K8" s="29"/>
      <c r="L8" s="31"/>
      <c r="M8" s="80" t="s">
        <v>33</v>
      </c>
      <c r="N8" s="31"/>
      <c r="O8" s="32"/>
      <c r="Q8" s="33"/>
    </row>
    <row r="9" spans="1:17" ht="18.75" customHeight="1">
      <c r="B9" s="28"/>
      <c r="C9" s="29"/>
      <c r="D9" s="29"/>
      <c r="E9" s="29"/>
      <c r="F9" s="29"/>
      <c r="G9" s="29"/>
      <c r="H9" s="64"/>
      <c r="I9" s="29"/>
      <c r="J9" s="29"/>
      <c r="K9" s="29"/>
      <c r="L9" s="29"/>
      <c r="M9" s="29"/>
      <c r="N9" s="29"/>
      <c r="Q9" s="33"/>
    </row>
    <row r="10" spans="1:17" s="38" customFormat="1" ht="12" customHeight="1" thickBot="1">
      <c r="A10" s="37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7"/>
      <c r="Q10" s="36"/>
    </row>
    <row r="11" spans="1:17" s="38" customFormat="1" ht="10.5" customHeight="1" thickTop="1" thickBot="1">
      <c r="A11" s="37"/>
      <c r="B11" s="37"/>
      <c r="C11" s="37"/>
      <c r="D11" s="65"/>
      <c r="E11" s="65"/>
      <c r="F11" s="65"/>
      <c r="G11" s="37"/>
      <c r="P11" s="37"/>
    </row>
    <row r="12" spans="1:17" ht="9.75" customHeight="1" thickTop="1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7"/>
    </row>
    <row r="13" spans="1:17" ht="23.25" customHeight="1">
      <c r="B13" s="28"/>
      <c r="C13" s="144" t="s">
        <v>0</v>
      </c>
      <c r="D13" s="145"/>
      <c r="E13" s="138" t="s">
        <v>1</v>
      </c>
      <c r="F13" s="141" t="s">
        <v>39</v>
      </c>
      <c r="G13" s="142"/>
      <c r="H13" s="142"/>
      <c r="I13" s="142"/>
      <c r="J13" s="142"/>
      <c r="K13" s="142"/>
      <c r="L13" s="142"/>
      <c r="M13" s="142"/>
      <c r="N13" s="142"/>
      <c r="O13" s="143"/>
      <c r="Q13" s="33"/>
    </row>
    <row r="14" spans="1:17" ht="25.5" customHeight="1">
      <c r="B14" s="28"/>
      <c r="C14" s="146"/>
      <c r="D14" s="147"/>
      <c r="E14" s="139"/>
      <c r="F14" s="66" t="s">
        <v>18</v>
      </c>
      <c r="G14" s="66" t="s">
        <v>2</v>
      </c>
      <c r="H14" s="66" t="s">
        <v>3</v>
      </c>
      <c r="I14" s="66" t="s">
        <v>19</v>
      </c>
      <c r="J14" s="66" t="s">
        <v>4</v>
      </c>
      <c r="K14" s="66" t="s">
        <v>5</v>
      </c>
      <c r="L14" s="66" t="s">
        <v>20</v>
      </c>
      <c r="M14" s="66" t="s">
        <v>6</v>
      </c>
      <c r="N14" s="66" t="s">
        <v>7</v>
      </c>
      <c r="O14" s="41" t="s">
        <v>7</v>
      </c>
      <c r="Q14" s="33"/>
    </row>
    <row r="15" spans="1:17" ht="14.25" customHeight="1">
      <c r="B15" s="28"/>
      <c r="C15" s="148"/>
      <c r="D15" s="149"/>
      <c r="E15" s="140"/>
      <c r="F15" s="42" t="s">
        <v>8</v>
      </c>
      <c r="G15" s="42" t="s">
        <v>9</v>
      </c>
      <c r="H15" s="42" t="s">
        <v>10</v>
      </c>
      <c r="I15" s="42" t="s">
        <v>11</v>
      </c>
      <c r="J15" s="42" t="s">
        <v>12</v>
      </c>
      <c r="K15" s="42" t="s">
        <v>13</v>
      </c>
      <c r="L15" s="42" t="s">
        <v>14</v>
      </c>
      <c r="M15" s="42" t="s">
        <v>15</v>
      </c>
      <c r="N15" s="42" t="s">
        <v>16</v>
      </c>
      <c r="O15" s="67" t="s">
        <v>17</v>
      </c>
      <c r="Q15" s="33"/>
    </row>
    <row r="16" spans="1:17" ht="21" customHeight="1">
      <c r="B16" s="28"/>
      <c r="C16" s="43">
        <v>0</v>
      </c>
      <c r="D16" s="43">
        <v>500000</v>
      </c>
      <c r="E16" s="68">
        <f>1500*0.9</f>
        <v>1350</v>
      </c>
      <c r="F16" s="43">
        <f t="shared" ref="F16:F33" si="0">E16</f>
        <v>1350</v>
      </c>
      <c r="G16" s="43">
        <f>+F16+50</f>
        <v>1400</v>
      </c>
      <c r="H16" s="43">
        <f>+G16+50</f>
        <v>1450</v>
      </c>
      <c r="I16" s="43">
        <f>+H16+50</f>
        <v>1500</v>
      </c>
      <c r="J16" s="43">
        <f>+I16+50</f>
        <v>1550</v>
      </c>
      <c r="K16" s="43">
        <f>+J16+100</f>
        <v>1650</v>
      </c>
      <c r="L16" s="43">
        <f>+K16+100</f>
        <v>1750</v>
      </c>
      <c r="M16" s="43">
        <f>+L16+100</f>
        <v>1850</v>
      </c>
      <c r="N16" s="43">
        <f>+M16+150</f>
        <v>2000</v>
      </c>
      <c r="O16" s="69">
        <f>+N16+150</f>
        <v>2150</v>
      </c>
      <c r="Q16" s="33"/>
    </row>
    <row r="17" spans="2:17" ht="21" customHeight="1">
      <c r="B17" s="28"/>
      <c r="C17" s="43">
        <v>500001</v>
      </c>
      <c r="D17" s="43">
        <v>1000001</v>
      </c>
      <c r="E17" s="43">
        <f>2500*0.9</f>
        <v>2250</v>
      </c>
      <c r="F17" s="43">
        <f t="shared" si="0"/>
        <v>2250</v>
      </c>
      <c r="G17" s="43">
        <f t="shared" ref="G17:J32" si="1">+F17+50</f>
        <v>2300</v>
      </c>
      <c r="H17" s="43">
        <f t="shared" si="1"/>
        <v>2350</v>
      </c>
      <c r="I17" s="43">
        <f t="shared" si="1"/>
        <v>2400</v>
      </c>
      <c r="J17" s="43">
        <f t="shared" si="1"/>
        <v>2450</v>
      </c>
      <c r="K17" s="43">
        <f t="shared" ref="K17:M32" si="2">+J17+100</f>
        <v>2550</v>
      </c>
      <c r="L17" s="43">
        <f t="shared" si="2"/>
        <v>2650</v>
      </c>
      <c r="M17" s="43">
        <f t="shared" si="2"/>
        <v>2750</v>
      </c>
      <c r="N17" s="43">
        <f t="shared" ref="N17:O33" si="3">+M17+150</f>
        <v>2900</v>
      </c>
      <c r="O17" s="69">
        <f t="shared" si="3"/>
        <v>3050</v>
      </c>
      <c r="Q17" s="33"/>
    </row>
    <row r="18" spans="2:17" ht="21" customHeight="1">
      <c r="B18" s="28"/>
      <c r="C18" s="43">
        <v>1000001</v>
      </c>
      <c r="D18" s="43">
        <v>2000000</v>
      </c>
      <c r="E18" s="43">
        <f>3000*0.9</f>
        <v>2700</v>
      </c>
      <c r="F18" s="43">
        <f t="shared" si="0"/>
        <v>2700</v>
      </c>
      <c r="G18" s="43">
        <f t="shared" si="1"/>
        <v>2750</v>
      </c>
      <c r="H18" s="43">
        <f t="shared" si="1"/>
        <v>2800</v>
      </c>
      <c r="I18" s="43">
        <f t="shared" si="1"/>
        <v>2850</v>
      </c>
      <c r="J18" s="43">
        <f t="shared" si="1"/>
        <v>2900</v>
      </c>
      <c r="K18" s="43">
        <f t="shared" si="2"/>
        <v>3000</v>
      </c>
      <c r="L18" s="43">
        <f t="shared" si="2"/>
        <v>3100</v>
      </c>
      <c r="M18" s="43">
        <f t="shared" si="2"/>
        <v>3200</v>
      </c>
      <c r="N18" s="43">
        <f t="shared" si="3"/>
        <v>3350</v>
      </c>
      <c r="O18" s="69">
        <f t="shared" si="3"/>
        <v>3500</v>
      </c>
      <c r="Q18" s="33"/>
    </row>
    <row r="19" spans="2:17" ht="21" customHeight="1">
      <c r="B19" s="28"/>
      <c r="C19" s="43">
        <v>2000001</v>
      </c>
      <c r="D19" s="43">
        <v>3000000</v>
      </c>
      <c r="E19" s="43">
        <f>3750*0.9</f>
        <v>3375</v>
      </c>
      <c r="F19" s="43">
        <f t="shared" si="0"/>
        <v>3375</v>
      </c>
      <c r="G19" s="43">
        <f t="shared" si="1"/>
        <v>3425</v>
      </c>
      <c r="H19" s="43">
        <f t="shared" si="1"/>
        <v>3475</v>
      </c>
      <c r="I19" s="43">
        <f t="shared" si="1"/>
        <v>3525</v>
      </c>
      <c r="J19" s="43">
        <f t="shared" si="1"/>
        <v>3575</v>
      </c>
      <c r="K19" s="43">
        <f t="shared" si="2"/>
        <v>3675</v>
      </c>
      <c r="L19" s="43">
        <f t="shared" si="2"/>
        <v>3775</v>
      </c>
      <c r="M19" s="43">
        <f t="shared" si="2"/>
        <v>3875</v>
      </c>
      <c r="N19" s="43">
        <f t="shared" si="3"/>
        <v>4025</v>
      </c>
      <c r="O19" s="69">
        <f t="shared" si="3"/>
        <v>4175</v>
      </c>
      <c r="Q19" s="33"/>
    </row>
    <row r="20" spans="2:17" ht="21" customHeight="1">
      <c r="B20" s="28"/>
      <c r="C20" s="43">
        <v>3000001</v>
      </c>
      <c r="D20" s="43">
        <v>6000000</v>
      </c>
      <c r="E20" s="43">
        <f>5000*0.9</f>
        <v>4500</v>
      </c>
      <c r="F20" s="43">
        <f t="shared" si="0"/>
        <v>4500</v>
      </c>
      <c r="G20" s="43">
        <f t="shared" si="1"/>
        <v>4550</v>
      </c>
      <c r="H20" s="43">
        <f t="shared" si="1"/>
        <v>4600</v>
      </c>
      <c r="I20" s="43">
        <f t="shared" si="1"/>
        <v>4650</v>
      </c>
      <c r="J20" s="43">
        <f t="shared" si="1"/>
        <v>4700</v>
      </c>
      <c r="K20" s="43">
        <f t="shared" si="2"/>
        <v>4800</v>
      </c>
      <c r="L20" s="43">
        <f t="shared" si="2"/>
        <v>4900</v>
      </c>
      <c r="M20" s="43">
        <f t="shared" si="2"/>
        <v>5000</v>
      </c>
      <c r="N20" s="43">
        <f t="shared" si="3"/>
        <v>5150</v>
      </c>
      <c r="O20" s="69">
        <f t="shared" si="3"/>
        <v>5300</v>
      </c>
      <c r="Q20" s="33"/>
    </row>
    <row r="21" spans="2:17" ht="21" customHeight="1">
      <c r="B21" s="28"/>
      <c r="C21" s="43">
        <v>6000001</v>
      </c>
      <c r="D21" s="43">
        <v>9000000</v>
      </c>
      <c r="E21" s="43">
        <f>6000*0.9</f>
        <v>5400</v>
      </c>
      <c r="F21" s="43">
        <f t="shared" si="0"/>
        <v>5400</v>
      </c>
      <c r="G21" s="43">
        <f t="shared" si="1"/>
        <v>5450</v>
      </c>
      <c r="H21" s="43">
        <f t="shared" si="1"/>
        <v>5500</v>
      </c>
      <c r="I21" s="43">
        <f t="shared" si="1"/>
        <v>5550</v>
      </c>
      <c r="J21" s="43">
        <f t="shared" si="1"/>
        <v>5600</v>
      </c>
      <c r="K21" s="43">
        <f t="shared" si="2"/>
        <v>5700</v>
      </c>
      <c r="L21" s="43">
        <f t="shared" si="2"/>
        <v>5800</v>
      </c>
      <c r="M21" s="43">
        <f t="shared" si="2"/>
        <v>5900</v>
      </c>
      <c r="N21" s="43">
        <f t="shared" si="3"/>
        <v>6050</v>
      </c>
      <c r="O21" s="69">
        <f t="shared" si="3"/>
        <v>6200</v>
      </c>
      <c r="Q21" s="33"/>
    </row>
    <row r="22" spans="2:17" ht="21" customHeight="1">
      <c r="B22" s="28"/>
      <c r="C22" s="43">
        <v>9000001</v>
      </c>
      <c r="D22" s="43">
        <v>12000000</v>
      </c>
      <c r="E22" s="43">
        <f>6500*0.9</f>
        <v>5850</v>
      </c>
      <c r="F22" s="43">
        <f t="shared" si="0"/>
        <v>5850</v>
      </c>
      <c r="G22" s="43">
        <f t="shared" si="1"/>
        <v>5900</v>
      </c>
      <c r="H22" s="43">
        <f t="shared" si="1"/>
        <v>5950</v>
      </c>
      <c r="I22" s="43">
        <f t="shared" si="1"/>
        <v>6000</v>
      </c>
      <c r="J22" s="43">
        <f t="shared" si="1"/>
        <v>6050</v>
      </c>
      <c r="K22" s="43">
        <f t="shared" si="2"/>
        <v>6150</v>
      </c>
      <c r="L22" s="43">
        <f t="shared" si="2"/>
        <v>6250</v>
      </c>
      <c r="M22" s="43">
        <f t="shared" si="2"/>
        <v>6350</v>
      </c>
      <c r="N22" s="43">
        <f t="shared" si="3"/>
        <v>6500</v>
      </c>
      <c r="O22" s="69">
        <f t="shared" si="3"/>
        <v>6650</v>
      </c>
      <c r="Q22" s="33"/>
    </row>
    <row r="23" spans="2:17" ht="21" customHeight="1">
      <c r="B23" s="28"/>
      <c r="C23" s="43">
        <v>12000001</v>
      </c>
      <c r="D23" s="43">
        <v>15000000</v>
      </c>
      <c r="E23" s="43">
        <f>7000*0.9</f>
        <v>6300</v>
      </c>
      <c r="F23" s="43">
        <f t="shared" si="0"/>
        <v>6300</v>
      </c>
      <c r="G23" s="43">
        <f t="shared" si="1"/>
        <v>6350</v>
      </c>
      <c r="H23" s="43">
        <f t="shared" si="1"/>
        <v>6400</v>
      </c>
      <c r="I23" s="43">
        <f t="shared" si="1"/>
        <v>6450</v>
      </c>
      <c r="J23" s="43">
        <f t="shared" si="1"/>
        <v>6500</v>
      </c>
      <c r="K23" s="43">
        <f t="shared" si="2"/>
        <v>6600</v>
      </c>
      <c r="L23" s="43">
        <f t="shared" si="2"/>
        <v>6700</v>
      </c>
      <c r="M23" s="43">
        <f t="shared" si="2"/>
        <v>6800</v>
      </c>
      <c r="N23" s="43">
        <f t="shared" si="3"/>
        <v>6950</v>
      </c>
      <c r="O23" s="69">
        <f t="shared" si="3"/>
        <v>7100</v>
      </c>
      <c r="Q23" s="33"/>
    </row>
    <row r="24" spans="2:17" ht="21" customHeight="1">
      <c r="B24" s="28"/>
      <c r="C24" s="43">
        <v>15000001</v>
      </c>
      <c r="D24" s="43">
        <v>18000000</v>
      </c>
      <c r="E24" s="43">
        <f>7500*0.9</f>
        <v>6750</v>
      </c>
      <c r="F24" s="43">
        <f t="shared" si="0"/>
        <v>6750</v>
      </c>
      <c r="G24" s="43">
        <f t="shared" si="1"/>
        <v>6800</v>
      </c>
      <c r="H24" s="43">
        <f t="shared" si="1"/>
        <v>6850</v>
      </c>
      <c r="I24" s="43">
        <f t="shared" si="1"/>
        <v>6900</v>
      </c>
      <c r="J24" s="43">
        <f t="shared" si="1"/>
        <v>6950</v>
      </c>
      <c r="K24" s="43">
        <f t="shared" si="2"/>
        <v>7050</v>
      </c>
      <c r="L24" s="43">
        <f t="shared" si="2"/>
        <v>7150</v>
      </c>
      <c r="M24" s="43">
        <f t="shared" si="2"/>
        <v>7250</v>
      </c>
      <c r="N24" s="43">
        <f t="shared" si="3"/>
        <v>7400</v>
      </c>
      <c r="O24" s="69">
        <f t="shared" si="3"/>
        <v>7550</v>
      </c>
      <c r="Q24" s="33"/>
    </row>
    <row r="25" spans="2:17" ht="21" customHeight="1">
      <c r="B25" s="28"/>
      <c r="C25" s="43">
        <v>18000001</v>
      </c>
      <c r="D25" s="43">
        <v>21000000</v>
      </c>
      <c r="E25" s="43">
        <f>8000*0.9</f>
        <v>7200</v>
      </c>
      <c r="F25" s="43">
        <f t="shared" si="0"/>
        <v>7200</v>
      </c>
      <c r="G25" s="43">
        <f t="shared" si="1"/>
        <v>7250</v>
      </c>
      <c r="H25" s="43">
        <f t="shared" si="1"/>
        <v>7300</v>
      </c>
      <c r="I25" s="43">
        <f t="shared" si="1"/>
        <v>7350</v>
      </c>
      <c r="J25" s="43">
        <f t="shared" si="1"/>
        <v>7400</v>
      </c>
      <c r="K25" s="43">
        <f t="shared" si="2"/>
        <v>7500</v>
      </c>
      <c r="L25" s="43">
        <f t="shared" si="2"/>
        <v>7600</v>
      </c>
      <c r="M25" s="43">
        <f t="shared" si="2"/>
        <v>7700</v>
      </c>
      <c r="N25" s="43">
        <f t="shared" si="3"/>
        <v>7850</v>
      </c>
      <c r="O25" s="69">
        <f t="shared" si="3"/>
        <v>8000</v>
      </c>
      <c r="Q25" s="33"/>
    </row>
    <row r="26" spans="2:17" ht="21" customHeight="1">
      <c r="B26" s="28"/>
      <c r="C26" s="43">
        <v>21000001</v>
      </c>
      <c r="D26" s="43">
        <v>30000000</v>
      </c>
      <c r="E26" s="43">
        <f>8500*0.9</f>
        <v>7650</v>
      </c>
      <c r="F26" s="43">
        <f t="shared" si="0"/>
        <v>7650</v>
      </c>
      <c r="G26" s="43">
        <f t="shared" si="1"/>
        <v>7700</v>
      </c>
      <c r="H26" s="43">
        <f t="shared" si="1"/>
        <v>7750</v>
      </c>
      <c r="I26" s="43">
        <f t="shared" si="1"/>
        <v>7800</v>
      </c>
      <c r="J26" s="43">
        <f t="shared" si="1"/>
        <v>7850</v>
      </c>
      <c r="K26" s="43">
        <f t="shared" si="2"/>
        <v>7950</v>
      </c>
      <c r="L26" s="43">
        <f t="shared" si="2"/>
        <v>8050</v>
      </c>
      <c r="M26" s="43">
        <f t="shared" si="2"/>
        <v>8150</v>
      </c>
      <c r="N26" s="43">
        <f t="shared" si="3"/>
        <v>8300</v>
      </c>
      <c r="O26" s="69">
        <f t="shared" si="3"/>
        <v>8450</v>
      </c>
      <c r="Q26" s="33"/>
    </row>
    <row r="27" spans="2:17" ht="21" customHeight="1">
      <c r="B27" s="28"/>
      <c r="C27" s="43">
        <v>31000001</v>
      </c>
      <c r="D27" s="43">
        <v>40000000</v>
      </c>
      <c r="E27" s="43">
        <f>9000*0.9</f>
        <v>8100</v>
      </c>
      <c r="F27" s="43">
        <f t="shared" si="0"/>
        <v>8100</v>
      </c>
      <c r="G27" s="43">
        <f t="shared" si="1"/>
        <v>8150</v>
      </c>
      <c r="H27" s="43">
        <f t="shared" si="1"/>
        <v>8200</v>
      </c>
      <c r="I27" s="43">
        <f t="shared" si="1"/>
        <v>8250</v>
      </c>
      <c r="J27" s="43">
        <f t="shared" si="1"/>
        <v>8300</v>
      </c>
      <c r="K27" s="43">
        <f t="shared" si="2"/>
        <v>8400</v>
      </c>
      <c r="L27" s="43">
        <f t="shared" si="2"/>
        <v>8500</v>
      </c>
      <c r="M27" s="43">
        <f t="shared" si="2"/>
        <v>8600</v>
      </c>
      <c r="N27" s="43">
        <f t="shared" si="3"/>
        <v>8750</v>
      </c>
      <c r="O27" s="69">
        <f t="shared" si="3"/>
        <v>8900</v>
      </c>
      <c r="Q27" s="33"/>
    </row>
    <row r="28" spans="2:17" ht="21" customHeight="1">
      <c r="B28" s="28"/>
      <c r="C28" s="43">
        <v>41000001</v>
      </c>
      <c r="D28" s="43">
        <v>50000000</v>
      </c>
      <c r="E28" s="43">
        <f>9500*0.9</f>
        <v>8550</v>
      </c>
      <c r="F28" s="43">
        <f t="shared" si="0"/>
        <v>8550</v>
      </c>
      <c r="G28" s="43">
        <f t="shared" si="1"/>
        <v>8600</v>
      </c>
      <c r="H28" s="43">
        <f t="shared" si="1"/>
        <v>8650</v>
      </c>
      <c r="I28" s="43">
        <f t="shared" si="1"/>
        <v>8700</v>
      </c>
      <c r="J28" s="43">
        <f t="shared" si="1"/>
        <v>8750</v>
      </c>
      <c r="K28" s="43">
        <f t="shared" si="2"/>
        <v>8850</v>
      </c>
      <c r="L28" s="43">
        <f t="shared" si="2"/>
        <v>8950</v>
      </c>
      <c r="M28" s="43">
        <f t="shared" si="2"/>
        <v>9050</v>
      </c>
      <c r="N28" s="43">
        <f t="shared" si="3"/>
        <v>9200</v>
      </c>
      <c r="O28" s="69">
        <f t="shared" si="3"/>
        <v>9350</v>
      </c>
      <c r="Q28" s="33"/>
    </row>
    <row r="29" spans="2:17" ht="21" customHeight="1">
      <c r="B29" s="28"/>
      <c r="C29" s="43">
        <v>51000001</v>
      </c>
      <c r="D29" s="43">
        <v>60000000</v>
      </c>
      <c r="E29" s="43">
        <f>10000*0.9</f>
        <v>9000</v>
      </c>
      <c r="F29" s="43">
        <f t="shared" si="0"/>
        <v>9000</v>
      </c>
      <c r="G29" s="43">
        <f t="shared" si="1"/>
        <v>9050</v>
      </c>
      <c r="H29" s="43">
        <f t="shared" si="1"/>
        <v>9100</v>
      </c>
      <c r="I29" s="43">
        <f t="shared" si="1"/>
        <v>9150</v>
      </c>
      <c r="J29" s="43">
        <f t="shared" si="1"/>
        <v>9200</v>
      </c>
      <c r="K29" s="43">
        <f t="shared" si="2"/>
        <v>9300</v>
      </c>
      <c r="L29" s="43">
        <f t="shared" si="2"/>
        <v>9400</v>
      </c>
      <c r="M29" s="43">
        <f t="shared" si="2"/>
        <v>9500</v>
      </c>
      <c r="N29" s="43">
        <f t="shared" si="3"/>
        <v>9650</v>
      </c>
      <c r="O29" s="69">
        <f t="shared" si="3"/>
        <v>9800</v>
      </c>
      <c r="Q29" s="33"/>
    </row>
    <row r="30" spans="2:17" ht="21" customHeight="1">
      <c r="B30" s="28"/>
      <c r="C30" s="43">
        <v>61000001</v>
      </c>
      <c r="D30" s="43">
        <v>70000000</v>
      </c>
      <c r="E30" s="43">
        <f>10500*0.9</f>
        <v>9450</v>
      </c>
      <c r="F30" s="43">
        <f t="shared" si="0"/>
        <v>9450</v>
      </c>
      <c r="G30" s="43">
        <f t="shared" si="1"/>
        <v>9500</v>
      </c>
      <c r="H30" s="43">
        <f t="shared" si="1"/>
        <v>9550</v>
      </c>
      <c r="I30" s="43">
        <f t="shared" si="1"/>
        <v>9600</v>
      </c>
      <c r="J30" s="43">
        <f t="shared" si="1"/>
        <v>9650</v>
      </c>
      <c r="K30" s="43">
        <f t="shared" si="2"/>
        <v>9750</v>
      </c>
      <c r="L30" s="43">
        <f t="shared" si="2"/>
        <v>9850</v>
      </c>
      <c r="M30" s="43">
        <f t="shared" si="2"/>
        <v>9950</v>
      </c>
      <c r="N30" s="43">
        <f t="shared" si="3"/>
        <v>10100</v>
      </c>
      <c r="O30" s="69">
        <f t="shared" si="3"/>
        <v>10250</v>
      </c>
      <c r="Q30" s="33"/>
    </row>
    <row r="31" spans="2:17" ht="21" customHeight="1">
      <c r="B31" s="28"/>
      <c r="C31" s="43">
        <v>71000001</v>
      </c>
      <c r="D31" s="43">
        <v>80000000</v>
      </c>
      <c r="E31" s="43">
        <f>11000*0.9</f>
        <v>9900</v>
      </c>
      <c r="F31" s="43">
        <f t="shared" si="0"/>
        <v>9900</v>
      </c>
      <c r="G31" s="43">
        <f t="shared" si="1"/>
        <v>9950</v>
      </c>
      <c r="H31" s="43">
        <f t="shared" si="1"/>
        <v>10000</v>
      </c>
      <c r="I31" s="43">
        <f t="shared" si="1"/>
        <v>10050</v>
      </c>
      <c r="J31" s="43">
        <f t="shared" si="1"/>
        <v>10100</v>
      </c>
      <c r="K31" s="43">
        <f t="shared" si="2"/>
        <v>10200</v>
      </c>
      <c r="L31" s="43">
        <f t="shared" si="2"/>
        <v>10300</v>
      </c>
      <c r="M31" s="43">
        <f t="shared" si="2"/>
        <v>10400</v>
      </c>
      <c r="N31" s="43">
        <f t="shared" si="3"/>
        <v>10550</v>
      </c>
      <c r="O31" s="69">
        <f t="shared" si="3"/>
        <v>10700</v>
      </c>
      <c r="Q31" s="33"/>
    </row>
    <row r="32" spans="2:17" ht="21" customHeight="1">
      <c r="B32" s="28"/>
      <c r="C32" s="43">
        <v>81000001</v>
      </c>
      <c r="D32" s="43">
        <v>90000000</v>
      </c>
      <c r="E32" s="43">
        <f>11500*0.9</f>
        <v>10350</v>
      </c>
      <c r="F32" s="43">
        <f t="shared" si="0"/>
        <v>10350</v>
      </c>
      <c r="G32" s="43">
        <f t="shared" si="1"/>
        <v>10400</v>
      </c>
      <c r="H32" s="43">
        <f t="shared" si="1"/>
        <v>10450</v>
      </c>
      <c r="I32" s="43">
        <f t="shared" si="1"/>
        <v>10500</v>
      </c>
      <c r="J32" s="43">
        <f t="shared" si="1"/>
        <v>10550</v>
      </c>
      <c r="K32" s="43">
        <f t="shared" si="2"/>
        <v>10650</v>
      </c>
      <c r="L32" s="43">
        <f t="shared" si="2"/>
        <v>10750</v>
      </c>
      <c r="M32" s="43">
        <f t="shared" si="2"/>
        <v>10850</v>
      </c>
      <c r="N32" s="43">
        <f t="shared" si="3"/>
        <v>11000</v>
      </c>
      <c r="O32" s="69">
        <f t="shared" si="3"/>
        <v>11150</v>
      </c>
      <c r="Q32" s="33"/>
    </row>
    <row r="33" spans="1:17" ht="21" customHeight="1">
      <c r="B33" s="28"/>
      <c r="C33" s="43">
        <v>91000001</v>
      </c>
      <c r="D33" s="43">
        <v>100000000</v>
      </c>
      <c r="E33" s="43">
        <f>12000*0.9</f>
        <v>10800</v>
      </c>
      <c r="F33" s="43">
        <f t="shared" si="0"/>
        <v>10800</v>
      </c>
      <c r="G33" s="43">
        <f t="shared" ref="G33:J33" si="4">+F33+50</f>
        <v>10850</v>
      </c>
      <c r="H33" s="43">
        <f t="shared" si="4"/>
        <v>10900</v>
      </c>
      <c r="I33" s="43">
        <f t="shared" si="4"/>
        <v>10950</v>
      </c>
      <c r="J33" s="43">
        <f t="shared" si="4"/>
        <v>11000</v>
      </c>
      <c r="K33" s="43">
        <f t="shared" ref="K33:M33" si="5">+J33+100</f>
        <v>11100</v>
      </c>
      <c r="L33" s="43">
        <f t="shared" si="5"/>
        <v>11200</v>
      </c>
      <c r="M33" s="43">
        <f t="shared" si="5"/>
        <v>11300</v>
      </c>
      <c r="N33" s="43">
        <f t="shared" si="3"/>
        <v>11450</v>
      </c>
      <c r="O33" s="69">
        <f t="shared" si="3"/>
        <v>11600</v>
      </c>
      <c r="Q33" s="33"/>
    </row>
    <row r="34" spans="1:17" ht="12.75" customHeight="1" thickBot="1">
      <c r="B34" s="44"/>
      <c r="C34" s="45"/>
      <c r="D34" s="45"/>
      <c r="E34" s="45"/>
      <c r="F34" s="70"/>
      <c r="G34" s="70"/>
      <c r="H34" s="45"/>
      <c r="I34" s="45"/>
      <c r="J34" s="45"/>
      <c r="K34" s="45"/>
      <c r="L34" s="45"/>
      <c r="M34" s="45"/>
      <c r="N34" s="45"/>
      <c r="O34" s="45"/>
      <c r="P34" s="45"/>
      <c r="Q34" s="46"/>
    </row>
    <row r="35" spans="1:17" ht="13.5" thickTop="1">
      <c r="B35" s="29"/>
      <c r="O35" s="51"/>
    </row>
    <row r="36" spans="1:17" ht="15.75">
      <c r="B36" s="29"/>
      <c r="C36" s="71" t="s">
        <v>21</v>
      </c>
      <c r="D36" s="72" t="s">
        <v>38</v>
      </c>
      <c r="E36" s="73"/>
      <c r="F36" s="73"/>
      <c r="G36" s="73"/>
      <c r="H36" s="73"/>
      <c r="I36" s="73"/>
      <c r="O36" s="51"/>
    </row>
    <row r="37" spans="1:17" ht="15.75">
      <c r="B37" s="29"/>
      <c r="C37" s="71"/>
      <c r="D37" s="72" t="s">
        <v>36</v>
      </c>
      <c r="E37" s="73"/>
      <c r="F37" s="73"/>
      <c r="G37" s="73"/>
      <c r="H37" s="73"/>
      <c r="I37" s="73"/>
      <c r="O37" s="51"/>
    </row>
    <row r="38" spans="1:17" ht="15">
      <c r="B38" s="29"/>
      <c r="C38" s="74"/>
      <c r="D38" s="72" t="s">
        <v>37</v>
      </c>
      <c r="E38" s="73"/>
      <c r="F38" s="73"/>
      <c r="G38" s="73"/>
      <c r="H38" s="73"/>
      <c r="I38" s="73"/>
      <c r="O38" s="51"/>
    </row>
    <row r="39" spans="1:17" s="38" customFormat="1" ht="15.95" customHeight="1">
      <c r="A39" s="3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37"/>
      <c r="P39" s="37"/>
    </row>
    <row r="40" spans="1:17" ht="18" customHeight="1"/>
    <row r="41" spans="1:17" ht="34.5" customHeight="1"/>
    <row r="42" spans="1:17" ht="21" customHeight="1"/>
    <row r="43" spans="1:17" ht="12.95" customHeight="1"/>
    <row r="44" spans="1:17" ht="22.5" customHeight="1"/>
    <row r="45" spans="1:17" ht="22.5" customHeight="1"/>
    <row r="46" spans="1:17" ht="22.5" customHeight="1"/>
    <row r="47" spans="1:17" ht="22.5" customHeight="1"/>
    <row r="48" spans="1:17" ht="22.5" customHeight="1"/>
    <row r="49" spans="2:17" ht="22.5" customHeight="1"/>
    <row r="50" spans="2:17" ht="22.5" customHeight="1"/>
    <row r="51" spans="2:17" ht="22.5" customHeight="1"/>
    <row r="52" spans="2:17" ht="22.5" customHeight="1"/>
    <row r="53" spans="2:17" ht="22.5" customHeight="1"/>
    <row r="54" spans="2:17" s="29" customFormat="1" ht="22.5" customHeight="1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Q54" s="51"/>
    </row>
    <row r="55" spans="2:17" s="29" customFormat="1" ht="22.5" customHeight="1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Q55" s="51"/>
    </row>
    <row r="56" spans="2:17" s="29" customFormat="1" ht="22.5" customHeight="1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Q56" s="51"/>
    </row>
    <row r="57" spans="2:17" s="29" customFormat="1" ht="22.5" customHeight="1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Q57" s="51"/>
    </row>
    <row r="58" spans="2:17" s="29" customFormat="1" ht="22.5" customHeight="1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Q58" s="51"/>
    </row>
    <row r="59" spans="2:17" s="29" customFormat="1" ht="22.5" customHeight="1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Q59" s="51"/>
    </row>
  </sheetData>
  <mergeCells count="7">
    <mergeCell ref="C13:D15"/>
    <mergeCell ref="E13:E15"/>
    <mergeCell ref="F13:O13"/>
    <mergeCell ref="F7:I7"/>
    <mergeCell ref="B2:L2"/>
    <mergeCell ref="M2:Q2"/>
    <mergeCell ref="B3:Q3"/>
  </mergeCells>
  <pageMargins left="0.25" right="0.25" top="0.75" bottom="0.75" header="0.3" footer="0.3"/>
  <pageSetup scale="6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Q44"/>
  <sheetViews>
    <sheetView workbookViewId="0">
      <selection activeCell="O21" sqref="O21"/>
    </sheetView>
  </sheetViews>
  <sheetFormatPr baseColWidth="10" defaultColWidth="11.42578125" defaultRowHeight="29.25" customHeight="1"/>
  <cols>
    <col min="1" max="1" width="3.7109375" style="3" customWidth="1"/>
    <col min="2" max="2" width="1.140625" style="4" customWidth="1"/>
    <col min="3" max="3" width="11.7109375" style="3" bestFit="1" customWidth="1"/>
    <col min="4" max="4" width="12.140625" style="3" bestFit="1" customWidth="1"/>
    <col min="5" max="5" width="11.42578125" style="3" customWidth="1"/>
    <col min="6" max="13" width="9" style="3" customWidth="1"/>
    <col min="14" max="14" width="1.140625" style="4" customWidth="1"/>
    <col min="15" max="15" width="4.140625" style="3" customWidth="1"/>
    <col min="16" max="16384" width="11.42578125" style="3"/>
  </cols>
  <sheetData>
    <row r="2" spans="2:17" ht="29.25" customHeight="1">
      <c r="C2" s="155" t="s">
        <v>55</v>
      </c>
      <c r="D2" s="130"/>
      <c r="E2" s="130"/>
      <c r="F2" s="130"/>
      <c r="G2" s="130"/>
      <c r="H2" s="130"/>
      <c r="I2" s="130"/>
      <c r="J2" s="130"/>
      <c r="K2" s="129" t="s">
        <v>35</v>
      </c>
      <c r="L2" s="129"/>
      <c r="M2" s="129"/>
      <c r="N2" s="129"/>
    </row>
    <row r="3" spans="2:17" ht="29.1" customHeight="1">
      <c r="B3" s="152" t="s">
        <v>47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93"/>
      <c r="P3" s="93"/>
      <c r="Q3" s="93"/>
    </row>
    <row r="4" spans="2:17" ht="10.5" customHeight="1" thickBot="1"/>
    <row r="5" spans="2:17" ht="14.25" thickTop="1">
      <c r="B5" s="25"/>
      <c r="C5" s="26"/>
      <c r="D5" s="26"/>
      <c r="E5" s="26"/>
      <c r="F5" s="26"/>
      <c r="G5" s="26"/>
      <c r="H5" s="26"/>
      <c r="I5" s="26"/>
      <c r="J5" s="57"/>
      <c r="K5" s="57"/>
      <c r="L5" s="57"/>
      <c r="M5" s="57"/>
      <c r="N5" s="27"/>
    </row>
    <row r="6" spans="2:17" ht="15.75">
      <c r="B6" s="28"/>
      <c r="C6" s="29"/>
      <c r="D6" s="29"/>
      <c r="E6" s="29"/>
      <c r="F6" s="48"/>
      <c r="G6" s="48"/>
      <c r="H6" s="48"/>
      <c r="I6" s="29"/>
      <c r="J6" s="58"/>
      <c r="K6" s="59"/>
      <c r="L6" s="60"/>
      <c r="M6" s="61"/>
      <c r="N6" s="33"/>
    </row>
    <row r="7" spans="2:17" ht="26.25">
      <c r="B7" s="28"/>
      <c r="C7" s="29"/>
      <c r="D7" s="29"/>
      <c r="E7" s="29"/>
      <c r="F7" s="48"/>
      <c r="G7" s="49"/>
      <c r="H7" s="49"/>
      <c r="I7" s="49"/>
      <c r="J7" s="62"/>
      <c r="K7" s="82"/>
      <c r="L7" s="83"/>
      <c r="M7" s="84" t="s">
        <v>22</v>
      </c>
      <c r="N7" s="33"/>
    </row>
    <row r="8" spans="2:17" ht="5.0999999999999996" customHeight="1">
      <c r="B8" s="28"/>
      <c r="C8" s="29"/>
      <c r="D8" s="29"/>
      <c r="E8" s="29"/>
      <c r="F8" s="48"/>
      <c r="G8" s="29"/>
      <c r="H8" s="29"/>
      <c r="I8" s="29"/>
      <c r="J8" s="60"/>
      <c r="K8" s="156" t="s">
        <v>23</v>
      </c>
      <c r="L8" s="156"/>
      <c r="M8" s="156"/>
      <c r="N8" s="33"/>
    </row>
    <row r="9" spans="2:17" ht="18.75" customHeight="1"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3"/>
    </row>
    <row r="10" spans="2:17" s="5" customFormat="1" ht="12" customHeigh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3"/>
      <c r="O10" s="3"/>
      <c r="P10" s="3"/>
      <c r="Q10" s="3"/>
    </row>
    <row r="11" spans="2:17" s="5" customFormat="1" ht="10.5" customHeight="1" thickBot="1">
      <c r="B11" s="44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46"/>
    </row>
    <row r="12" spans="2:17" ht="9.75" customHeight="1" thickTop="1" thickBot="1">
      <c r="B12" s="29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29"/>
      <c r="O12" s="5"/>
      <c r="P12" s="5"/>
      <c r="Q12" s="5"/>
    </row>
    <row r="13" spans="2:17" ht="23.25" customHeight="1" thickTop="1">
      <c r="B13" s="25"/>
      <c r="C13" s="26"/>
      <c r="D13" s="26"/>
      <c r="E13" s="40"/>
      <c r="F13" s="26"/>
      <c r="G13" s="26"/>
      <c r="H13" s="26"/>
      <c r="I13" s="26"/>
      <c r="J13" s="26"/>
      <c r="K13" s="26"/>
      <c r="L13" s="26"/>
      <c r="M13" s="26"/>
      <c r="N13" s="27"/>
    </row>
    <row r="14" spans="2:17" ht="25.5" customHeight="1">
      <c r="B14" s="28"/>
      <c r="C14" s="157" t="s">
        <v>0</v>
      </c>
      <c r="D14" s="157"/>
      <c r="E14" s="158" t="s">
        <v>1</v>
      </c>
      <c r="F14" s="161" t="s">
        <v>24</v>
      </c>
      <c r="G14" s="162"/>
      <c r="H14" s="162"/>
      <c r="I14" s="162"/>
      <c r="J14" s="162"/>
      <c r="K14" s="162"/>
      <c r="L14" s="162"/>
      <c r="M14" s="163"/>
      <c r="N14" s="33"/>
    </row>
    <row r="15" spans="2:17" ht="14.25" customHeight="1">
      <c r="B15" s="28"/>
      <c r="C15" s="157"/>
      <c r="D15" s="157"/>
      <c r="E15" s="159"/>
      <c r="F15" s="53" t="s">
        <v>25</v>
      </c>
      <c r="G15" s="54" t="s">
        <v>26</v>
      </c>
      <c r="H15" s="53" t="s">
        <v>25</v>
      </c>
      <c r="I15" s="54" t="s">
        <v>26</v>
      </c>
      <c r="J15" s="53" t="s">
        <v>25</v>
      </c>
      <c r="K15" s="54" t="s">
        <v>26</v>
      </c>
      <c r="L15" s="53" t="s">
        <v>25</v>
      </c>
      <c r="M15" s="54" t="s">
        <v>26</v>
      </c>
      <c r="N15" s="33"/>
    </row>
    <row r="16" spans="2:17" ht="21" customHeight="1">
      <c r="B16" s="28"/>
      <c r="C16" s="157"/>
      <c r="D16" s="157"/>
      <c r="E16" s="160"/>
      <c r="F16" s="55" t="s">
        <v>27</v>
      </c>
      <c r="G16" s="56" t="s">
        <v>27</v>
      </c>
      <c r="H16" s="55" t="s">
        <v>28</v>
      </c>
      <c r="I16" s="55" t="s">
        <v>27</v>
      </c>
      <c r="J16" s="55" t="s">
        <v>29</v>
      </c>
      <c r="K16" s="55" t="s">
        <v>28</v>
      </c>
      <c r="L16" s="55" t="s">
        <v>28</v>
      </c>
      <c r="M16" s="55" t="s">
        <v>28</v>
      </c>
      <c r="N16" s="33"/>
    </row>
    <row r="17" spans="2:17" ht="21" customHeight="1">
      <c r="B17" s="28"/>
      <c r="C17" s="43">
        <v>0</v>
      </c>
      <c r="D17" s="43">
        <v>500000</v>
      </c>
      <c r="E17" s="43">
        <f>750*0.9</f>
        <v>675</v>
      </c>
      <c r="F17" s="153">
        <f>750*0.9</f>
        <v>675</v>
      </c>
      <c r="G17" s="154"/>
      <c r="H17" s="153">
        <f>+F17+200</f>
        <v>875</v>
      </c>
      <c r="I17" s="154"/>
      <c r="J17" s="153">
        <f>+H17+200</f>
        <v>1075</v>
      </c>
      <c r="K17" s="154"/>
      <c r="L17" s="153">
        <f>+J17+200</f>
        <v>1275</v>
      </c>
      <c r="M17" s="154"/>
      <c r="N17" s="33"/>
    </row>
    <row r="18" spans="2:17" ht="21" customHeight="1">
      <c r="B18" s="28"/>
      <c r="C18" s="43">
        <v>500001</v>
      </c>
      <c r="D18" s="43">
        <v>1000000</v>
      </c>
      <c r="E18" s="43">
        <f>1000*0.9</f>
        <v>900</v>
      </c>
      <c r="F18" s="153">
        <f>1000*0.9</f>
        <v>900</v>
      </c>
      <c r="G18" s="154"/>
      <c r="H18" s="153">
        <f t="shared" ref="H18:H19" si="0">+F18+200</f>
        <v>1100</v>
      </c>
      <c r="I18" s="154"/>
      <c r="J18" s="153">
        <f t="shared" ref="J18:J19" si="1">+H18+200</f>
        <v>1300</v>
      </c>
      <c r="K18" s="154"/>
      <c r="L18" s="153">
        <f t="shared" ref="L18:L19" si="2">+J18+200</f>
        <v>1500</v>
      </c>
      <c r="M18" s="154"/>
      <c r="N18" s="33"/>
    </row>
    <row r="19" spans="2:17" ht="12.75" customHeight="1">
      <c r="B19" s="28"/>
      <c r="C19" s="43">
        <v>1000001</v>
      </c>
      <c r="D19" s="43">
        <v>2000000</v>
      </c>
      <c r="E19" s="43">
        <f>1750*0.9</f>
        <v>1575</v>
      </c>
      <c r="F19" s="153">
        <f>1750*0.9</f>
        <v>1575</v>
      </c>
      <c r="G19" s="154"/>
      <c r="H19" s="153">
        <f t="shared" si="0"/>
        <v>1775</v>
      </c>
      <c r="I19" s="154"/>
      <c r="J19" s="153">
        <f t="shared" si="1"/>
        <v>1975</v>
      </c>
      <c r="K19" s="154"/>
      <c r="L19" s="153">
        <f t="shared" si="2"/>
        <v>2175</v>
      </c>
      <c r="M19" s="154"/>
      <c r="N19" s="33"/>
    </row>
    <row r="20" spans="2:17" ht="14.25" thickBot="1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6"/>
    </row>
    <row r="21" spans="2:17" ht="14.25" thickTop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7" ht="15.75">
      <c r="C22" s="71" t="s">
        <v>21</v>
      </c>
      <c r="D22" s="72" t="s">
        <v>38</v>
      </c>
      <c r="E22" s="73"/>
      <c r="F22" s="73"/>
      <c r="G22" s="73"/>
      <c r="H22" s="73"/>
      <c r="I22" s="73"/>
      <c r="J22" s="51"/>
      <c r="K22" s="51"/>
      <c r="L22" s="51"/>
      <c r="M22" s="51"/>
    </row>
    <row r="23" spans="2:17" s="5" customFormat="1" ht="18.95" customHeight="1">
      <c r="B23" s="4"/>
      <c r="C23" s="71"/>
      <c r="D23" s="72" t="s">
        <v>36</v>
      </c>
      <c r="E23" s="73"/>
      <c r="F23" s="73"/>
      <c r="G23" s="73"/>
      <c r="H23" s="73"/>
      <c r="I23" s="73"/>
      <c r="J23" s="51"/>
      <c r="K23" s="51"/>
      <c r="L23" s="51"/>
      <c r="M23" s="51"/>
      <c r="N23" s="4"/>
      <c r="O23" s="3"/>
      <c r="P23" s="3"/>
      <c r="Q23" s="3"/>
    </row>
    <row r="24" spans="2:17" ht="18" customHeight="1">
      <c r="B24" s="6"/>
      <c r="C24" s="74"/>
      <c r="D24" s="72" t="s">
        <v>37</v>
      </c>
      <c r="E24" s="73"/>
      <c r="F24" s="73"/>
      <c r="G24" s="73"/>
      <c r="H24" s="73"/>
      <c r="I24" s="73"/>
      <c r="J24" s="51"/>
      <c r="K24" s="51"/>
      <c r="L24" s="51"/>
      <c r="M24" s="51"/>
      <c r="N24" s="6"/>
      <c r="O24" s="5"/>
      <c r="P24" s="5"/>
      <c r="Q24" s="5"/>
    </row>
    <row r="25" spans="2:17" ht="11.1" customHeight="1"/>
    <row r="26" spans="2:17" ht="22.5" customHeight="1"/>
    <row r="27" spans="2:17" ht="22.5" customHeight="1"/>
    <row r="28" spans="2:17" ht="22.5" customHeight="1"/>
    <row r="29" spans="2:17" ht="22.5" customHeight="1"/>
    <row r="30" spans="2:17" ht="22.5" customHeight="1"/>
    <row r="31" spans="2:17" ht="22.5" customHeight="1"/>
    <row r="32" spans="2:17" ht="22.5" customHeight="1"/>
    <row r="33" spans="3:17" ht="22.5" customHeight="1"/>
    <row r="34" spans="3:17" ht="22.5" customHeight="1"/>
    <row r="35" spans="3:17" ht="22.5" customHeight="1"/>
    <row r="36" spans="3:17" ht="22.5" customHeight="1"/>
    <row r="37" spans="3:17" ht="22.5" customHeight="1"/>
    <row r="38" spans="3:17" s="4" customFormat="1" ht="22.5" customHeight="1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O38" s="3"/>
      <c r="P38" s="3"/>
      <c r="Q38" s="3"/>
    </row>
    <row r="39" spans="3:17" s="4" customFormat="1" ht="22.5" customHeight="1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7" s="4" customFormat="1" ht="22.5" customHeight="1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3:17" s="4" customFormat="1" ht="22.5" customHeight="1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3:17" s="4" customFormat="1" ht="22.5" customHeight="1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7" s="4" customFormat="1" ht="22.5" customHeight="1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7" ht="29.25" customHeight="1">
      <c r="O44" s="4"/>
      <c r="P44" s="4"/>
      <c r="Q44" s="4"/>
    </row>
  </sheetData>
  <mergeCells count="19">
    <mergeCell ref="C2:J2"/>
    <mergeCell ref="K2:N2"/>
    <mergeCell ref="K8:M8"/>
    <mergeCell ref="C14:D16"/>
    <mergeCell ref="E14:E16"/>
    <mergeCell ref="F14:M14"/>
    <mergeCell ref="B3:N3"/>
    <mergeCell ref="L19:M19"/>
    <mergeCell ref="F19:G19"/>
    <mergeCell ref="H17:I17"/>
    <mergeCell ref="H18:I18"/>
    <mergeCell ref="H19:I19"/>
    <mergeCell ref="J17:K17"/>
    <mergeCell ref="J18:K18"/>
    <mergeCell ref="J19:K19"/>
    <mergeCell ref="F17:G17"/>
    <mergeCell ref="F18:G18"/>
    <mergeCell ref="L18:M18"/>
    <mergeCell ref="L17:M17"/>
  </mergeCells>
  <pageMargins left="0.7" right="0.7" top="0.75" bottom="0.75" header="0.3" footer="0.3"/>
  <pageSetup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M36"/>
  <sheetViews>
    <sheetView workbookViewId="0">
      <selection activeCell="E30" sqref="E30"/>
    </sheetView>
  </sheetViews>
  <sheetFormatPr baseColWidth="10" defaultColWidth="11.42578125" defaultRowHeight="15"/>
  <cols>
    <col min="1" max="1" width="4.85546875" style="1" customWidth="1"/>
    <col min="2" max="2" width="6" style="1" customWidth="1"/>
    <col min="3" max="3" width="26.140625" style="1" customWidth="1"/>
    <col min="4" max="4" width="23.28515625" style="1" customWidth="1"/>
    <col min="5" max="6" width="32.42578125" style="1" customWidth="1"/>
    <col min="7" max="7" width="10.7109375" style="1" customWidth="1"/>
    <col min="8" max="8" width="5.85546875" style="1" customWidth="1"/>
    <col min="9" max="16384" width="11.42578125" style="1"/>
  </cols>
  <sheetData>
    <row r="2" spans="2:9" ht="27.95" customHeight="1">
      <c r="C2" s="130" t="s">
        <v>56</v>
      </c>
      <c r="D2" s="130"/>
      <c r="E2" s="130"/>
      <c r="F2" s="130"/>
      <c r="G2" s="130"/>
    </row>
    <row r="3" spans="2:9" ht="27.95" customHeight="1">
      <c r="B3" s="152" t="s">
        <v>47</v>
      </c>
      <c r="C3" s="152"/>
      <c r="D3" s="152"/>
      <c r="E3" s="152"/>
      <c r="F3" s="152"/>
      <c r="G3" s="152"/>
    </row>
    <row r="4" spans="2:9" ht="15.75" thickBot="1"/>
    <row r="5" spans="2:9" ht="38.1" customHeight="1" thickTop="1">
      <c r="B5" s="11"/>
      <c r="C5" s="164"/>
      <c r="D5" s="164"/>
      <c r="E5" s="164"/>
      <c r="F5" s="86" t="s">
        <v>40</v>
      </c>
      <c r="G5" s="12"/>
    </row>
    <row r="6" spans="2:9" ht="26.25">
      <c r="B6" s="13"/>
      <c r="C6" s="7"/>
      <c r="D6" s="7"/>
      <c r="E6" s="85"/>
      <c r="F6" s="85" t="s">
        <v>30</v>
      </c>
      <c r="G6" s="14"/>
      <c r="H6" s="2"/>
    </row>
    <row r="7" spans="2:9" ht="29.25" customHeight="1" thickBot="1">
      <c r="B7" s="15"/>
      <c r="C7" s="16"/>
      <c r="D7" s="16"/>
      <c r="E7" s="16"/>
      <c r="F7" s="16"/>
      <c r="G7" s="17"/>
    </row>
    <row r="8" spans="2:9" ht="21" customHeight="1" thickTop="1" thickBot="1">
      <c r="B8" s="8"/>
      <c r="C8" s="8"/>
      <c r="D8" s="8"/>
      <c r="E8" s="8"/>
      <c r="F8" s="8"/>
      <c r="G8" s="8"/>
    </row>
    <row r="9" spans="2:9" ht="18" customHeight="1" thickTop="1">
      <c r="B9" s="11"/>
      <c r="C9" s="165" t="s">
        <v>42</v>
      </c>
      <c r="D9" s="165"/>
      <c r="E9" s="165"/>
      <c r="F9" s="87"/>
      <c r="G9" s="12"/>
    </row>
    <row r="10" spans="2:9" ht="15.75" customHeight="1">
      <c r="B10" s="13"/>
      <c r="C10" s="7"/>
      <c r="D10" s="7"/>
      <c r="E10" s="7"/>
      <c r="F10" s="7"/>
      <c r="G10" s="18"/>
    </row>
    <row r="11" spans="2:9" ht="33.950000000000003" customHeight="1">
      <c r="B11" s="13"/>
      <c r="C11" s="166" t="s">
        <v>0</v>
      </c>
      <c r="D11" s="166"/>
      <c r="E11" s="77" t="s">
        <v>31</v>
      </c>
      <c r="F11" s="94" t="s">
        <v>48</v>
      </c>
      <c r="G11" s="18"/>
    </row>
    <row r="12" spans="2:9" ht="15.75">
      <c r="B12" s="13"/>
      <c r="C12" s="20">
        <v>0</v>
      </c>
      <c r="D12" s="20">
        <v>5000</v>
      </c>
      <c r="E12" s="21">
        <f>500*0.9</f>
        <v>450</v>
      </c>
      <c r="F12" s="92">
        <f>1000*0.9</f>
        <v>900</v>
      </c>
      <c r="G12" s="18"/>
    </row>
    <row r="13" spans="2:9" ht="15.75">
      <c r="B13" s="13"/>
      <c r="C13" s="20">
        <f>D12+1</f>
        <v>5001</v>
      </c>
      <c r="D13" s="20">
        <f>+D12+15000</f>
        <v>20000</v>
      </c>
      <c r="E13" s="21">
        <f>+E12+50</f>
        <v>500</v>
      </c>
      <c r="F13" s="92">
        <f>1050*0.9</f>
        <v>945</v>
      </c>
      <c r="G13" s="18"/>
    </row>
    <row r="14" spans="2:9" ht="15.75">
      <c r="B14" s="13"/>
      <c r="C14" s="20">
        <f t="shared" ref="C14:C29" si="0">D13+1</f>
        <v>20001</v>
      </c>
      <c r="D14" s="20">
        <f t="shared" ref="D14:D29" si="1">+D13+15000</f>
        <v>35000</v>
      </c>
      <c r="E14" s="21">
        <f t="shared" ref="E14:E28" si="2">+E13+50</f>
        <v>550</v>
      </c>
      <c r="F14" s="92">
        <f>1100*0.9</f>
        <v>990</v>
      </c>
      <c r="G14" s="18"/>
      <c r="I14" s="22"/>
    </row>
    <row r="15" spans="2:9" ht="15.75">
      <c r="B15" s="13"/>
      <c r="C15" s="20">
        <f t="shared" si="0"/>
        <v>35001</v>
      </c>
      <c r="D15" s="20">
        <f t="shared" si="1"/>
        <v>50000</v>
      </c>
      <c r="E15" s="21">
        <f t="shared" si="2"/>
        <v>600</v>
      </c>
      <c r="F15" s="92">
        <f>1150*0.9</f>
        <v>1035</v>
      </c>
      <c r="G15" s="18"/>
    </row>
    <row r="16" spans="2:9" ht="15.75">
      <c r="B16" s="13"/>
      <c r="C16" s="20">
        <f t="shared" si="0"/>
        <v>50001</v>
      </c>
      <c r="D16" s="20">
        <f t="shared" si="1"/>
        <v>65000</v>
      </c>
      <c r="E16" s="21">
        <f t="shared" si="2"/>
        <v>650</v>
      </c>
      <c r="F16" s="92">
        <f>1200*0.9</f>
        <v>1080</v>
      </c>
      <c r="G16" s="18"/>
    </row>
    <row r="17" spans="2:13" ht="15.75">
      <c r="B17" s="13"/>
      <c r="C17" s="20">
        <f t="shared" si="0"/>
        <v>65001</v>
      </c>
      <c r="D17" s="20">
        <f t="shared" si="1"/>
        <v>80000</v>
      </c>
      <c r="E17" s="21">
        <f t="shared" si="2"/>
        <v>700</v>
      </c>
      <c r="F17" s="92">
        <f>1250*0.9</f>
        <v>1125</v>
      </c>
      <c r="G17" s="18"/>
    </row>
    <row r="18" spans="2:13" ht="15.75">
      <c r="B18" s="13"/>
      <c r="C18" s="20">
        <f t="shared" si="0"/>
        <v>80001</v>
      </c>
      <c r="D18" s="20">
        <f t="shared" si="1"/>
        <v>95000</v>
      </c>
      <c r="E18" s="21">
        <f t="shared" si="2"/>
        <v>750</v>
      </c>
      <c r="F18" s="92">
        <f>1300*0.9</f>
        <v>1170</v>
      </c>
      <c r="G18" s="18"/>
    </row>
    <row r="19" spans="2:13" ht="15.75">
      <c r="B19" s="13"/>
      <c r="C19" s="20">
        <f t="shared" si="0"/>
        <v>95001</v>
      </c>
      <c r="D19" s="20">
        <f t="shared" si="1"/>
        <v>110000</v>
      </c>
      <c r="E19" s="21">
        <f t="shared" si="2"/>
        <v>800</v>
      </c>
      <c r="F19" s="92">
        <f>1350*0.9</f>
        <v>1215</v>
      </c>
      <c r="G19" s="18"/>
    </row>
    <row r="20" spans="2:13" ht="15.75">
      <c r="B20" s="13"/>
      <c r="C20" s="20">
        <f t="shared" si="0"/>
        <v>110001</v>
      </c>
      <c r="D20" s="20">
        <f t="shared" si="1"/>
        <v>125000</v>
      </c>
      <c r="E20" s="21">
        <f t="shared" si="2"/>
        <v>850</v>
      </c>
      <c r="F20" s="92">
        <f>1400*0.9</f>
        <v>1260</v>
      </c>
      <c r="G20" s="18"/>
    </row>
    <row r="21" spans="2:13" ht="15.75">
      <c r="B21" s="13"/>
      <c r="C21" s="20">
        <f t="shared" si="0"/>
        <v>125001</v>
      </c>
      <c r="D21" s="20">
        <f t="shared" si="1"/>
        <v>140000</v>
      </c>
      <c r="E21" s="21">
        <f t="shared" si="2"/>
        <v>900</v>
      </c>
      <c r="F21" s="92">
        <f>1450*0.9</f>
        <v>1305</v>
      </c>
      <c r="G21" s="18"/>
    </row>
    <row r="22" spans="2:13" ht="15.75">
      <c r="B22" s="13"/>
      <c r="C22" s="20">
        <f t="shared" si="0"/>
        <v>140001</v>
      </c>
      <c r="D22" s="20">
        <f t="shared" si="1"/>
        <v>155000</v>
      </c>
      <c r="E22" s="21">
        <f t="shared" si="2"/>
        <v>950</v>
      </c>
      <c r="F22" s="92">
        <f>1500*0.9</f>
        <v>1350</v>
      </c>
      <c r="G22" s="18"/>
    </row>
    <row r="23" spans="2:13" ht="15.75">
      <c r="B23" s="13"/>
      <c r="C23" s="20">
        <f t="shared" si="0"/>
        <v>155001</v>
      </c>
      <c r="D23" s="20">
        <f t="shared" si="1"/>
        <v>170000</v>
      </c>
      <c r="E23" s="21">
        <f t="shared" si="2"/>
        <v>1000</v>
      </c>
      <c r="F23" s="92">
        <f>1550*0.9</f>
        <v>1395</v>
      </c>
      <c r="G23" s="18"/>
    </row>
    <row r="24" spans="2:13" ht="15.75">
      <c r="B24" s="13"/>
      <c r="C24" s="20">
        <f t="shared" si="0"/>
        <v>170001</v>
      </c>
      <c r="D24" s="20">
        <f t="shared" si="1"/>
        <v>185000</v>
      </c>
      <c r="E24" s="21">
        <f t="shared" si="2"/>
        <v>1050</v>
      </c>
      <c r="F24" s="92">
        <f>1600*0.9</f>
        <v>1440</v>
      </c>
      <c r="G24" s="18"/>
    </row>
    <row r="25" spans="2:13" ht="15.75">
      <c r="B25" s="13"/>
      <c r="C25" s="20">
        <f t="shared" si="0"/>
        <v>185001</v>
      </c>
      <c r="D25" s="20">
        <f t="shared" si="1"/>
        <v>200000</v>
      </c>
      <c r="E25" s="21">
        <f t="shared" si="2"/>
        <v>1100</v>
      </c>
      <c r="F25" s="92">
        <f>1650*0.9</f>
        <v>1485</v>
      </c>
      <c r="G25" s="18"/>
    </row>
    <row r="26" spans="2:13" ht="15.75">
      <c r="B26" s="13"/>
      <c r="C26" s="20">
        <f t="shared" si="0"/>
        <v>200001</v>
      </c>
      <c r="D26" s="20">
        <f t="shared" si="1"/>
        <v>215000</v>
      </c>
      <c r="E26" s="21">
        <f t="shared" si="2"/>
        <v>1150</v>
      </c>
      <c r="F26" s="92">
        <f>1700*0.9</f>
        <v>1530</v>
      </c>
      <c r="G26" s="18"/>
    </row>
    <row r="27" spans="2:13" ht="15.75">
      <c r="B27" s="13"/>
      <c r="C27" s="20">
        <f t="shared" si="0"/>
        <v>215001</v>
      </c>
      <c r="D27" s="20">
        <f t="shared" si="1"/>
        <v>230000</v>
      </c>
      <c r="E27" s="21">
        <f t="shared" si="2"/>
        <v>1200</v>
      </c>
      <c r="F27" s="92">
        <f>1750*0.9</f>
        <v>1575</v>
      </c>
      <c r="G27" s="18"/>
    </row>
    <row r="28" spans="2:13" ht="15.75">
      <c r="B28" s="13"/>
      <c r="C28" s="20">
        <f t="shared" si="0"/>
        <v>230001</v>
      </c>
      <c r="D28" s="20">
        <f t="shared" si="1"/>
        <v>245000</v>
      </c>
      <c r="E28" s="21">
        <f t="shared" si="2"/>
        <v>1250</v>
      </c>
      <c r="F28" s="92">
        <f>1800*0.9</f>
        <v>1620</v>
      </c>
      <c r="G28" s="18"/>
    </row>
    <row r="29" spans="2:13" ht="15.75">
      <c r="B29" s="13"/>
      <c r="C29" s="20">
        <f t="shared" si="0"/>
        <v>245001</v>
      </c>
      <c r="D29" s="20">
        <f t="shared" si="1"/>
        <v>260000</v>
      </c>
      <c r="E29" s="21">
        <f>+E28+50</f>
        <v>1300</v>
      </c>
      <c r="F29" s="92">
        <f>1850*0.9</f>
        <v>1665</v>
      </c>
      <c r="G29" s="18"/>
    </row>
    <row r="30" spans="2:13" ht="15.75">
      <c r="B30" s="13"/>
      <c r="C30" s="7"/>
      <c r="D30" s="7"/>
      <c r="E30" s="7"/>
      <c r="F30" s="7"/>
      <c r="G30" s="18"/>
    </row>
    <row r="31" spans="2:13" ht="15.75">
      <c r="B31" s="13"/>
      <c r="C31" s="23" t="s">
        <v>41</v>
      </c>
      <c r="D31" s="7"/>
      <c r="E31" s="7"/>
      <c r="F31" s="7"/>
      <c r="G31" s="18"/>
    </row>
    <row r="32" spans="2:13" ht="15.75">
      <c r="B32" s="13"/>
      <c r="C32" s="72" t="s">
        <v>38</v>
      </c>
      <c r="D32" s="23"/>
      <c r="E32" s="23"/>
      <c r="F32" s="23"/>
      <c r="G32" s="88"/>
      <c r="H32" s="73"/>
      <c r="I32" s="73"/>
      <c r="J32" s="51"/>
      <c r="K32" s="51"/>
      <c r="L32" s="51"/>
      <c r="M32" s="51"/>
    </row>
    <row r="33" spans="2:13" ht="15.75">
      <c r="B33" s="13"/>
      <c r="C33" s="72" t="s">
        <v>36</v>
      </c>
      <c r="D33" s="23"/>
      <c r="E33" s="23"/>
      <c r="F33" s="23"/>
      <c r="G33" s="88"/>
      <c r="H33" s="73"/>
      <c r="I33" s="73"/>
      <c r="J33" s="51"/>
      <c r="K33" s="51"/>
      <c r="L33" s="51"/>
      <c r="M33" s="51"/>
    </row>
    <row r="34" spans="2:13" ht="15.75">
      <c r="B34" s="13"/>
      <c r="C34" s="72" t="s">
        <v>37</v>
      </c>
      <c r="D34" s="23"/>
      <c r="E34" s="23"/>
      <c r="F34" s="23"/>
      <c r="G34" s="88"/>
      <c r="H34" s="73"/>
      <c r="I34" s="73"/>
      <c r="J34" s="51"/>
      <c r="K34" s="51"/>
      <c r="L34" s="51"/>
      <c r="M34" s="51"/>
    </row>
    <row r="35" spans="2:13" ht="16.5" thickBot="1">
      <c r="B35" s="15"/>
      <c r="C35" s="89"/>
      <c r="D35" s="90"/>
      <c r="E35" s="90"/>
      <c r="F35" s="90"/>
      <c r="G35" s="91"/>
      <c r="H35" s="73"/>
      <c r="I35" s="73"/>
      <c r="J35" s="51"/>
      <c r="K35" s="51"/>
      <c r="L35" s="51"/>
      <c r="M35" s="51"/>
    </row>
    <row r="36" spans="2:13" ht="15.75" thickTop="1"/>
  </sheetData>
  <mergeCells count="5">
    <mergeCell ref="C5:E5"/>
    <mergeCell ref="C9:E9"/>
    <mergeCell ref="C11:D11"/>
    <mergeCell ref="C2:G2"/>
    <mergeCell ref="B3:G3"/>
  </mergeCells>
  <printOptions horizontalCentered="1"/>
  <pageMargins left="0.25" right="0.25" top="0.75" bottom="0.7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9"/>
  <sheetViews>
    <sheetView workbookViewId="0">
      <selection activeCell="D11" sqref="D11"/>
    </sheetView>
  </sheetViews>
  <sheetFormatPr baseColWidth="10" defaultColWidth="11.42578125" defaultRowHeight="15"/>
  <cols>
    <col min="1" max="1" width="3.7109375" style="1" customWidth="1"/>
    <col min="2" max="2" width="3" style="1" customWidth="1"/>
    <col min="3" max="3" width="24" style="1" customWidth="1"/>
    <col min="4" max="4" width="23.28515625" style="1" customWidth="1"/>
    <col min="5" max="5" width="61.85546875" style="1" customWidth="1"/>
    <col min="6" max="6" width="8.85546875" style="1" customWidth="1"/>
    <col min="7" max="7" width="3.28515625" style="1" customWidth="1"/>
    <col min="8" max="16384" width="11.42578125" style="1"/>
  </cols>
  <sheetData>
    <row r="2" spans="2:7" ht="30" customHeight="1">
      <c r="C2" s="168" t="s">
        <v>57</v>
      </c>
      <c r="D2" s="169"/>
      <c r="E2" s="169"/>
    </row>
    <row r="3" spans="2:7" ht="30" customHeight="1">
      <c r="B3" s="152" t="s">
        <v>47</v>
      </c>
      <c r="C3" s="152"/>
      <c r="D3" s="152"/>
      <c r="E3" s="152"/>
      <c r="F3" s="152"/>
      <c r="G3" s="93"/>
    </row>
    <row r="4" spans="2:7" ht="15.75" thickBot="1"/>
    <row r="5" spans="2:7" ht="42.95" customHeight="1" thickTop="1">
      <c r="B5" s="11"/>
      <c r="C5" s="167" t="s">
        <v>40</v>
      </c>
      <c r="D5" s="167"/>
      <c r="E5" s="167"/>
      <c r="F5" s="12"/>
    </row>
    <row r="6" spans="2:7" ht="26.25">
      <c r="B6" s="13"/>
      <c r="C6" s="7"/>
      <c r="D6" s="7"/>
      <c r="E6" s="85" t="s">
        <v>32</v>
      </c>
      <c r="F6" s="14"/>
      <c r="G6" s="2"/>
    </row>
    <row r="7" spans="2:7" ht="26.1" customHeight="1" thickBot="1">
      <c r="B7" s="15"/>
      <c r="C7" s="16"/>
      <c r="D7" s="16"/>
      <c r="E7" s="16"/>
      <c r="F7" s="17"/>
    </row>
    <row r="8" spans="2:7" ht="17.25" thickTop="1" thickBot="1">
      <c r="B8" s="8"/>
      <c r="C8" s="8"/>
      <c r="D8" s="8"/>
      <c r="E8" s="8"/>
      <c r="F8" s="8"/>
    </row>
    <row r="9" spans="2:7" ht="15.75" customHeight="1" thickTop="1">
      <c r="B9" s="11"/>
      <c r="C9" s="19"/>
      <c r="D9" s="19"/>
      <c r="E9" s="19"/>
      <c r="F9" s="12"/>
    </row>
    <row r="10" spans="2:7" ht="29.25" customHeight="1">
      <c r="B10" s="13"/>
      <c r="C10" s="166" t="s">
        <v>0</v>
      </c>
      <c r="D10" s="166"/>
      <c r="E10" s="24" t="s">
        <v>31</v>
      </c>
      <c r="F10" s="18"/>
    </row>
    <row r="11" spans="2:7" ht="29.25" customHeight="1">
      <c r="B11" s="13"/>
      <c r="C11" s="9">
        <v>0</v>
      </c>
      <c r="D11" s="9">
        <v>100000</v>
      </c>
      <c r="E11" s="10">
        <f>500*0.9</f>
        <v>450</v>
      </c>
      <c r="F11" s="18"/>
    </row>
    <row r="12" spans="2:7" ht="29.25" customHeight="1">
      <c r="B12" s="13"/>
      <c r="C12" s="9">
        <v>100001</v>
      </c>
      <c r="D12" s="9">
        <v>250000</v>
      </c>
      <c r="E12" s="10">
        <f>600*0.9</f>
        <v>540</v>
      </c>
      <c r="F12" s="18"/>
    </row>
    <row r="13" spans="2:7" ht="29.25" customHeight="1">
      <c r="B13" s="13"/>
      <c r="C13" s="9">
        <v>250001</v>
      </c>
      <c r="D13" s="9">
        <v>500000</v>
      </c>
      <c r="E13" s="10">
        <f>800*0.9</f>
        <v>720</v>
      </c>
      <c r="F13" s="18"/>
    </row>
    <row r="14" spans="2:7" ht="29.25" customHeight="1">
      <c r="B14" s="13"/>
      <c r="C14" s="9">
        <v>500001</v>
      </c>
      <c r="D14" s="9">
        <v>1000000</v>
      </c>
      <c r="E14" s="10">
        <f>1000*0.9</f>
        <v>900</v>
      </c>
      <c r="F14" s="18"/>
    </row>
    <row r="15" spans="2:7" ht="16.5" thickBot="1">
      <c r="B15" s="15"/>
      <c r="C15" s="16"/>
      <c r="D15" s="16"/>
      <c r="E15" s="16"/>
      <c r="F15" s="17"/>
    </row>
    <row r="16" spans="2:7" ht="15.75" thickTop="1"/>
    <row r="17" spans="3:13" ht="15.75">
      <c r="C17" s="72" t="s">
        <v>43</v>
      </c>
      <c r="D17" s="73"/>
      <c r="F17" s="73"/>
      <c r="G17" s="73"/>
      <c r="H17" s="73"/>
      <c r="I17" s="73"/>
      <c r="J17" s="51"/>
      <c r="K17" s="51"/>
      <c r="L17" s="51"/>
      <c r="M17" s="51"/>
    </row>
    <row r="18" spans="3:13" ht="15.75">
      <c r="C18" s="72" t="s">
        <v>36</v>
      </c>
      <c r="D18" s="73"/>
      <c r="F18" s="73"/>
      <c r="G18" s="73"/>
      <c r="H18" s="73"/>
      <c r="I18" s="73"/>
      <c r="J18" s="51"/>
      <c r="K18" s="51"/>
      <c r="L18" s="51"/>
      <c r="M18" s="51"/>
    </row>
    <row r="19" spans="3:13" ht="15.75">
      <c r="C19" s="72" t="s">
        <v>37</v>
      </c>
      <c r="D19" s="73"/>
      <c r="F19" s="73"/>
      <c r="G19" s="73"/>
      <c r="H19" s="73"/>
      <c r="I19" s="73"/>
      <c r="J19" s="51"/>
      <c r="K19" s="51"/>
      <c r="L19" s="51"/>
      <c r="M19" s="51"/>
    </row>
  </sheetData>
  <mergeCells count="4">
    <mergeCell ref="C5:E5"/>
    <mergeCell ref="C10:D10"/>
    <mergeCell ref="C2:E2"/>
    <mergeCell ref="B3:F3"/>
  </mergeCells>
  <phoneticPr fontId="56" type="noConversion"/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42"/>
  <sheetViews>
    <sheetView workbookViewId="0">
      <selection activeCell="N30" sqref="N30"/>
    </sheetView>
  </sheetViews>
  <sheetFormatPr baseColWidth="10" defaultRowHeight="15"/>
  <cols>
    <col min="1" max="1" width="4.7109375" customWidth="1"/>
    <col min="2" max="2" width="11.140625" bestFit="1" customWidth="1"/>
    <col min="3" max="3" width="12.42578125" customWidth="1"/>
    <col min="4" max="4" width="9" customWidth="1"/>
    <col min="5" max="5" width="10.28515625" customWidth="1"/>
    <col min="6" max="6" width="11" customWidth="1"/>
    <col min="7" max="7" width="9.42578125" customWidth="1"/>
    <col min="8" max="9" width="8.42578125" customWidth="1"/>
    <col min="10" max="10" width="8.85546875" customWidth="1"/>
    <col min="11" max="11" width="10.28515625" customWidth="1"/>
    <col min="12" max="12" width="9.140625" customWidth="1"/>
    <col min="13" max="13" width="9.7109375" customWidth="1"/>
    <col min="14" max="14" width="9.28515625" customWidth="1"/>
    <col min="15" max="15" width="5.7109375" customWidth="1"/>
  </cols>
  <sheetData>
    <row r="1" spans="1:17" ht="25.5">
      <c r="A1" s="51"/>
      <c r="B1" s="169" t="s">
        <v>58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29"/>
      <c r="P1" s="3"/>
      <c r="Q1" s="3"/>
    </row>
    <row r="2" spans="1:17" ht="25.5">
      <c r="A2" s="51"/>
      <c r="B2" s="180" t="s">
        <v>47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32"/>
      <c r="P2" s="3"/>
      <c r="Q2" s="3"/>
    </row>
    <row r="3" spans="1:17" ht="17.100000000000001" customHeight="1" thickBot="1">
      <c r="A3" s="51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32"/>
      <c r="P3" s="3"/>
      <c r="Q3" s="3"/>
    </row>
    <row r="4" spans="1:17" ht="18.75" thickTop="1">
      <c r="A4" s="51"/>
      <c r="B4" s="111"/>
      <c r="C4" s="112"/>
      <c r="D4" s="107"/>
      <c r="E4" s="108"/>
      <c r="F4" s="108"/>
      <c r="G4" s="109"/>
      <c r="H4" s="110"/>
      <c r="I4" s="110"/>
      <c r="J4" s="109"/>
      <c r="K4" s="110"/>
      <c r="L4" s="113"/>
      <c r="M4" s="114"/>
      <c r="N4" s="115"/>
      <c r="O4" s="32"/>
      <c r="P4" s="3"/>
      <c r="Q4" s="3"/>
    </row>
    <row r="5" spans="1:17" ht="15.75">
      <c r="A5" s="51"/>
      <c r="B5" s="116"/>
      <c r="C5" s="117"/>
      <c r="D5" s="117"/>
      <c r="E5" s="117"/>
      <c r="F5" s="30"/>
      <c r="G5" s="117"/>
      <c r="H5" s="117"/>
      <c r="I5" s="117"/>
      <c r="J5" s="117"/>
      <c r="K5" s="117"/>
      <c r="L5" s="30"/>
      <c r="M5" s="30"/>
      <c r="N5" s="118"/>
      <c r="O5" s="32"/>
      <c r="P5" s="3"/>
      <c r="Q5" s="3"/>
    </row>
    <row r="6" spans="1:17" ht="23.25">
      <c r="A6" s="51"/>
      <c r="B6" s="116"/>
      <c r="C6" s="117"/>
      <c r="D6" s="117"/>
      <c r="E6" s="117"/>
      <c r="F6" s="117"/>
      <c r="G6" s="117"/>
      <c r="H6" s="119"/>
      <c r="I6" s="126" t="s">
        <v>49</v>
      </c>
      <c r="J6" s="125"/>
      <c r="K6" s="117"/>
      <c r="L6" s="117"/>
      <c r="M6" s="117"/>
      <c r="N6" s="120"/>
      <c r="O6" s="51"/>
      <c r="P6" s="3"/>
      <c r="Q6" s="3"/>
    </row>
    <row r="7" spans="1:17">
      <c r="A7" s="51"/>
      <c r="B7" s="116"/>
      <c r="C7" s="117"/>
      <c r="D7" s="117"/>
      <c r="E7" s="117"/>
      <c r="F7" s="117"/>
      <c r="G7" s="117"/>
      <c r="H7" s="119"/>
      <c r="I7" s="117"/>
      <c r="J7" s="117"/>
      <c r="K7" s="117"/>
      <c r="L7" s="117"/>
      <c r="M7" s="117"/>
      <c r="N7" s="120"/>
      <c r="O7" s="51"/>
      <c r="P7" s="3"/>
      <c r="Q7" s="3"/>
    </row>
    <row r="8" spans="1:17" ht="15.75" thickBot="1">
      <c r="A8" s="51"/>
      <c r="B8" s="121"/>
      <c r="C8" s="122"/>
      <c r="D8" s="122"/>
      <c r="E8" s="122"/>
      <c r="F8" s="122"/>
      <c r="G8" s="122"/>
      <c r="H8" s="123"/>
      <c r="I8" s="122"/>
      <c r="J8" s="122"/>
      <c r="K8" s="122"/>
      <c r="L8" s="122"/>
      <c r="M8" s="122"/>
      <c r="N8" s="124"/>
      <c r="O8" s="51"/>
      <c r="P8" s="3"/>
      <c r="Q8" s="3"/>
    </row>
    <row r="9" spans="1:17" ht="18.75" thickTop="1">
      <c r="A9" s="38"/>
      <c r="B9" s="38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5"/>
      <c r="Q9" s="5"/>
    </row>
    <row r="10" spans="1:17" ht="15" customHeight="1">
      <c r="A10" s="51"/>
      <c r="B10" s="170" t="s">
        <v>0</v>
      </c>
      <c r="C10" s="171"/>
      <c r="D10" s="176" t="s">
        <v>50</v>
      </c>
      <c r="E10" s="179" t="s">
        <v>51</v>
      </c>
      <c r="F10" s="179"/>
      <c r="G10" s="179"/>
      <c r="H10" s="179"/>
      <c r="I10" s="179"/>
      <c r="J10" s="179"/>
      <c r="K10" s="179"/>
      <c r="L10" s="179"/>
      <c r="M10" s="179"/>
      <c r="N10" s="179"/>
      <c r="O10" s="97"/>
      <c r="P10" s="3"/>
      <c r="Q10" s="3"/>
    </row>
    <row r="11" spans="1:17" ht="22.5">
      <c r="A11" s="51"/>
      <c r="B11" s="172"/>
      <c r="C11" s="173"/>
      <c r="D11" s="177"/>
      <c r="E11" s="66" t="s">
        <v>18</v>
      </c>
      <c r="F11" s="98" t="s">
        <v>2</v>
      </c>
      <c r="G11" s="98" t="s">
        <v>3</v>
      </c>
      <c r="H11" s="98" t="s">
        <v>19</v>
      </c>
      <c r="I11" s="98" t="s">
        <v>4</v>
      </c>
      <c r="J11" s="98" t="s">
        <v>5</v>
      </c>
      <c r="K11" s="99" t="s">
        <v>20</v>
      </c>
      <c r="L11" s="99" t="s">
        <v>6</v>
      </c>
      <c r="M11" s="100" t="s">
        <v>7</v>
      </c>
      <c r="N11" s="100" t="s">
        <v>7</v>
      </c>
      <c r="O11" s="101"/>
      <c r="P11" s="3"/>
      <c r="Q11" s="3"/>
    </row>
    <row r="12" spans="1:17">
      <c r="A12" s="51"/>
      <c r="B12" s="174"/>
      <c r="C12" s="175"/>
      <c r="D12" s="178"/>
      <c r="E12" s="42" t="s">
        <v>8</v>
      </c>
      <c r="F12" s="102" t="s">
        <v>9</v>
      </c>
      <c r="G12" s="102" t="s">
        <v>10</v>
      </c>
      <c r="H12" s="102" t="s">
        <v>11</v>
      </c>
      <c r="I12" s="102" t="s">
        <v>12</v>
      </c>
      <c r="J12" s="102" t="s">
        <v>13</v>
      </c>
      <c r="K12" s="103" t="s">
        <v>14</v>
      </c>
      <c r="L12" s="103" t="s">
        <v>15</v>
      </c>
      <c r="M12" s="104" t="s">
        <v>16</v>
      </c>
      <c r="N12" s="104" t="s">
        <v>17</v>
      </c>
      <c r="O12" s="105"/>
      <c r="P12" s="3"/>
      <c r="Q12" s="3"/>
    </row>
    <row r="13" spans="1:17">
      <c r="A13" s="51"/>
      <c r="B13" s="43">
        <v>0</v>
      </c>
      <c r="C13" s="43">
        <v>500000</v>
      </c>
      <c r="D13" s="68">
        <f>2500*0.9</f>
        <v>2250</v>
      </c>
      <c r="E13" s="43">
        <f t="shared" ref="E13:E30" si="0">D13</f>
        <v>2250</v>
      </c>
      <c r="F13" s="43">
        <f>+E13+50</f>
        <v>2300</v>
      </c>
      <c r="G13" s="43">
        <f>+F13+50</f>
        <v>2350</v>
      </c>
      <c r="H13" s="43">
        <f>+G13+50</f>
        <v>2400</v>
      </c>
      <c r="I13" s="43">
        <f>+H13+50</f>
        <v>2450</v>
      </c>
      <c r="J13" s="43">
        <f>+I13+100</f>
        <v>2550</v>
      </c>
      <c r="K13" s="43">
        <f>+J13+100</f>
        <v>2650</v>
      </c>
      <c r="L13" s="43">
        <f>+K13+100</f>
        <v>2750</v>
      </c>
      <c r="M13" s="43">
        <f>+L13+150</f>
        <v>2900</v>
      </c>
      <c r="N13" s="43">
        <f>+M13+150</f>
        <v>3050</v>
      </c>
      <c r="O13" s="106"/>
      <c r="P13" s="3"/>
      <c r="Q13" s="3"/>
    </row>
    <row r="14" spans="1:17">
      <c r="A14" s="51"/>
      <c r="B14" s="43">
        <v>500001</v>
      </c>
      <c r="C14" s="43">
        <v>1000000</v>
      </c>
      <c r="D14" s="43">
        <f>3500*0.9</f>
        <v>3150</v>
      </c>
      <c r="E14" s="43">
        <f t="shared" si="0"/>
        <v>3150</v>
      </c>
      <c r="F14" s="43">
        <f t="shared" ref="F14:I29" si="1">+E14+50</f>
        <v>3200</v>
      </c>
      <c r="G14" s="43">
        <f t="shared" si="1"/>
        <v>3250</v>
      </c>
      <c r="H14" s="43">
        <f t="shared" si="1"/>
        <v>3300</v>
      </c>
      <c r="I14" s="43">
        <f t="shared" si="1"/>
        <v>3350</v>
      </c>
      <c r="J14" s="43">
        <f t="shared" ref="J14:L29" si="2">+I14+100</f>
        <v>3450</v>
      </c>
      <c r="K14" s="43">
        <f t="shared" si="2"/>
        <v>3550</v>
      </c>
      <c r="L14" s="43">
        <f t="shared" si="2"/>
        <v>3650</v>
      </c>
      <c r="M14" s="43">
        <f t="shared" ref="M14:N30" si="3">+L14+150</f>
        <v>3800</v>
      </c>
      <c r="N14" s="43">
        <f t="shared" si="3"/>
        <v>3950</v>
      </c>
      <c r="O14" s="106"/>
      <c r="P14" s="3"/>
      <c r="Q14" s="3"/>
    </row>
    <row r="15" spans="1:17">
      <c r="A15" s="51"/>
      <c r="B15" s="43">
        <v>1000001</v>
      </c>
      <c r="C15" s="43">
        <v>2000000</v>
      </c>
      <c r="D15" s="43">
        <f>4000*0.9</f>
        <v>3600</v>
      </c>
      <c r="E15" s="43">
        <f t="shared" si="0"/>
        <v>3600</v>
      </c>
      <c r="F15" s="43">
        <f t="shared" si="1"/>
        <v>3650</v>
      </c>
      <c r="G15" s="43">
        <f t="shared" si="1"/>
        <v>3700</v>
      </c>
      <c r="H15" s="43">
        <f t="shared" si="1"/>
        <v>3750</v>
      </c>
      <c r="I15" s="43">
        <f t="shared" si="1"/>
        <v>3800</v>
      </c>
      <c r="J15" s="43">
        <f t="shared" si="2"/>
        <v>3900</v>
      </c>
      <c r="K15" s="43">
        <f t="shared" si="2"/>
        <v>4000</v>
      </c>
      <c r="L15" s="43">
        <f t="shared" si="2"/>
        <v>4100</v>
      </c>
      <c r="M15" s="43">
        <f t="shared" si="3"/>
        <v>4250</v>
      </c>
      <c r="N15" s="43">
        <f t="shared" si="3"/>
        <v>4400</v>
      </c>
      <c r="O15" s="106"/>
      <c r="P15" s="3"/>
      <c r="Q15" s="3"/>
    </row>
    <row r="16" spans="1:17">
      <c r="A16" s="51"/>
      <c r="B16" s="43">
        <v>2000001</v>
      </c>
      <c r="C16" s="43">
        <v>3000000</v>
      </c>
      <c r="D16" s="43">
        <f>4750*0.9</f>
        <v>4275</v>
      </c>
      <c r="E16" s="43">
        <f t="shared" si="0"/>
        <v>4275</v>
      </c>
      <c r="F16" s="43">
        <f t="shared" si="1"/>
        <v>4325</v>
      </c>
      <c r="G16" s="43">
        <f t="shared" si="1"/>
        <v>4375</v>
      </c>
      <c r="H16" s="43">
        <f t="shared" si="1"/>
        <v>4425</v>
      </c>
      <c r="I16" s="43">
        <f t="shared" si="1"/>
        <v>4475</v>
      </c>
      <c r="J16" s="43">
        <f t="shared" si="2"/>
        <v>4575</v>
      </c>
      <c r="K16" s="43">
        <f t="shared" si="2"/>
        <v>4675</v>
      </c>
      <c r="L16" s="43">
        <f t="shared" si="2"/>
        <v>4775</v>
      </c>
      <c r="M16" s="43">
        <f t="shared" si="3"/>
        <v>4925</v>
      </c>
      <c r="N16" s="43">
        <f t="shared" si="3"/>
        <v>5075</v>
      </c>
      <c r="O16" s="106"/>
      <c r="P16" s="3"/>
      <c r="Q16" s="3"/>
    </row>
    <row r="17" spans="1:17">
      <c r="A17" s="51"/>
      <c r="B17" s="43">
        <v>3000001</v>
      </c>
      <c r="C17" s="43">
        <v>6000000</v>
      </c>
      <c r="D17" s="43">
        <f>6000*0.9</f>
        <v>5400</v>
      </c>
      <c r="E17" s="43">
        <f t="shared" si="0"/>
        <v>5400</v>
      </c>
      <c r="F17" s="43">
        <f t="shared" si="1"/>
        <v>5450</v>
      </c>
      <c r="G17" s="43">
        <f t="shared" si="1"/>
        <v>5500</v>
      </c>
      <c r="H17" s="43">
        <f t="shared" si="1"/>
        <v>5550</v>
      </c>
      <c r="I17" s="43">
        <f t="shared" si="1"/>
        <v>5600</v>
      </c>
      <c r="J17" s="43">
        <f t="shared" si="2"/>
        <v>5700</v>
      </c>
      <c r="K17" s="43">
        <f t="shared" si="2"/>
        <v>5800</v>
      </c>
      <c r="L17" s="43">
        <f t="shared" si="2"/>
        <v>5900</v>
      </c>
      <c r="M17" s="43">
        <f t="shared" si="3"/>
        <v>6050</v>
      </c>
      <c r="N17" s="43">
        <f t="shared" si="3"/>
        <v>6200</v>
      </c>
      <c r="O17" s="106"/>
      <c r="P17" s="3"/>
      <c r="Q17" s="3"/>
    </row>
    <row r="18" spans="1:17">
      <c r="A18" s="51"/>
      <c r="B18" s="43">
        <v>6000001</v>
      </c>
      <c r="C18" s="43">
        <v>9000000</v>
      </c>
      <c r="D18" s="43">
        <f>7000*0.9</f>
        <v>6300</v>
      </c>
      <c r="E18" s="43">
        <f t="shared" si="0"/>
        <v>6300</v>
      </c>
      <c r="F18" s="43">
        <f t="shared" si="1"/>
        <v>6350</v>
      </c>
      <c r="G18" s="43">
        <f t="shared" si="1"/>
        <v>6400</v>
      </c>
      <c r="H18" s="43">
        <f t="shared" si="1"/>
        <v>6450</v>
      </c>
      <c r="I18" s="43">
        <f t="shared" si="1"/>
        <v>6500</v>
      </c>
      <c r="J18" s="43">
        <f t="shared" si="2"/>
        <v>6600</v>
      </c>
      <c r="K18" s="43">
        <f t="shared" si="2"/>
        <v>6700</v>
      </c>
      <c r="L18" s="43">
        <f t="shared" si="2"/>
        <v>6800</v>
      </c>
      <c r="M18" s="43">
        <f t="shared" si="3"/>
        <v>6950</v>
      </c>
      <c r="N18" s="43">
        <f t="shared" si="3"/>
        <v>7100</v>
      </c>
      <c r="O18" s="106"/>
      <c r="P18" s="3"/>
      <c r="Q18" s="3"/>
    </row>
    <row r="19" spans="1:17">
      <c r="A19" s="51"/>
      <c r="B19" s="43">
        <v>9000001</v>
      </c>
      <c r="C19" s="43">
        <v>12000000</v>
      </c>
      <c r="D19" s="43">
        <f>7500*0.9</f>
        <v>6750</v>
      </c>
      <c r="E19" s="43">
        <f t="shared" si="0"/>
        <v>6750</v>
      </c>
      <c r="F19" s="43">
        <f t="shared" si="1"/>
        <v>6800</v>
      </c>
      <c r="G19" s="43">
        <f t="shared" si="1"/>
        <v>6850</v>
      </c>
      <c r="H19" s="43">
        <f t="shared" si="1"/>
        <v>6900</v>
      </c>
      <c r="I19" s="43">
        <f t="shared" si="1"/>
        <v>6950</v>
      </c>
      <c r="J19" s="43">
        <f t="shared" si="2"/>
        <v>7050</v>
      </c>
      <c r="K19" s="43">
        <f t="shared" si="2"/>
        <v>7150</v>
      </c>
      <c r="L19" s="43">
        <f t="shared" si="2"/>
        <v>7250</v>
      </c>
      <c r="M19" s="43">
        <f t="shared" si="3"/>
        <v>7400</v>
      </c>
      <c r="N19" s="43">
        <f t="shared" si="3"/>
        <v>7550</v>
      </c>
      <c r="O19" s="106"/>
      <c r="P19" s="3"/>
      <c r="Q19" s="3"/>
    </row>
    <row r="20" spans="1:17">
      <c r="A20" s="51"/>
      <c r="B20" s="43">
        <v>12000001</v>
      </c>
      <c r="C20" s="43">
        <v>15000000</v>
      </c>
      <c r="D20" s="43">
        <f>8000*0.9</f>
        <v>7200</v>
      </c>
      <c r="E20" s="43">
        <f t="shared" si="0"/>
        <v>7200</v>
      </c>
      <c r="F20" s="43">
        <f t="shared" si="1"/>
        <v>7250</v>
      </c>
      <c r="G20" s="43">
        <f t="shared" si="1"/>
        <v>7300</v>
      </c>
      <c r="H20" s="43">
        <f t="shared" si="1"/>
        <v>7350</v>
      </c>
      <c r="I20" s="43">
        <f t="shared" si="1"/>
        <v>7400</v>
      </c>
      <c r="J20" s="43">
        <f t="shared" si="2"/>
        <v>7500</v>
      </c>
      <c r="K20" s="43">
        <f t="shared" si="2"/>
        <v>7600</v>
      </c>
      <c r="L20" s="43">
        <f t="shared" si="2"/>
        <v>7700</v>
      </c>
      <c r="M20" s="43">
        <f t="shared" si="3"/>
        <v>7850</v>
      </c>
      <c r="N20" s="43">
        <f t="shared" si="3"/>
        <v>8000</v>
      </c>
      <c r="O20" s="106"/>
      <c r="P20" s="3"/>
      <c r="Q20" s="3"/>
    </row>
    <row r="21" spans="1:17">
      <c r="A21" s="51"/>
      <c r="B21" s="43">
        <v>15000001</v>
      </c>
      <c r="C21" s="43">
        <v>18000000</v>
      </c>
      <c r="D21" s="43">
        <f>8500*0.9</f>
        <v>7650</v>
      </c>
      <c r="E21" s="43">
        <f t="shared" si="0"/>
        <v>7650</v>
      </c>
      <c r="F21" s="43">
        <f t="shared" si="1"/>
        <v>7700</v>
      </c>
      <c r="G21" s="43">
        <f t="shared" si="1"/>
        <v>7750</v>
      </c>
      <c r="H21" s="43">
        <f t="shared" si="1"/>
        <v>7800</v>
      </c>
      <c r="I21" s="43">
        <f t="shared" si="1"/>
        <v>7850</v>
      </c>
      <c r="J21" s="43">
        <f t="shared" si="2"/>
        <v>7950</v>
      </c>
      <c r="K21" s="43">
        <f t="shared" si="2"/>
        <v>8050</v>
      </c>
      <c r="L21" s="43">
        <f t="shared" si="2"/>
        <v>8150</v>
      </c>
      <c r="M21" s="43">
        <f t="shared" si="3"/>
        <v>8300</v>
      </c>
      <c r="N21" s="43">
        <f t="shared" si="3"/>
        <v>8450</v>
      </c>
      <c r="O21" s="106"/>
      <c r="P21" s="3"/>
      <c r="Q21" s="3"/>
    </row>
    <row r="22" spans="1:17">
      <c r="A22" s="51"/>
      <c r="B22" s="43">
        <v>18000001</v>
      </c>
      <c r="C22" s="43">
        <v>21000000</v>
      </c>
      <c r="D22" s="43">
        <f>9000*0.9</f>
        <v>8100</v>
      </c>
      <c r="E22" s="43">
        <f t="shared" si="0"/>
        <v>8100</v>
      </c>
      <c r="F22" s="43">
        <f t="shared" si="1"/>
        <v>8150</v>
      </c>
      <c r="G22" s="43">
        <f t="shared" si="1"/>
        <v>8200</v>
      </c>
      <c r="H22" s="43">
        <f t="shared" si="1"/>
        <v>8250</v>
      </c>
      <c r="I22" s="43">
        <f t="shared" si="1"/>
        <v>8300</v>
      </c>
      <c r="J22" s="43">
        <f t="shared" si="2"/>
        <v>8400</v>
      </c>
      <c r="K22" s="43">
        <f t="shared" si="2"/>
        <v>8500</v>
      </c>
      <c r="L22" s="43">
        <f t="shared" si="2"/>
        <v>8600</v>
      </c>
      <c r="M22" s="43">
        <f t="shared" si="3"/>
        <v>8750</v>
      </c>
      <c r="N22" s="43">
        <f t="shared" si="3"/>
        <v>8900</v>
      </c>
      <c r="O22" s="106"/>
      <c r="P22" s="3"/>
      <c r="Q22" s="3"/>
    </row>
    <row r="23" spans="1:17">
      <c r="A23" s="51"/>
      <c r="B23" s="43">
        <v>21000001</v>
      </c>
      <c r="C23" s="43">
        <v>30000000</v>
      </c>
      <c r="D23" s="43">
        <f>9500*0.9</f>
        <v>8550</v>
      </c>
      <c r="E23" s="43">
        <f t="shared" si="0"/>
        <v>8550</v>
      </c>
      <c r="F23" s="43">
        <f t="shared" si="1"/>
        <v>8600</v>
      </c>
      <c r="G23" s="43">
        <f t="shared" si="1"/>
        <v>8650</v>
      </c>
      <c r="H23" s="43">
        <f t="shared" si="1"/>
        <v>8700</v>
      </c>
      <c r="I23" s="43">
        <f t="shared" si="1"/>
        <v>8750</v>
      </c>
      <c r="J23" s="43">
        <f t="shared" si="2"/>
        <v>8850</v>
      </c>
      <c r="K23" s="43">
        <f t="shared" si="2"/>
        <v>8950</v>
      </c>
      <c r="L23" s="43">
        <f t="shared" si="2"/>
        <v>9050</v>
      </c>
      <c r="M23" s="43">
        <f t="shared" si="3"/>
        <v>9200</v>
      </c>
      <c r="N23" s="43">
        <f t="shared" si="3"/>
        <v>9350</v>
      </c>
      <c r="O23" s="106"/>
      <c r="P23" s="3"/>
      <c r="Q23" s="3"/>
    </row>
    <row r="24" spans="1:17">
      <c r="A24" s="51"/>
      <c r="B24" s="43">
        <v>31000001</v>
      </c>
      <c r="C24" s="43">
        <v>40000000</v>
      </c>
      <c r="D24" s="43">
        <f>10000*0.9</f>
        <v>9000</v>
      </c>
      <c r="E24" s="43">
        <f t="shared" si="0"/>
        <v>9000</v>
      </c>
      <c r="F24" s="43">
        <f t="shared" si="1"/>
        <v>9050</v>
      </c>
      <c r="G24" s="43">
        <f t="shared" si="1"/>
        <v>9100</v>
      </c>
      <c r="H24" s="43">
        <f t="shared" si="1"/>
        <v>9150</v>
      </c>
      <c r="I24" s="43">
        <f t="shared" si="1"/>
        <v>9200</v>
      </c>
      <c r="J24" s="43">
        <f t="shared" si="2"/>
        <v>9300</v>
      </c>
      <c r="K24" s="43">
        <f t="shared" si="2"/>
        <v>9400</v>
      </c>
      <c r="L24" s="43">
        <f t="shared" si="2"/>
        <v>9500</v>
      </c>
      <c r="M24" s="43">
        <f t="shared" si="3"/>
        <v>9650</v>
      </c>
      <c r="N24" s="43">
        <f t="shared" si="3"/>
        <v>9800</v>
      </c>
      <c r="O24" s="106"/>
      <c r="P24" s="3"/>
      <c r="Q24" s="3"/>
    </row>
    <row r="25" spans="1:17">
      <c r="A25" s="51"/>
      <c r="B25" s="43">
        <v>41000001</v>
      </c>
      <c r="C25" s="43">
        <v>50000000</v>
      </c>
      <c r="D25" s="43">
        <f>10500*0.9</f>
        <v>9450</v>
      </c>
      <c r="E25" s="43">
        <f t="shared" si="0"/>
        <v>9450</v>
      </c>
      <c r="F25" s="43">
        <f t="shared" si="1"/>
        <v>9500</v>
      </c>
      <c r="G25" s="43">
        <f t="shared" si="1"/>
        <v>9550</v>
      </c>
      <c r="H25" s="43">
        <f t="shared" si="1"/>
        <v>9600</v>
      </c>
      <c r="I25" s="43">
        <f t="shared" si="1"/>
        <v>9650</v>
      </c>
      <c r="J25" s="43">
        <f t="shared" si="2"/>
        <v>9750</v>
      </c>
      <c r="K25" s="43">
        <f t="shared" si="2"/>
        <v>9850</v>
      </c>
      <c r="L25" s="43">
        <f t="shared" si="2"/>
        <v>9950</v>
      </c>
      <c r="M25" s="43">
        <f t="shared" si="3"/>
        <v>10100</v>
      </c>
      <c r="N25" s="43">
        <f t="shared" si="3"/>
        <v>10250</v>
      </c>
      <c r="O25" s="106"/>
      <c r="P25" s="3"/>
      <c r="Q25" s="3"/>
    </row>
    <row r="26" spans="1:17">
      <c r="A26" s="51"/>
      <c r="B26" s="43">
        <v>51000001</v>
      </c>
      <c r="C26" s="43">
        <v>60000000</v>
      </c>
      <c r="D26" s="43">
        <f>11000*0.9</f>
        <v>9900</v>
      </c>
      <c r="E26" s="43">
        <f t="shared" si="0"/>
        <v>9900</v>
      </c>
      <c r="F26" s="43">
        <f t="shared" si="1"/>
        <v>9950</v>
      </c>
      <c r="G26" s="43">
        <f t="shared" si="1"/>
        <v>10000</v>
      </c>
      <c r="H26" s="43">
        <f t="shared" si="1"/>
        <v>10050</v>
      </c>
      <c r="I26" s="43">
        <f t="shared" si="1"/>
        <v>10100</v>
      </c>
      <c r="J26" s="43">
        <f t="shared" si="2"/>
        <v>10200</v>
      </c>
      <c r="K26" s="43">
        <f t="shared" si="2"/>
        <v>10300</v>
      </c>
      <c r="L26" s="43">
        <f t="shared" si="2"/>
        <v>10400</v>
      </c>
      <c r="M26" s="43">
        <f t="shared" si="3"/>
        <v>10550</v>
      </c>
      <c r="N26" s="43">
        <f t="shared" si="3"/>
        <v>10700</v>
      </c>
      <c r="O26" s="106"/>
      <c r="P26" s="3"/>
      <c r="Q26" s="3"/>
    </row>
    <row r="27" spans="1:17">
      <c r="A27" s="51"/>
      <c r="B27" s="43">
        <v>61000001</v>
      </c>
      <c r="C27" s="43">
        <v>70000000</v>
      </c>
      <c r="D27" s="43">
        <f>11500*0.9</f>
        <v>10350</v>
      </c>
      <c r="E27" s="43">
        <f t="shared" si="0"/>
        <v>10350</v>
      </c>
      <c r="F27" s="43">
        <f t="shared" si="1"/>
        <v>10400</v>
      </c>
      <c r="G27" s="43">
        <f t="shared" si="1"/>
        <v>10450</v>
      </c>
      <c r="H27" s="43">
        <f t="shared" si="1"/>
        <v>10500</v>
      </c>
      <c r="I27" s="43">
        <f t="shared" si="1"/>
        <v>10550</v>
      </c>
      <c r="J27" s="43">
        <f t="shared" si="2"/>
        <v>10650</v>
      </c>
      <c r="K27" s="43">
        <f t="shared" si="2"/>
        <v>10750</v>
      </c>
      <c r="L27" s="43">
        <f t="shared" si="2"/>
        <v>10850</v>
      </c>
      <c r="M27" s="43">
        <f t="shared" si="3"/>
        <v>11000</v>
      </c>
      <c r="N27" s="43">
        <f t="shared" si="3"/>
        <v>11150</v>
      </c>
      <c r="O27" s="106"/>
      <c r="P27" s="3"/>
      <c r="Q27" s="3"/>
    </row>
    <row r="28" spans="1:17">
      <c r="A28" s="51"/>
      <c r="B28" s="43">
        <v>71000001</v>
      </c>
      <c r="C28" s="43">
        <v>80000000</v>
      </c>
      <c r="D28" s="43">
        <f>12000*0.9</f>
        <v>10800</v>
      </c>
      <c r="E28" s="43">
        <f t="shared" si="0"/>
        <v>10800</v>
      </c>
      <c r="F28" s="43">
        <f t="shared" si="1"/>
        <v>10850</v>
      </c>
      <c r="G28" s="43">
        <f t="shared" si="1"/>
        <v>10900</v>
      </c>
      <c r="H28" s="43">
        <f t="shared" si="1"/>
        <v>10950</v>
      </c>
      <c r="I28" s="43">
        <f t="shared" si="1"/>
        <v>11000</v>
      </c>
      <c r="J28" s="43">
        <f t="shared" si="2"/>
        <v>11100</v>
      </c>
      <c r="K28" s="43">
        <f t="shared" si="2"/>
        <v>11200</v>
      </c>
      <c r="L28" s="43">
        <f t="shared" si="2"/>
        <v>11300</v>
      </c>
      <c r="M28" s="43">
        <f t="shared" si="3"/>
        <v>11450</v>
      </c>
      <c r="N28" s="43">
        <f t="shared" si="3"/>
        <v>11600</v>
      </c>
      <c r="O28" s="106"/>
      <c r="P28" s="3"/>
      <c r="Q28" s="3"/>
    </row>
    <row r="29" spans="1:17">
      <c r="A29" s="51"/>
      <c r="B29" s="43">
        <v>81000001</v>
      </c>
      <c r="C29" s="43">
        <v>90000000</v>
      </c>
      <c r="D29" s="43">
        <f>12500*0.9</f>
        <v>11250</v>
      </c>
      <c r="E29" s="43">
        <f t="shared" si="0"/>
        <v>11250</v>
      </c>
      <c r="F29" s="43">
        <f t="shared" si="1"/>
        <v>11300</v>
      </c>
      <c r="G29" s="43">
        <f t="shared" si="1"/>
        <v>11350</v>
      </c>
      <c r="H29" s="43">
        <f t="shared" si="1"/>
        <v>11400</v>
      </c>
      <c r="I29" s="43">
        <f t="shared" si="1"/>
        <v>11450</v>
      </c>
      <c r="J29" s="43">
        <f t="shared" si="2"/>
        <v>11550</v>
      </c>
      <c r="K29" s="43">
        <f t="shared" si="2"/>
        <v>11650</v>
      </c>
      <c r="L29" s="43">
        <f t="shared" si="2"/>
        <v>11750</v>
      </c>
      <c r="M29" s="43">
        <f t="shared" si="3"/>
        <v>11900</v>
      </c>
      <c r="N29" s="43">
        <f t="shared" si="3"/>
        <v>12050</v>
      </c>
      <c r="O29" s="106"/>
      <c r="P29" s="3"/>
      <c r="Q29" s="3"/>
    </row>
    <row r="30" spans="1:17">
      <c r="A30" s="51"/>
      <c r="B30" s="43">
        <v>91000001</v>
      </c>
      <c r="C30" s="43">
        <v>100000000</v>
      </c>
      <c r="D30" s="43">
        <f>13000*0.9</f>
        <v>11700</v>
      </c>
      <c r="E30" s="43">
        <f t="shared" si="0"/>
        <v>11700</v>
      </c>
      <c r="F30" s="43">
        <f t="shared" ref="F30:I30" si="4">+E30+50</f>
        <v>11750</v>
      </c>
      <c r="G30" s="43">
        <f t="shared" si="4"/>
        <v>11800</v>
      </c>
      <c r="H30" s="43">
        <f t="shared" si="4"/>
        <v>11850</v>
      </c>
      <c r="I30" s="43">
        <f t="shared" si="4"/>
        <v>11900</v>
      </c>
      <c r="J30" s="43">
        <f t="shared" ref="J30:L30" si="5">+I30+100</f>
        <v>12000</v>
      </c>
      <c r="K30" s="43">
        <f t="shared" si="5"/>
        <v>12100</v>
      </c>
      <c r="L30" s="43">
        <f t="shared" si="5"/>
        <v>12200</v>
      </c>
      <c r="M30" s="43">
        <f t="shared" si="3"/>
        <v>12350</v>
      </c>
      <c r="N30" s="43">
        <f t="shared" si="3"/>
        <v>12500</v>
      </c>
      <c r="O30" s="106"/>
      <c r="P30" s="3"/>
      <c r="Q30" s="3"/>
    </row>
    <row r="31" spans="1:17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3"/>
      <c r="Q31" s="3"/>
    </row>
    <row r="32" spans="1:17" ht="15.75">
      <c r="A32" s="51"/>
      <c r="B32" s="73"/>
      <c r="C32" s="71" t="s">
        <v>52</v>
      </c>
      <c r="D32" s="72" t="s">
        <v>53</v>
      </c>
      <c r="E32" s="73"/>
      <c r="F32" s="73"/>
      <c r="G32" s="73"/>
      <c r="H32" s="73"/>
      <c r="I32" s="73"/>
      <c r="J32" s="51"/>
      <c r="K32" s="51"/>
      <c r="L32" s="51"/>
      <c r="M32" s="51"/>
      <c r="N32" s="51"/>
      <c r="O32" s="51"/>
      <c r="P32" s="3"/>
      <c r="Q32" s="3"/>
    </row>
    <row r="33" spans="1:17" ht="15.75">
      <c r="A33" s="51"/>
      <c r="B33" s="73"/>
      <c r="C33" s="128"/>
      <c r="D33" s="72" t="s">
        <v>54</v>
      </c>
      <c r="E33" s="73"/>
      <c r="F33" s="73"/>
      <c r="G33" s="73"/>
      <c r="H33" s="73"/>
      <c r="I33" s="73"/>
      <c r="M33" s="51"/>
      <c r="N33" s="51"/>
      <c r="O33" s="51"/>
      <c r="P33" s="3"/>
      <c r="Q33" s="3"/>
    </row>
    <row r="34" spans="1:17">
      <c r="A34" s="51"/>
      <c r="B34" s="95"/>
      <c r="C34" s="95"/>
      <c r="D34" s="95"/>
      <c r="M34" s="51"/>
      <c r="N34" s="51"/>
      <c r="O34" s="51"/>
      <c r="P34" s="3"/>
      <c r="Q34" s="3"/>
    </row>
    <row r="35" spans="1:17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</row>
    <row r="36" spans="1:17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</row>
    <row r="37" spans="1:17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</row>
    <row r="38" spans="1:17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</row>
    <row r="39" spans="1:17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</row>
    <row r="40" spans="1:17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</row>
    <row r="41" spans="1:17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</row>
    <row r="42" spans="1:17" ht="8.1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</row>
  </sheetData>
  <mergeCells count="5">
    <mergeCell ref="B10:C12"/>
    <mergeCell ref="D10:D12"/>
    <mergeCell ref="E10:N10"/>
    <mergeCell ref="B1:N1"/>
    <mergeCell ref="B2:N2"/>
  </mergeCells>
  <pageMargins left="0.7" right="0.7" top="0.75" bottom="0.75" header="0.3" footer="0.3"/>
  <pageSetup scale="7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AESORIA PM</vt:lpstr>
      <vt:lpstr>PM Y PFAE</vt:lpstr>
      <vt:lpstr>PF RIF</vt:lpstr>
      <vt:lpstr>PF ARRENDAMIENTO</vt:lpstr>
      <vt:lpstr>PF HONORARIOS</vt:lpstr>
      <vt:lpstr>CONSTRUCTORAS E INM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</dc:creator>
  <cp:lastModifiedBy>Castelan-006</cp:lastModifiedBy>
  <cp:lastPrinted>2021-05-27T21:20:01Z</cp:lastPrinted>
  <dcterms:created xsi:type="dcterms:W3CDTF">2018-02-08T17:48:21Z</dcterms:created>
  <dcterms:modified xsi:type="dcterms:W3CDTF">2021-08-09T22:13:56Z</dcterms:modified>
</cp:coreProperties>
</file>