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tcscomprod.sharepoint.com/sites/BancolombiaServiciosProfesionales/Shared Documents/General/2-SPB_Información_TCS/1.1 Dinamica/1.1.3 Gestión_Demanda/1.1.3.1 Gestión_Talentos/1.1 Seguimiento TA TCS Demanda SPB/"/>
    </mc:Choice>
  </mc:AlternateContent>
  <xr:revisionPtr revIDLastSave="1419" documentId="13_ncr:1_{F974BFB2-4AD7-43D6-8D6B-723813C3D336}" xr6:coauthVersionLast="47" xr6:coauthVersionMax="47" xr10:uidLastSave="{5B1C240E-AD1B-4BA3-937F-65A830556480}"/>
  <bookViews>
    <workbookView xWindow="-110" yWindow="-110" windowWidth="19420" windowHeight="10300" xr2:uid="{1407406E-FFAA-484B-995D-7C9077FBFB54}"/>
  </bookViews>
  <sheets>
    <sheet name="Candidatos" sheetId="1" r:id="rId1"/>
    <sheet name="Sheet2" sheetId="4" r:id="rId2"/>
    <sheet name="Sheet1" sheetId="3" r:id="rId3"/>
    <sheet name="RGS" sheetId="2" r:id="rId4"/>
    <sheet name="Sheet3" sheetId="5" r:id="rId5"/>
  </sheets>
  <definedNames>
    <definedName name="_xlnm._FilterDatabase" localSheetId="0" hidden="1">Candidatos!$A$1:$W$169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71" i="1" l="1"/>
  <c r="P170" i="1"/>
  <c r="P167" i="1" l="1"/>
  <c r="P164" i="1"/>
  <c r="P163" i="1"/>
  <c r="P161" i="1"/>
  <c r="P166" i="1"/>
  <c r="P165" i="1"/>
  <c r="P160" i="1" l="1"/>
  <c r="P159" i="1"/>
  <c r="P158" i="1"/>
  <c r="P151" i="1" l="1"/>
  <c r="P157" i="1" l="1"/>
  <c r="P156" i="1"/>
  <c r="P155" i="1"/>
  <c r="P154" i="1"/>
  <c r="P153" i="1"/>
  <c r="P149" i="1" l="1"/>
  <c r="P148" i="1" l="1"/>
  <c r="P147" i="1" l="1"/>
  <c r="P146" i="1" l="1"/>
  <c r="P145" i="1"/>
  <c r="P144" i="1"/>
  <c r="P143" i="1" l="1"/>
  <c r="P142" i="1"/>
  <c r="P141" i="1"/>
  <c r="P140" i="1"/>
  <c r="P139" i="1"/>
  <c r="P138" i="1"/>
  <c r="P137" i="1"/>
  <c r="P136" i="1"/>
  <c r="P135" i="1"/>
  <c r="P132" i="1" l="1"/>
  <c r="P131" i="1" l="1"/>
  <c r="K130" i="1" l="1"/>
  <c r="N130" i="1"/>
  <c r="M130" i="1"/>
  <c r="P130" i="1"/>
  <c r="P129" i="1" l="1"/>
  <c r="P128" i="1"/>
  <c r="P127" i="1"/>
  <c r="P126" i="1" l="1"/>
  <c r="P125" i="1" l="1"/>
  <c r="P124" i="1" l="1"/>
  <c r="P123" i="1" l="1"/>
  <c r="P122" i="1" l="1"/>
  <c r="P121" i="1" l="1"/>
  <c r="P120" i="1"/>
  <c r="P118" i="1" l="1"/>
  <c r="P119" i="1"/>
  <c r="P116" i="1" l="1"/>
  <c r="P115" i="1" l="1"/>
  <c r="P114" i="1" l="1"/>
  <c r="P113" i="1"/>
  <c r="P112" i="1" l="1"/>
  <c r="P111" i="1" l="1"/>
  <c r="P103" i="1" l="1"/>
  <c r="P110" i="1"/>
  <c r="P109" i="1"/>
  <c r="O108" i="1" l="1"/>
  <c r="P108" i="1"/>
  <c r="P106" i="1" l="1"/>
  <c r="P105" i="1"/>
  <c r="P102" i="1"/>
  <c r="P101" i="1"/>
  <c r="P100" i="1"/>
  <c r="P99" i="1"/>
  <c r="P97" i="1"/>
  <c r="P96" i="1"/>
  <c r="P95" i="1"/>
  <c r="P94" i="1"/>
  <c r="L93" i="1"/>
  <c r="P93" i="1"/>
  <c r="P91" i="1"/>
  <c r="P90" i="1" l="1"/>
  <c r="P89" i="1"/>
  <c r="P88" i="1" l="1"/>
  <c r="P30" i="1"/>
  <c r="P81" i="1"/>
  <c r="P79" i="1"/>
  <c r="P78" i="1"/>
  <c r="P77" i="1"/>
  <c r="P87" i="1"/>
  <c r="N82" i="1" l="1"/>
  <c r="M82" i="1"/>
  <c r="L82" i="1"/>
  <c r="K82" i="1"/>
  <c r="N83" i="1"/>
  <c r="M83" i="1"/>
  <c r="L83" i="1"/>
  <c r="K83" i="1"/>
  <c r="N84" i="1"/>
  <c r="M84" i="1"/>
  <c r="L84" i="1"/>
  <c r="K84" i="1"/>
  <c r="N85" i="1"/>
  <c r="M85" i="1"/>
  <c r="L85" i="1"/>
  <c r="K85" i="1"/>
  <c r="Q83" i="1" l="1"/>
  <c r="Q82" i="1"/>
  <c r="Q85" i="1"/>
  <c r="Q84" i="1"/>
  <c r="N86" i="1"/>
  <c r="M86" i="1"/>
  <c r="K86" i="1"/>
  <c r="Q86" i="1" s="1"/>
  <c r="P75" i="1" l="1"/>
  <c r="P74" i="1"/>
  <c r="P73" i="1"/>
  <c r="P76" i="1"/>
  <c r="M72" i="1"/>
  <c r="K72" i="1"/>
  <c r="Q67" i="1"/>
  <c r="Q66" i="1"/>
  <c r="P71" i="1"/>
  <c r="K71" i="1"/>
  <c r="M71" i="1"/>
  <c r="K70" i="1"/>
  <c r="P70" i="1"/>
  <c r="N70" i="1"/>
  <c r="P69" i="1" l="1"/>
  <c r="P68" i="1"/>
  <c r="P60" i="1"/>
  <c r="P67" i="1" l="1"/>
  <c r="P66" i="1"/>
  <c r="K65" i="1" l="1"/>
  <c r="M65" i="1"/>
  <c r="N65" i="1"/>
  <c r="P65" i="1"/>
  <c r="Q65" i="1" l="1"/>
  <c r="M63" i="1"/>
  <c r="P63" i="1"/>
  <c r="M62" i="1"/>
  <c r="K62" i="1"/>
  <c r="P62" i="1"/>
  <c r="P61" i="1"/>
  <c r="N61" i="1"/>
  <c r="K61" i="1"/>
  <c r="M61" i="1"/>
  <c r="N60" i="1"/>
  <c r="M60" i="1"/>
  <c r="K60" i="1"/>
  <c r="Q60" i="1" l="1"/>
  <c r="P59" i="1"/>
  <c r="K58" i="1" l="1"/>
  <c r="L58" i="1"/>
  <c r="P58" i="1"/>
  <c r="K57" i="1"/>
  <c r="P57" i="1"/>
  <c r="P56" i="1" l="1"/>
  <c r="M56" i="1"/>
  <c r="K56" i="1"/>
  <c r="P54" i="1" l="1"/>
  <c r="L54" i="1"/>
  <c r="P55" i="1" l="1"/>
  <c r="P53" i="1"/>
  <c r="L52" i="1"/>
  <c r="K52" i="1"/>
  <c r="P52" i="1"/>
  <c r="K42" i="1"/>
  <c r="M42" i="1"/>
  <c r="P42" i="1"/>
  <c r="P41" i="1"/>
  <c r="M41" i="1"/>
  <c r="K41" i="1"/>
  <c r="P40" i="1"/>
  <c r="K40" i="1"/>
  <c r="M40" i="1"/>
  <c r="M39" i="1"/>
  <c r="K39" i="1"/>
  <c r="P39" i="1"/>
  <c r="M38" i="1" l="1"/>
  <c r="K38" i="1"/>
  <c r="P38" i="1"/>
  <c r="P34" i="1"/>
  <c r="P36" i="1" l="1"/>
  <c r="P37" i="1"/>
  <c r="P35" i="1"/>
  <c r="P33" i="1"/>
  <c r="P31" i="1"/>
  <c r="P27" i="1"/>
  <c r="P29" i="1"/>
  <c r="P28" i="1"/>
  <c r="P26" i="1"/>
  <c r="P25" i="1"/>
  <c r="P24" i="1"/>
  <c r="P23" i="1"/>
  <c r="P22" i="1"/>
  <c r="P32" i="1"/>
  <c r="P21" i="1" l="1"/>
  <c r="P20" i="1" l="1"/>
  <c r="P19" i="1" l="1"/>
  <c r="P18" i="1"/>
  <c r="P10" i="1" l="1"/>
  <c r="M16" i="1"/>
  <c r="N16" i="1"/>
  <c r="K16" i="1"/>
  <c r="M15" i="1"/>
  <c r="N15" i="1"/>
  <c r="K15" i="1"/>
  <c r="N14" i="1"/>
  <c r="M14" i="1"/>
  <c r="K14" i="1"/>
  <c r="Q14" i="1" l="1"/>
  <c r="Q15" i="1"/>
  <c r="Q16" i="1"/>
  <c r="Q9" i="1"/>
  <c r="Q4" i="1"/>
  <c r="Q5" i="1"/>
  <c r="Q2" i="1"/>
  <c r="P7" i="1"/>
  <c r="P6" i="1" l="1"/>
  <c r="P8" i="1"/>
  <c r="Q3" i="1"/>
</calcChain>
</file>

<file path=xl/sharedStrings.xml><?xml version="1.0" encoding="utf-8"?>
<sst xmlns="http://schemas.openxmlformats.org/spreadsheetml/2006/main" count="972" uniqueCount="436">
  <si>
    <t>Mes</t>
  </si>
  <si>
    <t>Solicitud</t>
  </si>
  <si>
    <t>Estado Posición</t>
  </si>
  <si>
    <t>Cedula</t>
  </si>
  <si>
    <t>Aspirante</t>
  </si>
  <si>
    <t>Estado Proceso</t>
  </si>
  <si>
    <t>Interno/Externo</t>
  </si>
  <si>
    <t>Perfil</t>
  </si>
  <si>
    <t>Exp Años</t>
  </si>
  <si>
    <t>Ubicación</t>
  </si>
  <si>
    <t>Ing.Software</t>
  </si>
  <si>
    <t>Fluteer</t>
  </si>
  <si>
    <t>Java/iseries</t>
  </si>
  <si>
    <t>Automatiza</t>
  </si>
  <si>
    <t>Matriz Pruebas</t>
  </si>
  <si>
    <t>Promedio</t>
  </si>
  <si>
    <t>Ref</t>
  </si>
  <si>
    <t>Entrevista HR</t>
  </si>
  <si>
    <t>Entrevista Management</t>
  </si>
  <si>
    <t>Entrevista Técnica</t>
  </si>
  <si>
    <t>AS</t>
  </si>
  <si>
    <t>Dispensación</t>
  </si>
  <si>
    <t>Abril</t>
  </si>
  <si>
    <t>Natalia Diaz Serrano</t>
  </si>
  <si>
    <t>Aprobado</t>
  </si>
  <si>
    <t>Angel Eduardo Marin</t>
  </si>
  <si>
    <t>Descartado</t>
  </si>
  <si>
    <t>Cesar Andres Garcia Posada</t>
  </si>
  <si>
    <t>Henry Javier Almarza Cañizalez</t>
  </si>
  <si>
    <t>42% en pagina - AWS bajito</t>
  </si>
  <si>
    <t>Kevin Esteban Gutierrez Gutierrez</t>
  </si>
  <si>
    <t>AWS bajito</t>
  </si>
  <si>
    <t>Desistimiento</t>
  </si>
  <si>
    <t>Alvaro Jose Angulo Basilio</t>
  </si>
  <si>
    <t>Preseleccionado</t>
  </si>
  <si>
    <t>EXTERNO</t>
  </si>
  <si>
    <t>AUTOMATIZADOR DE PRUEBAS</t>
  </si>
  <si>
    <t>Luisa Fernanda Fernandez Perez</t>
  </si>
  <si>
    <t>Mayo</t>
  </si>
  <si>
    <t>Yamid Cueto</t>
  </si>
  <si>
    <t>José Tortello Montesino</t>
  </si>
  <si>
    <t>Presentado</t>
  </si>
  <si>
    <t>Backend AS400</t>
  </si>
  <si>
    <t>Jorge Velez</t>
  </si>
  <si>
    <t>Ramiro Villanueva</t>
  </si>
  <si>
    <t>Fabian Eduardo Chaparro</t>
  </si>
  <si>
    <t>Alex Dair Carrillo Ortiz</t>
  </si>
  <si>
    <t>Externo</t>
  </si>
  <si>
    <t>DESARROLLOS FULL-STACK SEMI-SENIOR</t>
  </si>
  <si>
    <t>Ivan Hernandez</t>
  </si>
  <si>
    <t>Interno</t>
  </si>
  <si>
    <t>No conoce de elixir</t>
  </si>
  <si>
    <t>Andrew Ramirez Guzman</t>
  </si>
  <si>
    <t>Juan Llorente</t>
  </si>
  <si>
    <t>Automatización Semi Senior</t>
  </si>
  <si>
    <t>Hector David Vergara Triana</t>
  </si>
  <si>
    <t>Experiencia en POM</t>
  </si>
  <si>
    <t>Andres Felipe Guzman Cruz</t>
  </si>
  <si>
    <t>Anderson Felipe Herrera Tabares</t>
  </si>
  <si>
    <t>Rechazado Bco</t>
  </si>
  <si>
    <t>Automatización Senior</t>
  </si>
  <si>
    <t>Andres Felipe Maragua Barrios</t>
  </si>
  <si>
    <t>Entrevista</t>
  </si>
  <si>
    <t>Desarrollador Mobile Senior</t>
  </si>
  <si>
    <t xml:space="preserve">	Mauricio Andres Pacheco Perez</t>
  </si>
  <si>
    <t>Jonathan David Poveda Madariaga</t>
  </si>
  <si>
    <t>Abraham Mosquera Mosquera </t>
  </si>
  <si>
    <t>Desarrollador Backend Senior</t>
  </si>
  <si>
    <t>60,27%</t>
  </si>
  <si>
    <t>Jhony Gabriel Quintero Gomez</t>
  </si>
  <si>
    <t>Edison Velandia</t>
  </si>
  <si>
    <t>Juan Diego Tovar Rodriguez</t>
  </si>
  <si>
    <t>Hernan Romero Lopez</t>
  </si>
  <si>
    <t>Diego Alejandro Torrez Diaz</t>
  </si>
  <si>
    <t>Automatizador Senior</t>
  </si>
  <si>
    <t>Daniel Gustavo Alzate Urbano</t>
  </si>
  <si>
    <t>César Augusto Agudelo Holguín</t>
  </si>
  <si>
    <t>Junio</t>
  </si>
  <si>
    <t>Michael Cano Lopez</t>
  </si>
  <si>
    <t>Juan Andres Lopez Avila</t>
  </si>
  <si>
    <t>Entrevista- SemiSenior</t>
  </si>
  <si>
    <t>Alexander Alberto Muñoz Coneo</t>
  </si>
  <si>
    <t>Entrevista - Seniro</t>
  </si>
  <si>
    <t>Johjan Baquero Martinez</t>
  </si>
  <si>
    <t>Diego Armando Amezquita Perdomo</t>
  </si>
  <si>
    <t>Edgar Ricardo Hernandez Fonseca</t>
  </si>
  <si>
    <t>$6.500.000</t>
  </si>
  <si>
    <t>Jarold Ruge Prieto</t>
  </si>
  <si>
    <t>$4.500.000</t>
  </si>
  <si>
    <t>Christian Andres Morales Mera</t>
  </si>
  <si>
    <t>Alan Marquez Escorcia</t>
  </si>
  <si>
    <t>$6.000.000</t>
  </si>
  <si>
    <t>Andres Felipe Garcia Molina</t>
  </si>
  <si>
    <t>Desarrollador Backend Semi-Senior Cobol</t>
  </si>
  <si>
    <t>Diego Yesid Callejas Sarmiento</t>
  </si>
  <si>
    <t>Postulado</t>
  </si>
  <si>
    <t>Cerrada</t>
  </si>
  <si>
    <t>Yudi Adriana Mendoza Vesga</t>
  </si>
  <si>
    <t>QA Salesforce</t>
  </si>
  <si>
    <t>Sin candidatos</t>
  </si>
  <si>
    <t>No participamos</t>
  </si>
  <si>
    <t>Desarrollador Fulstack Senior</t>
  </si>
  <si>
    <t>Open</t>
  </si>
  <si>
    <t>Rosa Angulo Rangel</t>
  </si>
  <si>
    <t>Desarrollador Salesforce Senior</t>
  </si>
  <si>
    <t>Medellín</t>
  </si>
  <si>
    <t>No Tenemos</t>
  </si>
  <si>
    <t>Maria Arias Betancour</t>
  </si>
  <si>
    <t>Nestor Perdomo</t>
  </si>
  <si>
    <t>CE882210</t>
  </si>
  <si>
    <t>Jesus David Cardona</t>
  </si>
  <si>
    <t>Manizales</t>
  </si>
  <si>
    <t>Veronica Rujano</t>
  </si>
  <si>
    <t>Automatizador de Pruebas</t>
  </si>
  <si>
    <t>Julio</t>
  </si>
  <si>
    <t>Automatizador de Pruebas Semi-Senior</t>
  </si>
  <si>
    <t>Automatizador de Pruebas Senior</t>
  </si>
  <si>
    <t>Sergio Rodriguez Ruiz</t>
  </si>
  <si>
    <t>Bogota</t>
  </si>
  <si>
    <t>David Vela</t>
  </si>
  <si>
    <t>Kevin Alberto Alvarez Osorio</t>
  </si>
  <si>
    <t>On-Hold</t>
  </si>
  <si>
    <t>Banco</t>
  </si>
  <si>
    <t xml:space="preserve">GPM </t>
  </si>
  <si>
    <t>Fecha Ingreso TCS</t>
  </si>
  <si>
    <t>CIRO ALFONSO SANTANA PEREZ</t>
  </si>
  <si>
    <t>Andrés Felipe Maragua Barrios</t>
  </si>
  <si>
    <t>DESARROLLOS MOBILE SENIOR</t>
  </si>
  <si>
    <t>Jairo Orlando Grande Castro</t>
  </si>
  <si>
    <t>Juan David Toro</t>
  </si>
  <si>
    <t>83,75%</t>
  </si>
  <si>
    <t>72,37%</t>
  </si>
  <si>
    <t>Elkin Londoño Diaz</t>
  </si>
  <si>
    <t>76,71%</t>
  </si>
  <si>
    <t>DESARROLLOS BACK-END SENIOR</t>
  </si>
  <si>
    <t>RGS</t>
  </si>
  <si>
    <t>Fecha Registro</t>
  </si>
  <si>
    <t>Tipo</t>
  </si>
  <si>
    <t>Estado</t>
  </si>
  <si>
    <t>80,26%</t>
  </si>
  <si>
    <t>Desarrollador FullStack Semi Senior</t>
  </si>
  <si>
    <t>Alfredo Junior Paez Nuñez</t>
  </si>
  <si>
    <t>Carlos Octavio Alvarez Sierra</t>
  </si>
  <si>
    <t>86,75%</t>
  </si>
  <si>
    <t>No sabe My  extra</t>
  </si>
  <si>
    <t>Jesus Bernardo Mendoza Romero</t>
  </si>
  <si>
    <t>Analista Performance</t>
  </si>
  <si>
    <t>Claudio Andres Giraldo Manrique </t>
  </si>
  <si>
    <t>Agosto</t>
  </si>
  <si>
    <t>Santiago Betancur Villegas</t>
  </si>
  <si>
    <t>Daniel Aristizabal Castaño</t>
  </si>
  <si>
    <t>Weiner Andres Valencia Gonzalez</t>
  </si>
  <si>
    <t>Desarrollador Fullstack Semi-Senior</t>
  </si>
  <si>
    <t>Johanna Lorena Alfonso</t>
  </si>
  <si>
    <t>Edyson Fabian Leal Marin</t>
  </si>
  <si>
    <t>Jose Maria Perez Yañez</t>
  </si>
  <si>
    <t> 87,95%</t>
  </si>
  <si>
    <t>72,29%</t>
  </si>
  <si>
    <t>78,08%</t>
  </si>
  <si>
    <t>Arquitecto Cloud</t>
  </si>
  <si>
    <t>Abierto</t>
  </si>
  <si>
    <t>Wilfredo Gonzalez Ortiz</t>
  </si>
  <si>
    <t>Juldor Jessel Carreño  Salcedo</t>
  </si>
  <si>
    <t xml:space="preserve">Desarrollador SOA-API Semi-Senior </t>
  </si>
  <si>
    <t>Andres Mauricio Gallego Herrera</t>
  </si>
  <si>
    <t xml:space="preserve">Desarrollador Fullstack Semi-Senior </t>
  </si>
  <si>
    <t>82,74%</t>
  </si>
  <si>
    <t>Eliecer Enrique Ruiz Rodriguez</t>
  </si>
  <si>
    <t>Sebastian Palacio Cañar</t>
  </si>
  <si>
    <t>Eimer Antonio Sanchez Carreño</t>
  </si>
  <si>
    <t>David Fernando Diaz Salgado</t>
  </si>
  <si>
    <t>Esteban Valencia Velandia</t>
  </si>
  <si>
    <t>Ana Carolina Doria Moreno </t>
  </si>
  <si>
    <t>Analista de Pruebas Performance</t>
  </si>
  <si>
    <t>Nicolas Ardila Fajardo</t>
  </si>
  <si>
    <t>Luis Miguel Hernandez Montes</t>
  </si>
  <si>
    <t>Andres Felipe Cruz Sanchez</t>
  </si>
  <si>
    <t>John Anderson Calderon Figueroa</t>
  </si>
  <si>
    <t>Nelly Alejandra Reina Buitrago</t>
  </si>
  <si>
    <t>82,5%</t>
  </si>
  <si>
    <t>72,5%</t>
  </si>
  <si>
    <t>Otro Cliente</t>
  </si>
  <si>
    <t>Seleccionado</t>
  </si>
  <si>
    <t>Alex Carrillo</t>
  </si>
  <si>
    <t>Sebastian Palacio</t>
  </si>
  <si>
    <t>Johanna Alfonso</t>
  </si>
  <si>
    <t>Jose Maria Perez</t>
  </si>
  <si>
    <t>Andres Gallego</t>
  </si>
  <si>
    <t>DESARROLLOS FULL-STACK SENIOR</t>
  </si>
  <si>
    <t>Camilo Esteban Obando Reyes</t>
  </si>
  <si>
    <t>DESARROLLOS BACK-END SEMI-SENIOR AS400</t>
  </si>
  <si>
    <t>Andres Javier Sanchez Barrera</t>
  </si>
  <si>
    <t>Descartado Banco</t>
  </si>
  <si>
    <t>Paul</t>
  </si>
  <si>
    <t>Paula Roldan</t>
  </si>
  <si>
    <t>VENTO</t>
  </si>
  <si>
    <t>SKILLS</t>
  </si>
  <si>
    <t>NAME</t>
  </si>
  <si>
    <t>ASPIRACION SALARIAL</t>
  </si>
  <si>
    <t>AUTOMATIZACIÓN DE PRUEBAS SENIOR ID: 3,196</t>
  </si>
  <si>
    <t>Java SE 4 años, SQL 5 años, PostgreSQL 2 años, AWS DynamoDB 0 años, FRAMEWORK DE AUTOMATIZACION: SERENITY 4 años, Patrón de diseño ScreenPlay 4 años , Gherkin / Cucumber 4 años , AWS RDS, Rest services, AWS, BD Aurora 0 años , SQL Server 4 años</t>
  </si>
  <si>
    <t>Andres Rodriguez Pisa</t>
  </si>
  <si>
    <t>$6.000.000 a $6.500.000</t>
  </si>
  <si>
    <t>ava SE 4.5, SQL 1, PostgreSQL 6 meses, AWS DynamoDB 9 meses, FRAMEWORK DE AUTOMATIZACION: SERENITY 4ños, Patrón de diseño ScreenPlay 9 meses, Gherkin / Cucumber 4 años, AWS RDS 0, Rest services 1 año, AWS 9 meses, BD Aurora 0 , SQL Server 3 meses</t>
  </si>
  <si>
    <t>Yesica Yazmin Rendon Ruiz</t>
  </si>
  <si>
    <t>$5.500.000</t>
  </si>
  <si>
    <t>DESARROLLOS MOBILE SENIOR ID: 3,203</t>
  </si>
  <si>
    <t>Dart 3 años, JavaScript 3 años, SQLite 3 años , SQL Server conocimiento, Artifactory conocimiento, SWIFT 3 años, NoSQL/Bases de datos no relacionales 3 años, Flutter 3 años, Mockito, Git 3 años, Postman  3 años</t>
  </si>
  <si>
    <t>Juan Pablo Gonzalez Ramos</t>
  </si>
  <si>
    <t>Automatizador de Pruebas Senior ID: 3,196</t>
  </si>
  <si>
    <t>Java SE (5 años) SQL (5años) DB2 (3 años) PostgreSQL (4 año), Serenity (4 años), BDD Framework (5 años), Micro Focus Extra! X-treme (MyExtra) (3 años), Patrón de diseño ScreenPlay (5 años) Gherkin / Cucumber (55años), AWS (2) Selenium,(5 años) Appium (4 años)</t>
  </si>
  <si>
    <t>DynamoDB (Conocimientos) PostgreSQL, Karate Framework (2 años) DevOps (4 años) Kobiton (Conocimiento)  GraphQL (2 años), Postman (5 años)</t>
  </si>
  <si>
    <t>Manuel Fernando Guiza Cubides</t>
  </si>
  <si>
    <t>DESARROLLOS BACK-END SENIOR ID: 3,207 (Elixir)</t>
  </si>
  <si>
    <t>Java Se - 6 años, Elixir - 1 año PostgreSQL - 5 años AWS - 3 años y medio DynamoDB - 3 años y medio Spring Boot - 5 años Spring Cloud - 3 años Artifactory - 3 años OAuth 2.0 - 3 años Azure Active Directory - 3 años Kubernetes - 3 años Git - 7 años Gradle - 6 años JAVA Reactivo - 5 años Event-driven Architecture (EDA) - 3 años SOLID - 5 años Docker - 5 años Análisis Estático (SonarQube) - 3 años Conocimiento en AWS (Contenerización de aplicaciones, telemetria, logs, etc). - 4 años DevOps - 3 años Python - 3 años</t>
  </si>
  <si>
    <t>Oscar Andres Sepulveda Perez</t>
  </si>
  <si>
    <t>$7.500.000</t>
  </si>
  <si>
    <t>DESARROLLOS BACK-END SENIOR ID: 3,208 (Elixir)</t>
  </si>
  <si>
    <t>Java SE = + 3.5 años Elixir = 1 año PostgreSQL = 3 años AWS = 1 año DynamoDB = 3 años Spring Boot = 3.5 años Spring Cloud = 2 años SWIFT = 0 Artifactory = 1.5 años OAuth 2.0 = 2 años Azure Active Directory = 2 años Kubernetes = 1 año WAS = 1 año Git = +4 años Gradle = 1.5  años JAVA REACTIVO = 1 año Event-driven Architecture (EDA) = 1 año SOLID = + 4 años DOCKER = 1.5 años Análisis Estático (SonarQube) = 2 años Conocimiento en AWS (Contenerización de aplicaciones, telemetria, logs, etc). = 1.5 años DevOps = 1.5 años Python con django (Opcional). = Python, nativo - 7 meses</t>
  </si>
  <si>
    <t>$7.000.000</t>
  </si>
  <si>
    <t>DESARROLLOS MOBILE SENIOR ID: 3,210</t>
  </si>
  <si>
    <t>Dart 5 años, JavaScript 4 años, SQLite 4 años, SQL Server 1 año, Artifactory 3 años, SWIFT 5 meses, NoSQL/Bases de datos no relacionales 4 años, Flutter 5 años, Mockito 4 años, Git 5 años, Postman 5 años</t>
  </si>
  <si>
    <t>DESARROLLOS MOBILE SENIOR ID: 3,216</t>
  </si>
  <si>
    <t>Dart 4 años, JavaScript 2 años, SQLite 4 años, SQL Server 2 años, Artifactory 1año, SWIFT 1 año, NoSQL/Bases de datos no relacionales 2 años, Flutter 4 años, Mockito 4 años, Git 4 años, Postman  4 años</t>
  </si>
  <si>
    <t>Dart 3 años, JavaScript 1 año, SQLite 2 años, SQL Server 6 meses, Artifactory 8 meses, SWIFT conocimiento, NoSQL/Bases de datos no relacionales conocimiento, Flutter 3 años, Mockito 2 años, Git 3 años, Postman  2 años</t>
  </si>
  <si>
    <t>1.  DESARROLLOS BACK-END SENIOR ID: 3,215 (Reemplazo Diego Amezquita)</t>
  </si>
  <si>
    <t>2. DESARROLLOS BACK-END SENIOR ID: 3,211</t>
  </si>
  <si>
    <t>Alfonso Ballesteros Hernandez</t>
  </si>
  <si>
    <t>Java SE - 4 años AWS - 4 años DynamoDB - 3 años PostgreSQL - 4 años Spring Boot - 4 años Spring Web - 4 años Artifactory - 4 años Pruebas Unitarias - 3 años Pruebas de Performance - 2 años Kubernetes - 2 años Docker - 4 años RabbitMQ - 3 años Git - 4 años junit - 3 años Mockito - 3 años Karate Gradle - 3 años Jmeter - 2 años Programacion Reactiva - 3 años DevOps - 4 años CleanArchitecture - 3 años Cleancode - 3 años Sonar - 2 años Solid - 3 años swagger - 4 años Servicios Rest - 4 años Postman - 4 años SonarQube - 2 años</t>
  </si>
  <si>
    <t>esarrollador Mobile Senior ID: 3,210</t>
  </si>
  <si>
    <t>Jose Alejandro Grande Castro</t>
  </si>
  <si>
    <t>Desarrollador Mobile Senior ID: 3,210</t>
  </si>
  <si>
    <t>Lino Alfonso Mena</t>
  </si>
  <si>
    <t>$9.000.000</t>
  </si>
  <si>
    <t>Dart  - 4 años
Flutter  -4 años
SQL Server - 1 año
SQLite,  - 3 años
Artifactory - ninguno
Git,  -  4 años
Android Studio  - 2 años
iOS  - 6 meses
Selenium - 1 años
Programa de Interoperabilidad - 0
Ingeniero desarrollo App Movil (futter)  - 4 años
DevOps - 6 meses
EKS - 6 meses
Metodología Agil - 4 años
Despliegue de aplicaciones en la nube  - 4 años
Swift - 6 meses
Postman  - 4 años
Mockito  - 0
Git  - 4 años
AWS - 6 meses</t>
  </si>
  <si>
    <t>Dart.                   4.5 años
Flutter                4.5 años
SQL Server        1 año
SQLite                5 años
Artifactory conocimiento
Git                       6 años
Android Studio 6 años
iOS.                     5 años
Selenium conocimiento
Programa de Interoperabilidad conocimiento
Ingeniero desarrollo App Movil (futter)        4.5 años
DevOps conocimiento
EKS conocimiento
Metodología Agil  6 años
Despliegue de aplicaciones en la nube 5 años</t>
  </si>
  <si>
    <t>AUTOMATIZACIÓN DE PRUEBAS SENIOR</t>
  </si>
  <si>
    <t>69,23%</t>
  </si>
  <si>
    <t>Entrevista TA</t>
  </si>
  <si>
    <t>Septiembre</t>
  </si>
  <si>
    <t>Descartada (Exp)</t>
  </si>
  <si>
    <t xml:space="preserve">DESARROLLOS MOBILE SENIOR </t>
  </si>
  <si>
    <t> 63,16%</t>
  </si>
  <si>
    <t>Entrevista TA( x exp aplica a semisenior)</t>
  </si>
  <si>
    <t>Automatizador de Pruebas Senior-my Extra</t>
  </si>
  <si>
    <t>87,69%</t>
  </si>
  <si>
    <t>DESARROLLOS BACK-END SENIOR elixir</t>
  </si>
  <si>
    <t>76,32%</t>
  </si>
  <si>
    <t>Detallar CV</t>
  </si>
  <si>
    <t>Descartado (Exp)</t>
  </si>
  <si>
    <t xml:space="preserve">DESARROLLOS BACK-END SENIOR </t>
  </si>
  <si>
    <t>71,23%</t>
  </si>
  <si>
    <t>Entrevista TA- Pedir capacitación en Programa de Interoperabilidad</t>
  </si>
  <si>
    <t>Entrevista TA (tiene conocimiento en Programa de Interoperabilidad )- Solicitar detalle de funciones de CV</t>
  </si>
  <si>
    <t>Fabian Esteban Gonzalez Bernal</t>
  </si>
  <si>
    <t>DESARROLLOS BACK-END SENIOR ID: 3,215 (Reemplazo Diego Amezquita)</t>
  </si>
  <si>
    <t>Java SE - 7 años AWS - 3 años DynamoDB - 1 año PostgreSQL - 5 años Spring Boot - 5 años Spring Web - 5 años Artifactory - Pruebas Unitarias - 5 años Pruebas de Performance - 3 años Kubernetes - 5 años Docker - 5 años RabbitMQ - 1 año Git - 5 años junit - 5 años Mockito - 5 años Karate - 0 años Gradle - 3 años Jmeter - 2 años Programacion Reactiva - 1 año DevOps - 1 año CleanArchitecture - 5 años Cleancode - 5 años Sonar - 5 años Solid - 5 años swagger - 3 años Servicios Rest - 7 años Postman - 7 años</t>
  </si>
  <si>
    <t>Johanna Lorena Alfonso Pedreros</t>
  </si>
  <si>
    <t>Java SE  - 2 años AWS - sin experiencia DynamoDB - sin experiencia PostgreSQL  - 5 años Spring Boot - 3 años Spring Web - 3 años Artifactory - sin experiencia Pruebas Unitarias - 3 años Pruebas de Performance - sin experiencia Kubernetes - sin experiencia Docker - sin experiencia RabbitMQ  - 1 año Git - 5 años junit  - 1 año Mockito - 2 años Karate - sin experiencia Gradle - 3 años Jmeter - sin experiencia Programacion Reactiva  - 1 año DevOps - 1 año CleanArchitecture - sin experiencia Cleancode - 3 años Sonar - 3 años Solid - 3 años swagger - 2 años Servicios Rest - 4 años Postman - 5 años</t>
  </si>
  <si>
    <t>Descartado X AWS</t>
  </si>
  <si>
    <t>Java SE 6 años AWS 1 año PostgreSQL 3 años Spring Boot 5 años Spring Web 5 años Pruebas Unitarias 4 años Docker 1 año RabbitMQ 1 año Git 5 años junit 5 años Mockito 4 años Programacion Reactiva 1 año CleanArchitecture 1 año Cleancode 1 año Sonar 1 año Solid 3 años swagger 3 años Servicios Rest 5 años Postman 4 años Elixir 1 año SonarQube 2 años</t>
  </si>
  <si>
    <t>Entrevista ( postular como Semi Senior)</t>
  </si>
  <si>
    <t>DESARROLLOS BACK-END SENIOR Elixir</t>
  </si>
  <si>
    <t>Repetir matriz</t>
  </si>
  <si>
    <t>Postular</t>
  </si>
  <si>
    <t>Java SE:  4 
AWS: 1
DynamoDB: 05
PostgreSQL: 3
Spring Boot: 3.5
Spring Web: 3.5
Artifactory: 2
Pruebas Unitarias: 3
Pruebas de Performance: 2
Kubernetes: 1
Docker: 1.5
RabbitMQ: 0.5
Git: 3.5
junit: 3
Mockito: 3
Karate: 0.4
Gracle: 3
Jmeter: 1
Programacion Reactiva: 1
DevOps: 2.5
CleanArchitecture: 3
Cleancode: 3
Sonar: 2.5
Solid: 2.5
swagger: 2
Servicios Rest: 3.5
Postman: 3.5</t>
  </si>
  <si>
    <t>Juan Andres lopez</t>
  </si>
  <si>
    <t>OK pruebas Santiago Sanchez y Juandavid Gonzalez</t>
  </si>
  <si>
    <t>pendiente feeback si avanzamos con entrevista HR</t>
  </si>
  <si>
    <t>Santiago Sanchez</t>
  </si>
  <si>
    <t>Rodrigo Alfredo Castiblanco Pardo</t>
  </si>
  <si>
    <t xml:space="preserve">Jhon Alexander Zuluaga </t>
  </si>
  <si>
    <t>Juan Pablo Gonzalez</t>
  </si>
  <si>
    <t>Desarrollador Mobile</t>
  </si>
  <si>
    <t>78,75%</t>
  </si>
  <si>
    <t>Dart 3 años, JavaScript 3 años, SQLite 3 años , SQL Server conocimiento, Artifactory conocimiento, SWIFT 3 años, NoSQL/Bases de datos no relacionales 3 años, Flutter 3 años, Mockito, Git 3 años, Postman  3 años</t>
  </si>
  <si>
    <t xml:space="preserve">Dart : 4 años
Flutter : 4 años
SQL Server : 2 años
SQLite : conocimiento
Artifactory
Git,
Android Studio : conocimiento, tengo toda la teoría pero nunca me ha tocado hacer desarrollo nativo
iOS : conocimiento, hasta el momento no he tenido que tirar nativo
Selenium : conocimiento
Programa de Interoperabilidad : toda mi carrera, 8 años
Ingeniero desarrollo App Movil (futter) 4 años
DevOps : implementando con mobile 4 años, con otros lenguajes como Java solo tengo conocimiento
EKS : no tengo conocimiento
Metodología Agil : 8 años en scrum y Kanvas
Despliegue de aplicaciones en la nube : 6 años
Swift
Postman :  8 años
Mockito : lo trabajé cuando estuve desarrollando en Java, 4 años
Git : 8 años
AWS : 6 años
 </t>
  </si>
  <si>
    <t>Jhon Zuluaga</t>
  </si>
  <si>
    <t>9´000´000</t>
  </si>
  <si>
    <t>Onhold -Salario</t>
  </si>
  <si>
    <t>Java SE: 5 años
AWS: 3 años
DynamoDB:no
SQL Server: 5 años
Spring Boot: 5 años
Artifactory: conocimiento
SOLID: 5 años
Kubernetes - Docker: 4 años
Pruebas Unitarias: 5 años
Git: 5 años
Gradle: conocimiento 
PostgreSQL: 5
Apache Kafka: conocimiento
Arquitectura Limpia: 3 años
Programacion Reactiva: 4 años</t>
  </si>
  <si>
    <t>Duvier Zuniga</t>
  </si>
  <si>
    <t>Java SE: 5 años
AWS: 1 año y 4 en azure
DynamoDB: 6 meses
SQL Server: 5 años
Spring Boot: 5 años
Artifactory: 2 años
SOLID: 5 años
Kubernetes - Docker: 2 años
Pruebas Unitarias: 5 años
Git: 5 años
Gradle: conocimiento 
PostgreSQL: 5 años
Apache Kafka: 6 meses
Arquitectura Limpia: 3 años
Programacion Reactiva: 4 años
Python: 2 años</t>
  </si>
  <si>
    <t>Kelly Tobon</t>
  </si>
  <si>
    <t>8000000 -9000000</t>
  </si>
  <si>
    <t>Luis Fernando Yepes) </t>
  </si>
  <si>
    <t>(Duvier Zuniga</t>
  </si>
  <si>
    <t>51,78%</t>
  </si>
  <si>
    <t> 65,79%</t>
  </si>
  <si>
    <t>Java SE 3 años, SQL 2 años, PostgreSQL 2 años, AWS DynamoDB 1.6 años, FRAMEWORK DE AUTOMATIZACION: SERENITY 3 años, Patrón de diseño ScreenPlay 3 años, Gherkin / Cucumber 3 años, AWS RDS 0, Rest services 3 años, AWS 1.6 años, BD Aurora 0 , SQL Server 2 años</t>
  </si>
  <si>
    <t>Rodrigo Castiblanco</t>
  </si>
  <si>
    <t>99,18%</t>
  </si>
  <si>
    <t>Freddy Solarte)</t>
  </si>
  <si>
    <t>kelly Tobon</t>
  </si>
  <si>
    <t>Francisco Javier Guerrero Peláez</t>
  </si>
  <si>
    <t>Angela Maria Muñoz</t>
  </si>
  <si>
    <t>78,46%</t>
  </si>
  <si>
    <t>Automatizador de Pruebas Senior- My Extra</t>
  </si>
  <si>
    <t>Daniel Felipe Duarte Castañeda</t>
  </si>
  <si>
    <t>entrevista TA</t>
  </si>
  <si>
    <t>Descartado Técnicamente</t>
  </si>
  <si>
    <t>Jairo Andres Portela Cortes</t>
  </si>
  <si>
    <t xml:space="preserve"> Cristhian David Velez Torres</t>
  </si>
  <si>
    <t>Desarrollador Mobile senIOR</t>
  </si>
  <si>
    <t>Bryant Moncad</t>
  </si>
  <si>
    <t>Esting Alexis Puerta Perez</t>
  </si>
  <si>
    <t> 93,15%</t>
  </si>
  <si>
    <t> 72,29%</t>
  </si>
  <si>
    <t>Angular/python</t>
  </si>
  <si>
    <t>86,84%</t>
  </si>
  <si>
    <t>Descartado Tecnicamente</t>
  </si>
  <si>
    <t>Santiago Arredondo</t>
  </si>
  <si>
    <t>AUTOMATIZACIÓN DE PRUEBAS SEMI-SENIOR</t>
  </si>
  <si>
    <t> 78,46%</t>
  </si>
  <si>
    <t>Diego Esteban Ibañez</t>
  </si>
  <si>
    <t>80,77%</t>
  </si>
  <si>
    <t>Juan Felipe Gomez)</t>
  </si>
  <si>
    <t>72,31%</t>
  </si>
  <si>
    <t>Jaime Eliecer Angulo</t>
  </si>
  <si>
    <t>Esneider Restrepo</t>
  </si>
  <si>
    <t>Juan Carlos Hurtado</t>
  </si>
  <si>
    <t>DESARROLLOS BACK-END SEMI-SENIOR </t>
  </si>
  <si>
    <t>DESARROLLOS BACK-END SEMI-SENIOR Python</t>
  </si>
  <si>
    <t> 95,18%</t>
  </si>
  <si>
    <t> 93,97%</t>
  </si>
  <si>
    <t>77,63%</t>
  </si>
  <si>
    <t>Johan Arley Reyes Grimaldos (Vendor)</t>
  </si>
  <si>
    <t>93,49%</t>
  </si>
  <si>
    <t>97,26%</t>
  </si>
  <si>
    <t>81,58%</t>
  </si>
  <si>
    <t>84,34%</t>
  </si>
  <si>
    <t>72,6%</t>
  </si>
  <si>
    <t xml:space="preserve"> 72,37%</t>
  </si>
  <si>
    <t>Diego Fernando Garzon Parra (Vendor)</t>
  </si>
  <si>
    <t>84,38%</t>
  </si>
  <si>
    <t>65,79%</t>
  </si>
  <si>
    <t>Hector Fabio Banilat Quintero</t>
  </si>
  <si>
    <t>Apolinar Solis Ordoñez</t>
  </si>
  <si>
    <t>DESARROLLOS FULL-STACK SEMI SENIOR</t>
  </si>
  <si>
    <t> 93,98%</t>
  </si>
  <si>
    <t>89,32%</t>
  </si>
  <si>
    <t> 67,11%</t>
  </si>
  <si>
    <t>Arnold Augusto Campillo Prentt</t>
  </si>
  <si>
    <t>Edgar Castrillón López</t>
  </si>
  <si>
    <t>Jose Caceres Alvarez</t>
  </si>
  <si>
    <t>Cristian David Zapata Lazaro</t>
  </si>
  <si>
    <t>John Aguirre</t>
  </si>
  <si>
    <t>Sergio Luis Portillo Arteaga</t>
  </si>
  <si>
    <t>69,4%</t>
  </si>
  <si>
    <t>Descarto Prueba Tecnica</t>
  </si>
  <si>
    <t>Johan Arley Reyes Grimaldos</t>
  </si>
  <si>
    <t>Gustavo Adolfo Hernandez Martinez (Vendor, Adecco)</t>
  </si>
  <si>
    <t>Freth David Piraban Hernandez (Vendor, Adecco)</t>
  </si>
  <si>
    <t>Sandra Lorena Cardona Zapata (Vendor, Adecco)</t>
  </si>
  <si>
    <t>Octubre</t>
  </si>
  <si>
    <t>93,7%</t>
  </si>
  <si>
    <t>89,47%</t>
  </si>
  <si>
    <t>Descarto Prueba (% inferior )</t>
  </si>
  <si>
    <r>
      <t> </t>
    </r>
    <r>
      <rPr>
        <sz val="8"/>
        <color rgb="FF242424"/>
        <rFont val="Segoe UI"/>
        <family val="2"/>
      </rPr>
      <t>DESARROLLOS BACK-END SEMI-SENIOR</t>
    </r>
  </si>
  <si>
    <r>
      <t>Descarto Prueba (% inferior )No conoce webflux/reactor, eventos con rabbitMQ,(Para esta solicitud)/Aplica para la 3285 ---Realizar Entrevista TA/S</t>
    </r>
    <r>
      <rPr>
        <b/>
        <sz val="11"/>
        <color theme="1"/>
        <rFont val="Aptos Narrow"/>
        <family val="2"/>
        <scheme val="minor"/>
      </rPr>
      <t>egún CV trabaja para bancolombia</t>
    </r>
  </si>
  <si>
    <r>
      <t xml:space="preserve">Descarto Prueba (% inferior )/Presentar a la 3285 --- </t>
    </r>
    <r>
      <rPr>
        <b/>
        <sz val="11"/>
        <color theme="1"/>
        <rFont val="Aptos Narrow"/>
        <family val="2"/>
        <scheme val="minor"/>
      </rPr>
      <t>Realizar entrevista TA</t>
    </r>
  </si>
  <si>
    <t> 72,37%</t>
  </si>
  <si>
    <t>89,59%</t>
  </si>
  <si>
    <t>98,63%</t>
  </si>
  <si>
    <t>71,05%</t>
  </si>
  <si>
    <t>Preseleccionado en Banco</t>
  </si>
  <si>
    <t>Nelson Gonzalez</t>
  </si>
  <si>
    <t>JUNIO</t>
  </si>
  <si>
    <t>Jhonnatan Giraldo Zapata</t>
  </si>
  <si>
    <t>DESARROLLOS FRONT-END SENIOR </t>
  </si>
  <si>
    <t>79,76%</t>
  </si>
  <si>
    <t> 78,95%</t>
  </si>
  <si>
    <t>DaSS</t>
  </si>
  <si>
    <t>David Hoyos</t>
  </si>
  <si>
    <t>97,59%</t>
  </si>
  <si>
    <t>Alejandro Becerra Barco</t>
  </si>
  <si>
    <t>Miguel Octavo Alvarez Ojeda</t>
  </si>
  <si>
    <t>AndresMedina</t>
  </si>
  <si>
    <t>Jhon Henry Sanchez</t>
  </si>
  <si>
    <t>ANÁLISIS DE PERFORMANCE SEMI-SENIOR</t>
  </si>
  <si>
    <t>El fuerte del candidato es QA</t>
  </si>
  <si>
    <t>Bryan Umaña</t>
  </si>
  <si>
    <t xml:space="preserve">Danny Camilo Ruiz </t>
  </si>
  <si>
    <t>postulas</t>
  </si>
  <si>
    <t>Miguel Octavo Alvarez Ojeda, Vendor</t>
  </si>
  <si>
    <t>Wilton de Jesus Teran Peña</t>
  </si>
  <si>
    <t>Carlos Alberto Suarez Garrido, Vendor</t>
  </si>
  <si>
    <t>Oscar David Garavito Tapicero, Vendor</t>
  </si>
  <si>
    <t>DESARROLLADOR SALESFORCE SENIOR</t>
  </si>
  <si>
    <t>Samuel Amado Ramirez,Vendor</t>
  </si>
  <si>
    <t>Wilton de Jesus Teran Peña,vendor</t>
  </si>
  <si>
    <t>On Hold</t>
  </si>
  <si>
    <t>77,69%</t>
  </si>
  <si>
    <t>Roger Montoya Vallejo</t>
  </si>
  <si>
    <t>Descartado X Exp</t>
  </si>
  <si>
    <t> 72.37%</t>
  </si>
  <si>
    <t xml:space="preserve"> Brayan Danilo Valero Salazar</t>
  </si>
  <si>
    <t xml:space="preserve"> Julian Andres Roman Velasquez</t>
  </si>
  <si>
    <t xml:space="preserve"> Yessika Meliza Velasquez Rendon (Vendor, Autonomic)</t>
  </si>
  <si>
    <t xml:space="preserve"> Santiago Botero Pelaez (Vendor, Adecco)</t>
  </si>
  <si>
    <t>Didier Garcia  </t>
  </si>
  <si>
    <t> 68.67%</t>
  </si>
  <si>
    <t> 56.58%</t>
  </si>
  <si>
    <t> 97.53%</t>
  </si>
  <si>
    <t>Descartado en Entrevista Técnica</t>
  </si>
  <si>
    <t>90,68%</t>
  </si>
  <si>
    <t>74,52%</t>
  </si>
  <si>
    <t>94,52%</t>
  </si>
  <si>
    <t> 73,68%</t>
  </si>
  <si>
    <t>93,33%</t>
  </si>
  <si>
    <t> 71,05%</t>
  </si>
  <si>
    <t>Experiencia 4 años como Desarrollador y directamente Java SE (2 años), Elixir (1 año), PostgreSQL (2 años), SQL Server (3 años), Spring Boot (2 años), Spring Web (Tiene conocimientos), Artifactory (Tiene conocimientos), SOLID (1 año), Pruebas Unitarias (4 años), DOCKER (2 años), Análisis Estático (SonarQube) (1 año), Git (4 años), Python (2 años) Yaml - Json (4 años) Nube de carga - AWS (2 años) Azure DevOps (CI/CD) (3 años) Plantillas de laC en AWS CloudFormation (Conocimientos)</t>
  </si>
  <si>
    <t>Experiencia: 5 Años
Java SE: 2 años
Elixir: 8 meses
PostgreSQL : 8 meses
SQL Server 3 años y medio
Spring Boot: 1 año
Spring Web: 1 año
DOCKER: 1 año
SonarQube: 3 años
Git: 5 años"</t>
  </si>
  <si>
    <t>Java SE: 2 años 3 meses
Elixir: 2 años y 3 meses
PostgreSQL: 1 años y medio 
SQL Server: 2 años 3 meses
Spring Boot: 2 años y 3 meses Spring Web: 2 años y 3 meses 
Artifactory: 2 años y 3 meses 
SOLID: 2 años y 3 meses 
Pruebas Unitarias:2 años y 3 meses  
DOCKER: 2 años y 3 meses 
Análisis Estático (SonarQube): 2 años y 3 meses 
Git: 2 años y 3 meses 
Arquitectura Limpia: 2 años y 3 meses 
WebFlux: 2 años y 3 meses
CleanCode: 2 años y 3 meses "</t>
  </si>
  <si>
    <t xml:space="preserve">"Java SE: 2 años 3 meses
Elixir: 2 años y 3 meses
PostgreSQL: 1 años y medio 
SQL Server: 2 años 3 meses
Spring Boot: 2 años y 3 meses Spring Web: 2 años y 3 meses 
Artifactory: 2 años y 3 meses 
SOLID: 2 años y 3 meses 
Pruebas Unitarias:2 años y 3 meses  
DOCKER: 2 años y 3 meses 
Análisis Estático (SonarQube): 2 años y 3 meses 
Git: 2 años y 3 meses 
Arquitectura Limpia: 2 años y 3 meses 
WebFlux: 2 años y 3 meses
CleanCode: 2 años y 3 meses </t>
  </si>
  <si>
    <t>utomatizador de Pruebas Semi-Senior (DaSS)</t>
  </si>
  <si>
    <t>Santiago Leon Yusti</t>
  </si>
  <si>
    <t>Automatizador de Pruebas Semi-Senior (DaSS)</t>
  </si>
  <si>
    <t>Santiago Arredondo Aristizabal</t>
  </si>
  <si>
    <t>Danny Camilo Ruiz Pardo</t>
  </si>
  <si>
    <t>Armenia</t>
  </si>
  <si>
    <t>"Java SE: 2 años
SQL: 2 años
PostgreSQL: conocimiento
Serenity: 2 años
Screenplay: 2 años y medio
Karate Framework: Conocimiento
Cucumber: 2 años
DevOps: 6 meses
AWS RDS: Conocimiento basicos
Postman: 2 años
Git: 2 años"</t>
  </si>
  <si>
    <t>"Patrón de diseño Screenplay Selenium, Serenity Postman, Gherkin, y cucumber.: 3 años
Manejo de bases de datos SQL Server, PostgreSQL y SQL: 2 años
Conocimientos en Postman, Robot Framework: 6 meses
Azure DevOps y AWS:1 año"</t>
  </si>
  <si>
    <t>"Java SE: 3 años	
PostgreSQL: 3 meses
DB2: Solo conocimientos
SERENITY: 3 años
Karate Framework: Solo conocimientos basicos
Micro Focus Extra! X-treme (MyExtra): Solo conocimientos basicos
DevOps: 3 años
Patrón de diseño ScreenPlay: 3 años
AWS RDS: solo conocimientos basicos
Postman: 3 años
Git: 3 años
Selenium: 3 años
Cucumber: 3 años
Gherkin: Solo conocimientos basicos
SQL: 3 años"</t>
  </si>
  <si>
    <t>Backend Elixir</t>
  </si>
  <si>
    <t>Camilo Andrés Rincón Santiago</t>
  </si>
  <si>
    <t>"Cuenta  con dos años de experiencia en:
Automatización de Pruebas
Patrón ScreenPlay
Serenity
Selenium
Cucumber
Cuenta con más de dos años de experiencia en lo siguiente:
Java SE
PostgresSQL
Oracle
Cuento con poca experiencia en:
Rest services
AWS no conocimiento, Devops (solo conocimiento)"""</t>
  </si>
  <si>
    <t>Noviembre</t>
  </si>
  <si>
    <t>Miguel Leonel Blanco Carrillo</t>
  </si>
  <si>
    <t>Desarrollador Backend RPG</t>
  </si>
  <si>
    <t>Fabian Steven Guzman</t>
  </si>
  <si>
    <t>Jefferson España</t>
  </si>
  <si>
    <t>Sergio Luis Anaya Romero, Vendor</t>
  </si>
  <si>
    <t>Automatizador de Pruebas Semi-Seniox 3352</t>
  </si>
  <si>
    <t>"Screenplay: 3 Años
Selenium: 3 Años
Serenity: 3 Años
Postman: 3 Años
Gherkin: 3 Años
Postgresql: 6 Meses
Mongodb: 2 Años
Oracle: 2 Años
Azure: 3 Meses
AWS: 3 Meses
Git: 4 Años
Karate: 2 Meses
AS400: 8 Meses"</t>
  </si>
  <si>
    <t> 74,62%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</si>
</sst>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_([$$-409]* \(#,##0\);_([$$-409]* &quot;-&quot;??_);_(@_)"/>
  </numFmts>
  <fonts count="21">
    <font>
      <sz val="11"/>
      <color theme="1"/>
      <name val="Aptos Narrow"/>
      <family val="2"/>
      <scheme val="minor"/>
    </font>
    <font>
      <sz val="9"/>
      <color rgb="FF333333"/>
      <name val="Arial"/>
      <family val="2"/>
    </font>
    <font>
      <b/>
      <sz val="11"/>
      <color theme="0"/>
      <name val="Aptos Narrow"/>
      <family val="2"/>
      <scheme val="minor"/>
    </font>
    <font>
      <sz val="11"/>
      <color theme="1"/>
      <name val="Aptos Narrow"/>
      <family val="2"/>
      <scheme val="minor"/>
    </font>
    <font>
      <sz val="7"/>
      <color rgb="FF333333"/>
      <name val="Arial"/>
      <family val="2"/>
    </font>
    <font>
      <sz val="10"/>
      <color rgb="FF333333"/>
      <name val="Arial"/>
      <family val="2"/>
    </font>
    <font>
      <sz val="10"/>
      <color theme="1"/>
      <name val="Aptos Narrow"/>
      <family val="2"/>
      <scheme val="minor"/>
    </font>
    <font>
      <sz val="11"/>
      <color rgb="FF242424"/>
      <name val="Calibri"/>
      <family val="2"/>
      <charset val="1"/>
    </font>
    <font>
      <sz val="11"/>
      <color rgb="FF000000"/>
      <name val="Calibri"/>
      <family val="2"/>
    </font>
    <font>
      <sz val="12"/>
      <color theme="1"/>
      <name val="Aptos Narrow"/>
      <family val="2"/>
      <scheme val="minor"/>
    </font>
    <font>
      <sz val="12"/>
      <color theme="1"/>
      <name val="Aptos"/>
      <family val="2"/>
    </font>
    <font>
      <sz val="11"/>
      <color rgb="FF000000"/>
      <name val="Aptos"/>
      <family val="2"/>
    </font>
    <font>
      <sz val="9"/>
      <color rgb="FF333333"/>
      <name val="Arial"/>
      <family val="2"/>
    </font>
    <font>
      <b/>
      <sz val="11"/>
      <color theme="1"/>
      <name val="Aptos Narrow"/>
      <family val="2"/>
      <scheme val="minor"/>
    </font>
    <font>
      <sz val="7"/>
      <color rgb="FF337AB7"/>
      <name val="Glyphicons Halflings"/>
    </font>
    <font>
      <sz val="9"/>
      <color rgb="FF333333"/>
      <name val="Arial"/>
      <family val="2"/>
    </font>
    <font>
      <sz val="11"/>
      <color rgb="FFCD5937"/>
      <name val="Aptos Narrow"/>
      <family val="2"/>
      <scheme val="minor"/>
    </font>
    <font>
      <sz val="11"/>
      <color rgb="FF000000"/>
      <name val="Aptos Narrow"/>
      <family val="2"/>
      <scheme val="minor"/>
    </font>
    <font>
      <sz val="8"/>
      <color rgb="FF242424"/>
      <name val="Segoe UI"/>
      <family val="2"/>
    </font>
    <font>
      <b/>
      <sz val="8"/>
      <color rgb="FF242424"/>
      <name val="Segoe UI"/>
      <family val="2"/>
    </font>
    <font>
      <sz val="7"/>
      <color theme="1"/>
      <name val="Roboto"/>
    </font>
  </fonts>
  <fills count="15">
    <fill>
      <patternFill patternType="none"/>
    </fill>
    <fill>
      <patternFill patternType="gray125"/>
    </fill>
    <fill>
      <patternFill patternType="solid">
        <fgColor theme="8" tint="0.59999389629810485"/>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DFF0D8"/>
        <bgColor indexed="64"/>
      </patternFill>
    </fill>
    <fill>
      <patternFill patternType="solid">
        <fgColor theme="2" tint="-0.249977111117893"/>
        <bgColor indexed="64"/>
      </patternFill>
    </fill>
    <fill>
      <patternFill patternType="solid">
        <fgColor theme="3"/>
        <bgColor indexed="64"/>
      </patternFill>
    </fill>
    <fill>
      <patternFill patternType="solid">
        <fgColor theme="3" tint="0.249977111117893"/>
        <bgColor indexed="64"/>
      </patternFill>
    </fill>
    <fill>
      <patternFill patternType="solid">
        <fgColor theme="6" tint="0.39997558519241921"/>
        <bgColor indexed="64"/>
      </patternFill>
    </fill>
    <fill>
      <patternFill patternType="solid">
        <fgColor rgb="FFFFFFFF"/>
        <bgColor indexed="64"/>
      </patternFill>
    </fill>
    <fill>
      <patternFill patternType="solid">
        <fgColor rgb="FF92D050"/>
        <bgColor indexed="64"/>
      </patternFill>
    </fill>
    <fill>
      <patternFill patternType="solid">
        <fgColor theme="6" tint="0.59999389629810485"/>
        <bgColor indexed="64"/>
      </patternFill>
    </fill>
    <fill>
      <patternFill patternType="solid">
        <fgColor theme="7"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medium">
        <color rgb="FFDDDDDD"/>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s>
  <cellStyleXfs count="2">
    <xf numFmtId="0" fontId="0" fillId="0" borderId="0"/>
    <xf numFmtId="9" fontId="3" fillId="0" borderId="0" applyFont="0" applyFill="0" applyBorder="0" applyAlignment="0" applyProtection="0"/>
  </cellStyleXfs>
  <cellXfs count="114">
    <xf numFmtId="0" fontId="0" fillId="0" borderId="0" xfId="0"/>
    <xf numFmtId="0" fontId="0" fillId="0" borderId="1" xfId="0" applyBorder="1"/>
    <xf numFmtId="0" fontId="1" fillId="0" borderId="1" xfId="0" applyFont="1" applyBorder="1" applyAlignment="1">
      <alignment vertical="center" wrapText="1"/>
    </xf>
    <xf numFmtId="10" fontId="0" fillId="0" borderId="1" xfId="0" applyNumberFormat="1" applyBorder="1"/>
    <xf numFmtId="9" fontId="0" fillId="0" borderId="1" xfId="0" applyNumberFormat="1" applyBorder="1"/>
    <xf numFmtId="9" fontId="0" fillId="0" borderId="1" xfId="1" applyFont="1" applyBorder="1"/>
    <xf numFmtId="0" fontId="0" fillId="0" borderId="1" xfId="0" applyBorder="1" applyAlignment="1">
      <alignment vertical="center" wrapText="1"/>
    </xf>
    <xf numFmtId="9" fontId="0" fillId="3" borderId="1" xfId="1" applyFont="1" applyFill="1" applyBorder="1"/>
    <xf numFmtId="10" fontId="0" fillId="0" borderId="1" xfId="0" applyNumberFormat="1" applyBorder="1" applyAlignment="1">
      <alignment horizontal="center" vertical="center" wrapText="1"/>
    </xf>
    <xf numFmtId="0" fontId="0" fillId="5" borderId="1" xfId="0" applyFill="1" applyBorder="1"/>
    <xf numFmtId="0" fontId="0" fillId="4" borderId="1" xfId="0" applyFill="1" applyBorder="1"/>
    <xf numFmtId="0" fontId="0" fillId="5" borderId="1" xfId="0" applyFill="1" applyBorder="1" applyAlignment="1">
      <alignment wrapText="1"/>
    </xf>
    <xf numFmtId="9" fontId="4" fillId="0" borderId="1" xfId="1" applyFont="1" applyBorder="1"/>
    <xf numFmtId="9" fontId="4" fillId="6" borderId="1" xfId="1" applyFont="1" applyFill="1" applyBorder="1" applyAlignment="1">
      <alignment vertical="top" wrapText="1"/>
    </xf>
    <xf numFmtId="0" fontId="0" fillId="2" borderId="1" xfId="0" applyFill="1" applyBorder="1"/>
    <xf numFmtId="14" fontId="0" fillId="0" borderId="1" xfId="0" applyNumberFormat="1" applyBorder="1"/>
    <xf numFmtId="14" fontId="0" fillId="0" borderId="2" xfId="0" applyNumberFormat="1" applyBorder="1"/>
    <xf numFmtId="0" fontId="0" fillId="0" borderId="2" xfId="0" applyBorder="1"/>
    <xf numFmtId="9" fontId="5" fillId="0" borderId="1" xfId="1" applyFont="1" applyBorder="1"/>
    <xf numFmtId="9" fontId="6" fillId="0" borderId="1" xfId="1" applyFont="1" applyBorder="1"/>
    <xf numFmtId="0" fontId="6" fillId="0" borderId="1" xfId="0" applyFont="1" applyBorder="1"/>
    <xf numFmtId="9" fontId="6" fillId="0" borderId="1" xfId="0" applyNumberFormat="1" applyFont="1" applyBorder="1"/>
    <xf numFmtId="9" fontId="0" fillId="0" borderId="2" xfId="0" applyNumberFormat="1" applyBorder="1"/>
    <xf numFmtId="0" fontId="2" fillId="8" borderId="1" xfId="0" applyFont="1" applyFill="1" applyBorder="1"/>
    <xf numFmtId="0" fontId="2" fillId="8" borderId="3" xfId="0" applyFont="1" applyFill="1" applyBorder="1"/>
    <xf numFmtId="0" fontId="2" fillId="8" borderId="3" xfId="0" applyFont="1" applyFill="1" applyBorder="1" applyAlignment="1">
      <alignment horizontal="center"/>
    </xf>
    <xf numFmtId="0" fontId="9" fillId="0" borderId="1" xfId="0" applyFont="1" applyBorder="1"/>
    <xf numFmtId="0" fontId="10" fillId="0" borderId="1" xfId="0" applyFont="1" applyBorder="1"/>
    <xf numFmtId="0" fontId="0" fillId="7" borderId="1" xfId="0" applyFill="1" applyBorder="1"/>
    <xf numFmtId="0" fontId="0" fillId="0" borderId="1" xfId="0" applyBorder="1" applyAlignment="1">
      <alignment horizontal="center"/>
    </xf>
    <xf numFmtId="0" fontId="7" fillId="0" borderId="1" xfId="0" applyFont="1" applyBorder="1"/>
    <xf numFmtId="164" fontId="0" fillId="0" borderId="1" xfId="0" applyNumberFormat="1" applyBorder="1"/>
    <xf numFmtId="0" fontId="8" fillId="0" borderId="1" xfId="0" applyFont="1" applyBorder="1"/>
    <xf numFmtId="0" fontId="4" fillId="0" borderId="1" xfId="0" applyFont="1" applyBorder="1"/>
    <xf numFmtId="10" fontId="0" fillId="0" borderId="2" xfId="0" applyNumberFormat="1" applyBorder="1"/>
    <xf numFmtId="9" fontId="4" fillId="0" borderId="2" xfId="1" applyFont="1" applyBorder="1"/>
    <xf numFmtId="0" fontId="0" fillId="0" borderId="1" xfId="0" applyBorder="1" applyAlignment="1">
      <alignment vertical="center"/>
    </xf>
    <xf numFmtId="0" fontId="0" fillId="0" borderId="1" xfId="0" applyBorder="1" applyAlignment="1">
      <alignment horizontal="center" vertical="center"/>
    </xf>
    <xf numFmtId="0" fontId="0" fillId="4" borderId="2" xfId="0" applyFill="1" applyBorder="1"/>
    <xf numFmtId="0" fontId="4" fillId="5" borderId="1" xfId="0" applyFont="1" applyFill="1" applyBorder="1"/>
    <xf numFmtId="0" fontId="0" fillId="5" borderId="1" xfId="0" applyFill="1" applyBorder="1" applyAlignment="1">
      <alignment vertical="center" wrapText="1"/>
    </xf>
    <xf numFmtId="9" fontId="4" fillId="0" borderId="1" xfId="1" applyFont="1" applyBorder="1" applyAlignment="1">
      <alignment horizontal="center"/>
    </xf>
    <xf numFmtId="9" fontId="0" fillId="0" borderId="1" xfId="1" applyFont="1" applyBorder="1" applyAlignment="1">
      <alignment horizontal="center"/>
    </xf>
    <xf numFmtId="10" fontId="0" fillId="0" borderId="1" xfId="0" applyNumberFormat="1" applyBorder="1" applyAlignment="1">
      <alignment horizontal="center" vertical="center"/>
    </xf>
    <xf numFmtId="9" fontId="4" fillId="0" borderId="1" xfId="1" applyFont="1" applyBorder="1" applyAlignment="1">
      <alignment horizontal="center" vertical="center"/>
    </xf>
    <xf numFmtId="9" fontId="5" fillId="0" borderId="1" xfId="1" applyFont="1" applyBorder="1" applyAlignment="1">
      <alignment horizontal="center" vertical="center"/>
    </xf>
    <xf numFmtId="9" fontId="6" fillId="0" borderId="1" xfId="1" applyFont="1" applyBorder="1" applyAlignment="1">
      <alignment horizontal="center" vertical="center"/>
    </xf>
    <xf numFmtId="9" fontId="0" fillId="0" borderId="1" xfId="1" applyFont="1" applyBorder="1" applyAlignment="1">
      <alignment horizontal="center" vertical="center"/>
    </xf>
    <xf numFmtId="9" fontId="0" fillId="0" borderId="1" xfId="1" applyFont="1" applyBorder="1" applyAlignment="1">
      <alignment horizontal="center" vertical="center" wrapText="1"/>
    </xf>
    <xf numFmtId="0" fontId="0" fillId="0" borderId="2" xfId="0" applyBorder="1" applyAlignment="1">
      <alignment horizontal="center"/>
    </xf>
    <xf numFmtId="0" fontId="0" fillId="0" borderId="2" xfId="0" applyBorder="1" applyAlignment="1">
      <alignment vertical="center" wrapText="1"/>
    </xf>
    <xf numFmtId="0" fontId="9" fillId="0" borderId="2" xfId="0" applyFont="1" applyBorder="1"/>
    <xf numFmtId="0" fontId="0" fillId="0" borderId="2" xfId="0" applyBorder="1" applyAlignment="1">
      <alignment horizontal="center" vertical="center"/>
    </xf>
    <xf numFmtId="10" fontId="0" fillId="0" borderId="2" xfId="0" applyNumberFormat="1" applyBorder="1" applyAlignment="1">
      <alignment horizontal="center" vertical="center" wrapText="1"/>
    </xf>
    <xf numFmtId="0" fontId="11" fillId="0" borderId="0" xfId="0" applyFont="1"/>
    <xf numFmtId="9" fontId="4" fillId="0" borderId="1" xfId="0" applyNumberFormat="1" applyFont="1" applyBorder="1"/>
    <xf numFmtId="0" fontId="0" fillId="4" borderId="1" xfId="0" applyFill="1" applyBorder="1" applyAlignment="1">
      <alignment horizontal="center"/>
    </xf>
    <xf numFmtId="0" fontId="0" fillId="4" borderId="1" xfId="0" applyFill="1" applyBorder="1" applyAlignment="1">
      <alignment vertical="center" wrapText="1"/>
    </xf>
    <xf numFmtId="9" fontId="4" fillId="4" borderId="1" xfId="1" applyFont="1" applyFill="1" applyBorder="1" applyAlignment="1">
      <alignment horizontal="center"/>
    </xf>
    <xf numFmtId="9" fontId="0" fillId="4" borderId="1" xfId="1" applyFont="1" applyFill="1" applyBorder="1" applyAlignment="1">
      <alignment horizontal="center"/>
    </xf>
    <xf numFmtId="0" fontId="0" fillId="4" borderId="1" xfId="0" applyFill="1" applyBorder="1" applyAlignment="1">
      <alignment horizontal="center" vertical="center"/>
    </xf>
    <xf numFmtId="9" fontId="0" fillId="4" borderId="1" xfId="1" applyFont="1" applyFill="1" applyBorder="1"/>
    <xf numFmtId="10" fontId="0" fillId="4" borderId="1" xfId="0" applyNumberFormat="1" applyFill="1" applyBorder="1" applyAlignment="1">
      <alignment horizontal="center" vertical="center" wrapText="1"/>
    </xf>
    <xf numFmtId="0" fontId="0" fillId="4" borderId="0" xfId="0" applyFill="1"/>
    <xf numFmtId="9" fontId="4" fillId="4" borderId="1" xfId="1" applyFont="1" applyFill="1" applyBorder="1"/>
    <xf numFmtId="9" fontId="4" fillId="4" borderId="1" xfId="1" applyFont="1" applyFill="1" applyBorder="1" applyAlignment="1">
      <alignment vertical="top" wrapText="1"/>
    </xf>
    <xf numFmtId="9" fontId="0" fillId="4" borderId="1" xfId="1" applyFont="1" applyFill="1" applyBorder="1" applyAlignment="1">
      <alignment horizontal="center" vertical="center" wrapText="1"/>
    </xf>
    <xf numFmtId="0" fontId="4" fillId="0" borderId="0" xfId="0" applyFont="1"/>
    <xf numFmtId="9" fontId="4" fillId="0" borderId="0" xfId="1" applyFont="1" applyBorder="1" applyAlignment="1">
      <alignment horizontal="center"/>
    </xf>
    <xf numFmtId="0" fontId="0" fillId="0" borderId="0" xfId="0" applyAlignment="1">
      <alignment horizontal="left" vertical="center" indent="1"/>
    </xf>
    <xf numFmtId="9" fontId="4" fillId="0" borderId="0" xfId="1" applyFont="1" applyBorder="1"/>
    <xf numFmtId="0" fontId="0" fillId="5" borderId="0" xfId="0" applyFill="1"/>
    <xf numFmtId="9" fontId="4" fillId="0" borderId="0" xfId="1" applyFont="1"/>
    <xf numFmtId="0" fontId="12" fillId="0" borderId="1" xfId="0" applyFont="1" applyBorder="1" applyAlignment="1">
      <alignment vertical="center" wrapText="1"/>
    </xf>
    <xf numFmtId="0" fontId="0" fillId="9" borderId="1" xfId="0" applyFill="1" applyBorder="1"/>
    <xf numFmtId="0" fontId="12" fillId="9" borderId="1" xfId="0" applyFont="1" applyFill="1" applyBorder="1" applyAlignment="1">
      <alignment vertical="center" wrapText="1"/>
    </xf>
    <xf numFmtId="0" fontId="0" fillId="0" borderId="0" xfId="0" applyAlignment="1">
      <alignment vertical="center" wrapText="1"/>
    </xf>
    <xf numFmtId="0" fontId="13" fillId="0" borderId="0" xfId="0" applyFont="1" applyAlignment="1">
      <alignment vertical="center" wrapText="1"/>
    </xf>
    <xf numFmtId="0" fontId="0" fillId="0" borderId="0" xfId="0" applyAlignment="1">
      <alignment horizontal="left" vertical="center" wrapText="1" indent="1"/>
    </xf>
    <xf numFmtId="0" fontId="0" fillId="0" borderId="0" xfId="0" applyAlignment="1">
      <alignment wrapText="1"/>
    </xf>
    <xf numFmtId="0" fontId="0" fillId="10" borderId="0" xfId="0" applyFill="1" applyAlignment="1">
      <alignment vertical="center" wrapText="1"/>
    </xf>
    <xf numFmtId="0" fontId="0" fillId="11" borderId="0" xfId="0" applyFill="1"/>
    <xf numFmtId="0" fontId="14" fillId="6" borderId="4" xfId="0" applyFont="1" applyFill="1" applyBorder="1" applyAlignment="1">
      <alignment vertical="top" wrapText="1"/>
    </xf>
    <xf numFmtId="0" fontId="0" fillId="12" borderId="0" xfId="0" applyFill="1" applyAlignment="1">
      <alignment vertical="center" wrapText="1"/>
    </xf>
    <xf numFmtId="0" fontId="0" fillId="12" borderId="0" xfId="0" applyFill="1"/>
    <xf numFmtId="0" fontId="0" fillId="12" borderId="1" xfId="0" applyFill="1" applyBorder="1"/>
    <xf numFmtId="0" fontId="16" fillId="0" borderId="0" xfId="0" applyFont="1" applyAlignment="1">
      <alignment vertical="center" wrapText="1"/>
    </xf>
    <xf numFmtId="0" fontId="0" fillId="0" borderId="0" xfId="0" applyAlignment="1">
      <alignment horizontal="center" vertical="center"/>
    </xf>
    <xf numFmtId="9" fontId="5" fillId="0" borderId="2" xfId="1" applyFont="1" applyBorder="1"/>
    <xf numFmtId="0" fontId="15" fillId="0" borderId="1" xfId="0" applyFont="1" applyBorder="1" applyAlignment="1">
      <alignment vertical="center" wrapText="1"/>
    </xf>
    <xf numFmtId="0" fontId="16" fillId="0" borderId="1" xfId="0" applyFont="1" applyBorder="1" applyAlignment="1">
      <alignment vertical="center" wrapText="1"/>
    </xf>
    <xf numFmtId="0" fontId="0" fillId="0" borderId="5" xfId="0" applyBorder="1" applyAlignment="1">
      <alignment vertical="center" wrapText="1"/>
    </xf>
    <xf numFmtId="0" fontId="17" fillId="0" borderId="5" xfId="0" applyFont="1" applyBorder="1" applyAlignment="1">
      <alignment vertical="center"/>
    </xf>
    <xf numFmtId="0" fontId="0" fillId="13" borderId="1" xfId="0" applyFill="1" applyBorder="1"/>
    <xf numFmtId="10" fontId="0" fillId="0" borderId="0" xfId="0" applyNumberFormat="1"/>
    <xf numFmtId="9" fontId="0" fillId="0" borderId="0" xfId="0" applyNumberFormat="1"/>
    <xf numFmtId="0" fontId="17" fillId="0" borderId="6" xfId="0" applyFont="1" applyBorder="1" applyAlignment="1">
      <alignment vertical="center" wrapText="1"/>
    </xf>
    <xf numFmtId="0" fontId="0" fillId="14" borderId="0" xfId="0" applyFill="1"/>
    <xf numFmtId="0" fontId="17" fillId="0" borderId="1" xfId="0" applyFont="1" applyBorder="1" applyAlignment="1">
      <alignment vertical="center" wrapText="1"/>
    </xf>
    <xf numFmtId="0" fontId="18" fillId="0" borderId="1" xfId="0" applyFont="1" applyBorder="1"/>
    <xf numFmtId="0" fontId="19" fillId="0" borderId="1" xfId="0" applyFont="1" applyBorder="1"/>
    <xf numFmtId="9" fontId="4" fillId="0" borderId="1" xfId="1" applyFont="1" applyBorder="1" applyAlignment="1">
      <alignment horizontal="center" vertical="center" wrapText="1"/>
    </xf>
    <xf numFmtId="0" fontId="20" fillId="11" borderId="1" xfId="0" applyFont="1" applyFill="1" applyBorder="1" applyAlignment="1">
      <alignment horizontal="left" vertical="center" wrapText="1" indent="1"/>
    </xf>
    <xf numFmtId="9" fontId="4" fillId="6" borderId="4" xfId="1" applyFont="1" applyFill="1" applyBorder="1" applyAlignment="1">
      <alignment vertical="top" wrapText="1"/>
    </xf>
    <xf numFmtId="9" fontId="0" fillId="0" borderId="0" xfId="1" applyFont="1" applyAlignment="1">
      <alignment wrapText="1"/>
    </xf>
    <xf numFmtId="0" fontId="0" fillId="10" borderId="0" xfId="0" applyFill="1"/>
    <xf numFmtId="9" fontId="4" fillId="10" borderId="0" xfId="1" applyFont="1" applyFill="1"/>
    <xf numFmtId="10" fontId="4" fillId="0" borderId="0" xfId="0" applyNumberFormat="1" applyFont="1"/>
    <xf numFmtId="10" fontId="4" fillId="0" borderId="1" xfId="0" applyNumberFormat="1" applyFont="1" applyBorder="1"/>
    <xf numFmtId="0" fontId="0" fillId="0" borderId="1" xfId="0" applyBorder="1" applyAlignment="1">
      <alignment wrapText="1"/>
    </xf>
    <xf numFmtId="0" fontId="0" fillId="0" borderId="2" xfId="0" applyBorder="1" applyAlignment="1">
      <alignment wrapText="1"/>
    </xf>
    <xf numFmtId="0" fontId="0" fillId="0" borderId="3" xfId="0" applyBorder="1" applyAlignment="1">
      <alignment vertical="center" wrapText="1"/>
    </xf>
    <xf numFmtId="0" fontId="0" fillId="0" borderId="0" xfId="0" applyAlignment="1">
      <alignment vertical="center" wrapText="1"/>
    </xf>
    <xf numFmtId="0" fontId="0" fillId="10" borderId="0" xfId="0" applyFill="1" applyAlignment="1">
      <alignment vertical="center" wrapText="1"/>
    </xf>
  </cellXfs>
  <cellStyles count="2">
    <cellStyle name="Normal" xfId="0" builtinId="0"/>
    <cellStyle name="Percent" xfId="1" builtinId="5"/>
  </cellStyles>
  <dxfs count="5">
    <dxf>
      <font>
        <color rgb="FF9C0006"/>
      </font>
      <fill>
        <patternFill>
          <bgColor rgb="FFFFC7CE"/>
        </patternFill>
      </fill>
    </dxf>
    <dxf>
      <font>
        <u val="none"/>
        <color auto="1"/>
      </font>
      <fill>
        <patternFill>
          <bgColor theme="9" tint="-0.24994659260841701"/>
        </patternFill>
      </fill>
    </dxf>
    <dxf>
      <fill>
        <patternFill>
          <bgColor theme="9" tint="-0.24994659260841701"/>
        </patternFill>
      </fill>
    </dxf>
    <dxf>
      <font>
        <u val="none"/>
        <color auto="1"/>
      </font>
      <fill>
        <patternFill>
          <bgColor theme="9" tint="-0.24994659260841701"/>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questionnaire.evalart.com/admin/report/897646" TargetMode="External"/><Relationship Id="rId1" Type="http://schemas.openxmlformats.org/officeDocument/2006/relationships/hyperlink" Target="https://questionnaire.evalart.com/admin/report/8950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D266F-6EC2-4B52-B9DC-AA18DDD0950C}">
  <dimension ref="A1:Y174"/>
  <sheetViews>
    <sheetView tabSelected="1" topLeftCell="I1" zoomScale="104" zoomScaleNormal="104" workbookViewId="0">
      <pane ySplit="1" topLeftCell="A167" activePane="bottomLeft" state="frozen"/>
      <selection pane="bottomLeft" activeCell="R174" sqref="R174"/>
    </sheetView>
  </sheetViews>
  <sheetFormatPr defaultRowHeight="15" customHeight="1"/>
  <cols>
    <col min="1" max="1" width="10.08984375" bestFit="1" customWidth="1"/>
    <col min="2" max="2" width="8.453125" customWidth="1"/>
    <col min="3" max="3" width="14.7265625" hidden="1" customWidth="1"/>
    <col min="4" max="4" width="44.453125" bestFit="1" customWidth="1"/>
    <col min="5" max="5" width="29.26953125" hidden="1" customWidth="1"/>
    <col min="6" max="6" width="9.81640625" customWidth="1"/>
    <col min="7" max="7" width="19.81640625" customWidth="1"/>
    <col min="8" max="8" width="13.26953125" hidden="1" customWidth="1"/>
    <col min="9" max="9" width="41.1796875" customWidth="1"/>
    <col min="10" max="10" width="37.81640625" customWidth="1"/>
    <col min="11" max="11" width="11.26953125" customWidth="1"/>
    <col min="12" max="15" width="8.7265625" customWidth="1"/>
    <col min="16" max="16" width="15.81640625" customWidth="1"/>
    <col min="17" max="17" width="0" hidden="1" customWidth="1"/>
    <col min="18" max="18" width="11" customWidth="1"/>
    <col min="19" max="19" width="12" bestFit="1" customWidth="1"/>
    <col min="20" max="20" width="15.453125" customWidth="1"/>
    <col min="21" max="21" width="14.7265625" customWidth="1"/>
    <col min="22" max="22" width="16.81640625" customWidth="1"/>
  </cols>
  <sheetData>
    <row r="1" spans="1:25" ht="14.5">
      <c r="A1" s="23" t="s">
        <v>0</v>
      </c>
      <c r="B1" s="23" t="s">
        <v>1</v>
      </c>
      <c r="C1" s="23" t="s">
        <v>2</v>
      </c>
      <c r="D1" s="23" t="s">
        <v>4</v>
      </c>
      <c r="E1" s="23" t="s">
        <v>9</v>
      </c>
      <c r="F1" s="23" t="s">
        <v>3</v>
      </c>
      <c r="G1" s="23" t="s">
        <v>5</v>
      </c>
      <c r="H1" s="23" t="s">
        <v>6</v>
      </c>
      <c r="I1" s="23" t="s">
        <v>7</v>
      </c>
      <c r="J1" s="23" t="s">
        <v>8</v>
      </c>
      <c r="K1" s="23" t="s">
        <v>10</v>
      </c>
      <c r="L1" s="23" t="s">
        <v>11</v>
      </c>
      <c r="M1" s="23" t="s">
        <v>12</v>
      </c>
      <c r="N1" s="23" t="s">
        <v>308</v>
      </c>
      <c r="O1" s="23" t="s">
        <v>13</v>
      </c>
      <c r="P1" s="23" t="s">
        <v>14</v>
      </c>
      <c r="Q1" s="23" t="s">
        <v>15</v>
      </c>
      <c r="R1" s="23" t="s">
        <v>16</v>
      </c>
      <c r="S1" s="23" t="s">
        <v>17</v>
      </c>
      <c r="T1" s="23" t="s">
        <v>18</v>
      </c>
      <c r="U1" s="23" t="s">
        <v>19</v>
      </c>
      <c r="V1" s="24" t="s">
        <v>20</v>
      </c>
      <c r="W1" s="24" t="s">
        <v>21</v>
      </c>
      <c r="X1" s="25" t="s">
        <v>123</v>
      </c>
      <c r="Y1" s="25" t="s">
        <v>124</v>
      </c>
    </row>
    <row r="2" spans="1:25" ht="14.5">
      <c r="A2" s="15" t="s">
        <v>22</v>
      </c>
      <c r="B2" s="1">
        <v>2933</v>
      </c>
      <c r="C2" s="2"/>
      <c r="D2" s="2" t="s">
        <v>23</v>
      </c>
      <c r="E2" s="2"/>
      <c r="F2" s="1"/>
      <c r="G2" s="1" t="s">
        <v>24</v>
      </c>
      <c r="H2" s="2"/>
      <c r="I2" s="2"/>
      <c r="J2" s="2"/>
      <c r="K2" s="3">
        <v>0.73680000000000001</v>
      </c>
      <c r="L2" s="3">
        <v>0.8125</v>
      </c>
      <c r="M2" s="1"/>
      <c r="N2" s="1"/>
      <c r="O2" s="1"/>
      <c r="P2" s="1"/>
      <c r="Q2" s="3">
        <f>AVERAGE(K2:L2)</f>
        <v>0.77465000000000006</v>
      </c>
      <c r="R2" s="4">
        <v>0.76</v>
      </c>
      <c r="S2" s="1"/>
      <c r="T2" s="1"/>
      <c r="U2" s="1"/>
      <c r="V2" s="1"/>
      <c r="W2" s="1"/>
    </row>
    <row r="3" spans="1:25" ht="14.5">
      <c r="A3" s="15" t="s">
        <v>22</v>
      </c>
      <c r="B3" s="1">
        <v>2933</v>
      </c>
      <c r="C3" s="1"/>
      <c r="D3" s="1" t="s">
        <v>25</v>
      </c>
      <c r="E3" s="1"/>
      <c r="F3" s="1"/>
      <c r="G3" s="1" t="s">
        <v>26</v>
      </c>
      <c r="H3" s="1"/>
      <c r="I3" s="1"/>
      <c r="J3" s="1"/>
      <c r="K3" s="3">
        <v>0.59209999999999996</v>
      </c>
      <c r="L3" s="4">
        <v>0.82</v>
      </c>
      <c r="M3" s="1"/>
      <c r="N3" s="1"/>
      <c r="O3" s="1"/>
      <c r="P3" s="1"/>
      <c r="Q3" s="3">
        <f>AVERAGE(K3:L3)</f>
        <v>0.70604999999999996</v>
      </c>
      <c r="R3" s="4">
        <v>0.76</v>
      </c>
      <c r="S3" s="1"/>
      <c r="T3" s="1"/>
      <c r="U3" s="1"/>
      <c r="V3" s="1"/>
      <c r="W3" s="1"/>
    </row>
    <row r="4" spans="1:25" ht="14.5">
      <c r="A4" s="15" t="s">
        <v>22</v>
      </c>
      <c r="B4" s="1">
        <v>2938</v>
      </c>
      <c r="C4" s="1"/>
      <c r="D4" s="1" t="s">
        <v>27</v>
      </c>
      <c r="E4" s="1"/>
      <c r="F4" s="1"/>
      <c r="G4" s="1" t="s">
        <v>26</v>
      </c>
      <c r="H4" s="1"/>
      <c r="I4" s="1"/>
      <c r="J4" s="1"/>
      <c r="K4" s="3">
        <v>0.51319999999999999</v>
      </c>
      <c r="L4" s="1"/>
      <c r="M4" s="3">
        <v>0.6986</v>
      </c>
      <c r="N4" s="3">
        <v>0.63859999999999995</v>
      </c>
      <c r="O4" s="3"/>
      <c r="P4" s="3"/>
      <c r="Q4" s="3">
        <f>AVERAGE(K4:N4)</f>
        <v>0.61680000000000001</v>
      </c>
      <c r="R4" s="3">
        <v>0.77349999999999997</v>
      </c>
      <c r="S4" s="1"/>
      <c r="T4" s="1"/>
      <c r="U4" s="1"/>
      <c r="V4" s="1"/>
      <c r="W4" s="1"/>
    </row>
    <row r="5" spans="1:25" ht="14.5">
      <c r="A5" s="15" t="s">
        <v>22</v>
      </c>
      <c r="B5" s="1">
        <v>2938</v>
      </c>
      <c r="C5" s="1"/>
      <c r="D5" s="1" t="s">
        <v>28</v>
      </c>
      <c r="E5" s="1"/>
      <c r="F5" s="1"/>
      <c r="G5" s="1" t="s">
        <v>26</v>
      </c>
      <c r="H5" s="1"/>
      <c r="I5" s="1"/>
      <c r="J5" s="1"/>
      <c r="K5" s="3">
        <v>0.65790000000000004</v>
      </c>
      <c r="L5" s="1"/>
      <c r="M5" s="3">
        <v>0.94520000000000004</v>
      </c>
      <c r="N5" s="3">
        <v>0.74219999999999997</v>
      </c>
      <c r="O5" s="3"/>
      <c r="P5" s="3"/>
      <c r="Q5" s="3">
        <f>AVERAGE(K5:N5)</f>
        <v>0.78176666666666661</v>
      </c>
      <c r="R5" s="3">
        <v>0.77349999999999997</v>
      </c>
      <c r="S5" s="1"/>
      <c r="T5" s="1"/>
      <c r="U5" s="1" t="s">
        <v>29</v>
      </c>
      <c r="V5" s="1"/>
      <c r="W5" s="1"/>
    </row>
    <row r="6" spans="1:25" ht="14.5">
      <c r="A6" s="15" t="s">
        <v>22</v>
      </c>
      <c r="B6" s="1">
        <v>2957</v>
      </c>
      <c r="C6" s="1"/>
      <c r="D6" s="1" t="s">
        <v>30</v>
      </c>
      <c r="E6" s="1"/>
      <c r="F6" s="1"/>
      <c r="G6" s="1"/>
      <c r="H6" s="1"/>
      <c r="I6" s="1"/>
      <c r="J6" s="1"/>
      <c r="K6" s="3">
        <v>0.56579999999999997</v>
      </c>
      <c r="L6" s="1"/>
      <c r="M6" s="1"/>
      <c r="N6" s="1"/>
      <c r="O6" s="1"/>
      <c r="P6" s="5">
        <f>1684/4000</f>
        <v>0.42099999999999999</v>
      </c>
      <c r="Q6" s="1"/>
      <c r="R6" s="3">
        <v>0.65610000000000002</v>
      </c>
      <c r="S6" s="1"/>
      <c r="T6" s="1"/>
      <c r="U6" s="1" t="s">
        <v>31</v>
      </c>
      <c r="V6" s="1"/>
      <c r="W6" s="1"/>
    </row>
    <row r="7" spans="1:25" ht="14.5">
      <c r="A7" s="15" t="s">
        <v>22</v>
      </c>
      <c r="B7" s="1">
        <v>3023</v>
      </c>
      <c r="C7" s="6" t="s">
        <v>32</v>
      </c>
      <c r="D7" s="6" t="s">
        <v>33</v>
      </c>
      <c r="E7" s="6"/>
      <c r="F7" s="1"/>
      <c r="G7" s="1" t="s">
        <v>34</v>
      </c>
      <c r="H7" s="6" t="s">
        <v>35</v>
      </c>
      <c r="I7" s="6" t="s">
        <v>36</v>
      </c>
      <c r="J7" s="6"/>
      <c r="K7" s="3">
        <v>0.48680000000000001</v>
      </c>
      <c r="L7" s="1"/>
      <c r="M7" s="1"/>
      <c r="N7" s="1"/>
      <c r="O7" s="1"/>
      <c r="P7" s="5">
        <f>2804/4000</f>
        <v>0.70099999999999996</v>
      </c>
      <c r="Q7" s="1"/>
      <c r="R7" s="3">
        <v>0.65610000000000002</v>
      </c>
      <c r="S7" s="1"/>
      <c r="T7" s="1"/>
      <c r="U7" s="1" t="s">
        <v>31</v>
      </c>
      <c r="V7" s="1"/>
      <c r="W7" s="1"/>
    </row>
    <row r="8" spans="1:25" ht="14.5">
      <c r="A8" s="15" t="s">
        <v>22</v>
      </c>
      <c r="B8" s="1">
        <v>2957</v>
      </c>
      <c r="C8" s="1"/>
      <c r="D8" s="1" t="s">
        <v>37</v>
      </c>
      <c r="E8" s="1"/>
      <c r="F8" s="1"/>
      <c r="G8" s="1"/>
      <c r="H8" s="1"/>
      <c r="I8" s="1"/>
      <c r="J8" s="1"/>
      <c r="K8" s="3">
        <v>0.85529999999999995</v>
      </c>
      <c r="L8" s="1"/>
      <c r="M8" s="1"/>
      <c r="N8" s="1"/>
      <c r="O8" s="1"/>
      <c r="P8" s="5">
        <f>1916/4000</f>
        <v>0.47899999999999998</v>
      </c>
      <c r="Q8" s="1"/>
      <c r="R8" s="3">
        <v>0.65610000000000002</v>
      </c>
      <c r="S8" s="1"/>
      <c r="T8" s="1"/>
      <c r="U8" s="1"/>
      <c r="V8" s="1"/>
      <c r="W8" s="1"/>
    </row>
    <row r="9" spans="1:25" ht="14.5">
      <c r="A9" s="15" t="s">
        <v>38</v>
      </c>
      <c r="B9" s="1">
        <v>2971</v>
      </c>
      <c r="C9" s="1"/>
      <c r="D9" s="1" t="s">
        <v>39</v>
      </c>
      <c r="E9" s="1"/>
      <c r="F9" s="1"/>
      <c r="G9" s="1"/>
      <c r="H9" s="1"/>
      <c r="I9" s="1"/>
      <c r="J9" s="1"/>
      <c r="K9" s="3">
        <v>0.63160000000000005</v>
      </c>
      <c r="L9" s="1"/>
      <c r="M9" s="3">
        <v>0.91779999999999995</v>
      </c>
      <c r="N9" s="3">
        <v>0.64339999999999997</v>
      </c>
      <c r="O9" s="3"/>
      <c r="P9" s="1"/>
      <c r="Q9" s="3">
        <f>AVERAGE(K9:N9)</f>
        <v>0.73093333333333332</v>
      </c>
      <c r="R9" s="3">
        <v>0.77349999999999997</v>
      </c>
      <c r="S9" s="1"/>
      <c r="T9" s="1"/>
      <c r="U9" s="1"/>
      <c r="V9" s="1"/>
      <c r="W9" s="1"/>
    </row>
    <row r="10" spans="1:25" ht="14.5">
      <c r="A10" s="15" t="s">
        <v>38</v>
      </c>
      <c r="B10" s="1">
        <v>2963</v>
      </c>
      <c r="C10" s="1"/>
      <c r="D10" s="1" t="s">
        <v>40</v>
      </c>
      <c r="E10" s="1"/>
      <c r="F10" s="1"/>
      <c r="G10" s="1" t="s">
        <v>41</v>
      </c>
      <c r="H10" s="1"/>
      <c r="I10" s="1" t="s">
        <v>42</v>
      </c>
      <c r="J10" s="1"/>
      <c r="K10" s="1"/>
      <c r="L10" s="1"/>
      <c r="M10" s="1"/>
      <c r="N10" s="1"/>
      <c r="O10" s="1"/>
      <c r="P10" s="5">
        <f>3656/4000</f>
        <v>0.91400000000000003</v>
      </c>
      <c r="Q10" s="1"/>
      <c r="R10" s="5">
        <v>0.9</v>
      </c>
      <c r="S10" s="1"/>
      <c r="T10" s="1"/>
      <c r="U10" s="1"/>
      <c r="V10" s="1"/>
      <c r="W10" s="1"/>
    </row>
    <row r="11" spans="1:25" ht="14.5">
      <c r="A11" s="15" t="s">
        <v>38</v>
      </c>
      <c r="B11" s="1">
        <v>2963</v>
      </c>
      <c r="C11" s="1"/>
      <c r="D11" s="1" t="s">
        <v>43</v>
      </c>
      <c r="E11" s="1"/>
      <c r="F11" s="1"/>
      <c r="G11" s="1"/>
      <c r="H11" s="1"/>
      <c r="I11" s="1" t="s">
        <v>42</v>
      </c>
      <c r="J11" s="1">
        <v>12</v>
      </c>
      <c r="K11" s="1"/>
      <c r="L11" s="1"/>
      <c r="M11" s="1"/>
      <c r="N11" s="1"/>
      <c r="O11" s="1"/>
      <c r="P11" s="1"/>
      <c r="Q11" s="1"/>
      <c r="R11" s="1"/>
      <c r="S11" s="1"/>
      <c r="T11" s="1"/>
      <c r="U11" s="1"/>
      <c r="V11" s="1"/>
      <c r="W11" s="1"/>
    </row>
    <row r="12" spans="1:25" ht="14.5">
      <c r="A12" s="15" t="s">
        <v>38</v>
      </c>
      <c r="B12" s="1">
        <v>2963</v>
      </c>
      <c r="C12" s="1"/>
      <c r="D12" s="1" t="s">
        <v>44</v>
      </c>
      <c r="E12" s="1"/>
      <c r="F12" s="1"/>
      <c r="G12" s="1"/>
      <c r="H12" s="1"/>
      <c r="I12" s="1" t="s">
        <v>42</v>
      </c>
      <c r="J12" s="1">
        <v>21</v>
      </c>
      <c r="K12" s="1"/>
      <c r="L12" s="1"/>
      <c r="M12" s="1"/>
      <c r="N12" s="1"/>
      <c r="O12" s="1"/>
      <c r="P12" s="1"/>
      <c r="Q12" s="1"/>
      <c r="R12" s="1"/>
      <c r="S12" s="1"/>
      <c r="T12" s="1"/>
      <c r="U12" s="1"/>
      <c r="V12" s="1"/>
      <c r="W12" s="1"/>
    </row>
    <row r="13" spans="1:25" ht="14.5">
      <c r="A13" s="15" t="s">
        <v>38</v>
      </c>
      <c r="B13" s="1">
        <v>2963</v>
      </c>
      <c r="C13" s="1"/>
      <c r="D13" s="1" t="s">
        <v>45</v>
      </c>
      <c r="E13" s="1"/>
      <c r="F13" s="1"/>
      <c r="G13" s="1"/>
      <c r="H13" s="1"/>
      <c r="I13" s="1" t="s">
        <v>42</v>
      </c>
      <c r="J13" s="1">
        <v>6</v>
      </c>
      <c r="K13" s="1"/>
      <c r="L13" s="1"/>
      <c r="M13" s="1"/>
      <c r="N13" s="1"/>
      <c r="O13" s="1"/>
      <c r="P13" s="1"/>
      <c r="Q13" s="1"/>
      <c r="R13" s="1"/>
      <c r="S13" s="1"/>
      <c r="T13" s="1"/>
      <c r="U13" s="1"/>
      <c r="V13" s="1"/>
      <c r="W13" s="1"/>
    </row>
    <row r="14" spans="1:25" ht="14.5">
      <c r="A14" s="15" t="s">
        <v>38</v>
      </c>
      <c r="B14" s="1">
        <v>2962</v>
      </c>
      <c r="C14" s="1"/>
      <c r="D14" s="1" t="s">
        <v>46</v>
      </c>
      <c r="E14" s="1"/>
      <c r="F14" s="1"/>
      <c r="G14" s="1"/>
      <c r="H14" s="1" t="s">
        <v>47</v>
      </c>
      <c r="I14" s="1" t="s">
        <v>48</v>
      </c>
      <c r="J14" s="1"/>
      <c r="K14" s="5">
        <f>410/760</f>
        <v>0.53947368421052633</v>
      </c>
      <c r="L14" s="1"/>
      <c r="M14" s="5">
        <f>345/365</f>
        <v>0.9452054794520548</v>
      </c>
      <c r="N14" s="7">
        <f>231/415</f>
        <v>0.55662650602409636</v>
      </c>
      <c r="O14" s="7"/>
      <c r="P14" s="1"/>
      <c r="Q14" s="4">
        <f>AVERAGE(N14,K14,M14)</f>
        <v>0.68043522322889238</v>
      </c>
      <c r="R14" s="3">
        <v>0.59499999999999997</v>
      </c>
      <c r="S14" s="1"/>
      <c r="T14" s="1"/>
      <c r="U14" s="1"/>
      <c r="V14" s="1"/>
      <c r="W14" s="1"/>
    </row>
    <row r="15" spans="1:25" ht="14.5">
      <c r="A15" s="15" t="s">
        <v>38</v>
      </c>
      <c r="B15" s="1">
        <v>2962</v>
      </c>
      <c r="C15" s="1"/>
      <c r="D15" s="1" t="s">
        <v>49</v>
      </c>
      <c r="E15" s="1"/>
      <c r="F15" s="1"/>
      <c r="G15" s="1"/>
      <c r="H15" s="1" t="s">
        <v>50</v>
      </c>
      <c r="I15" s="1" t="s">
        <v>48</v>
      </c>
      <c r="J15" s="1"/>
      <c r="K15" s="5">
        <f>610/760</f>
        <v>0.80263157894736847</v>
      </c>
      <c r="L15" s="5"/>
      <c r="M15" s="5">
        <f>350/365</f>
        <v>0.95890410958904104</v>
      </c>
      <c r="N15" s="5">
        <f>348/415</f>
        <v>0.83855421686746989</v>
      </c>
      <c r="O15" s="5"/>
      <c r="P15" s="1"/>
      <c r="Q15" s="4">
        <f>AVERAGE(N15,K15,M15)</f>
        <v>0.86669663513462647</v>
      </c>
      <c r="R15" s="3">
        <v>0.59499999999999997</v>
      </c>
      <c r="S15" s="1"/>
      <c r="T15" s="1" t="s">
        <v>51</v>
      </c>
      <c r="U15" s="1"/>
      <c r="V15" s="1"/>
      <c r="W15" s="1"/>
    </row>
    <row r="16" spans="1:25" ht="14.5">
      <c r="A16" s="15" t="s">
        <v>38</v>
      </c>
      <c r="B16" s="1">
        <v>2962</v>
      </c>
      <c r="C16" s="1"/>
      <c r="D16" s="1" t="s">
        <v>52</v>
      </c>
      <c r="E16" s="1"/>
      <c r="F16" s="1"/>
      <c r="G16" s="1" t="s">
        <v>41</v>
      </c>
      <c r="H16" s="1" t="s">
        <v>50</v>
      </c>
      <c r="I16" s="1" t="s">
        <v>48</v>
      </c>
      <c r="J16" s="1"/>
      <c r="K16" s="5">
        <f>550/760</f>
        <v>0.72368421052631582</v>
      </c>
      <c r="L16" s="1"/>
      <c r="M16" s="5">
        <f>355/365</f>
        <v>0.9726027397260274</v>
      </c>
      <c r="N16" s="5">
        <f>381/415</f>
        <v>0.91807228915662653</v>
      </c>
      <c r="O16" s="5"/>
      <c r="P16" s="1"/>
      <c r="Q16" s="4">
        <f>AVERAGE(N16,K16,M16)</f>
        <v>0.87145307980298992</v>
      </c>
      <c r="R16" s="3">
        <v>0.59499999999999997</v>
      </c>
      <c r="S16" s="1"/>
      <c r="T16" s="1"/>
      <c r="U16" s="1"/>
      <c r="V16" s="1"/>
      <c r="W16" s="1"/>
    </row>
    <row r="17" spans="1:23" ht="14.5">
      <c r="A17" s="15" t="s">
        <v>38</v>
      </c>
      <c r="B17" s="1">
        <v>2976</v>
      </c>
      <c r="C17" s="1"/>
      <c r="D17" s="1" t="s">
        <v>53</v>
      </c>
      <c r="E17" s="1"/>
      <c r="F17" s="1"/>
      <c r="G17" s="1"/>
      <c r="H17" s="1" t="s">
        <v>50</v>
      </c>
      <c r="I17" s="1" t="s">
        <v>54</v>
      </c>
      <c r="J17" s="1"/>
      <c r="K17" s="1"/>
      <c r="L17" s="1"/>
      <c r="M17" s="1"/>
      <c r="N17" s="1"/>
      <c r="O17" s="1"/>
      <c r="P17" s="5">
        <v>0.87</v>
      </c>
      <c r="Q17" s="1"/>
      <c r="R17" s="3">
        <v>0.65610000000000002</v>
      </c>
      <c r="S17" s="1"/>
      <c r="T17" s="1"/>
      <c r="U17" s="1"/>
      <c r="V17" s="1"/>
      <c r="W17" s="1"/>
    </row>
    <row r="18" spans="1:23" ht="14.5">
      <c r="A18" s="15" t="s">
        <v>38</v>
      </c>
      <c r="B18" s="1">
        <v>2976</v>
      </c>
      <c r="C18" s="1"/>
      <c r="D18" s="1" t="s">
        <v>55</v>
      </c>
      <c r="E18" s="1"/>
      <c r="F18" s="1"/>
      <c r="G18" s="1" t="s">
        <v>26</v>
      </c>
      <c r="H18" s="1"/>
      <c r="I18" s="1" t="s">
        <v>54</v>
      </c>
      <c r="J18" s="1"/>
      <c r="K18" s="1"/>
      <c r="L18" s="1"/>
      <c r="M18" s="1"/>
      <c r="N18" s="1"/>
      <c r="O18" s="1"/>
      <c r="P18" s="5">
        <f>1492/4000</f>
        <v>0.373</v>
      </c>
      <c r="Q18" s="1"/>
      <c r="R18" s="3">
        <v>0.65610000000000002</v>
      </c>
      <c r="S18" s="1"/>
      <c r="T18" s="1" t="s">
        <v>56</v>
      </c>
      <c r="U18" s="1"/>
      <c r="V18" s="1"/>
      <c r="W18" s="1"/>
    </row>
    <row r="19" spans="1:23" ht="14.5">
      <c r="A19" s="15" t="s">
        <v>38</v>
      </c>
      <c r="B19" s="1">
        <v>2975</v>
      </c>
      <c r="C19" s="1"/>
      <c r="D19" s="1" t="s">
        <v>57</v>
      </c>
      <c r="E19" s="1"/>
      <c r="F19" s="1"/>
      <c r="G19" s="1"/>
      <c r="H19" s="1"/>
      <c r="I19" s="1" t="s">
        <v>54</v>
      </c>
      <c r="J19" s="1"/>
      <c r="K19" s="1"/>
      <c r="L19" s="1"/>
      <c r="M19" s="1"/>
      <c r="N19" s="1"/>
      <c r="O19" s="1"/>
      <c r="P19" s="5">
        <f>1828/4000</f>
        <v>0.45700000000000002</v>
      </c>
      <c r="Q19" s="1"/>
      <c r="R19" s="3">
        <v>0.65610000000000002</v>
      </c>
      <c r="S19" s="1"/>
      <c r="T19" s="1"/>
      <c r="U19" s="1"/>
      <c r="V19" s="1"/>
      <c r="W19" s="1"/>
    </row>
    <row r="20" spans="1:23" ht="14.5">
      <c r="A20" s="15" t="s">
        <v>38</v>
      </c>
      <c r="B20" s="1">
        <v>2979</v>
      </c>
      <c r="C20" s="1"/>
      <c r="D20" s="1" t="s">
        <v>58</v>
      </c>
      <c r="E20" s="1"/>
      <c r="F20" s="1"/>
      <c r="G20" s="1" t="s">
        <v>59</v>
      </c>
      <c r="H20" s="1"/>
      <c r="I20" s="1" t="s">
        <v>60</v>
      </c>
      <c r="J20" s="1"/>
      <c r="K20" s="1"/>
      <c r="L20" s="1"/>
      <c r="M20" s="1"/>
      <c r="N20" s="1"/>
      <c r="O20" s="1"/>
      <c r="P20" s="5">
        <f>3464/4000</f>
        <v>0.86599999999999999</v>
      </c>
      <c r="Q20" s="1"/>
      <c r="R20" s="3">
        <v>0.85289999999999999</v>
      </c>
      <c r="S20" s="1"/>
      <c r="T20" s="1"/>
      <c r="U20" s="1"/>
      <c r="V20" s="1"/>
      <c r="W20" s="1"/>
    </row>
    <row r="21" spans="1:23" ht="14.5">
      <c r="A21" s="15" t="s">
        <v>38</v>
      </c>
      <c r="B21" s="1">
        <v>2995</v>
      </c>
      <c r="C21" s="9"/>
      <c r="D21" s="9" t="s">
        <v>61</v>
      </c>
      <c r="E21" s="1"/>
      <c r="F21" s="1"/>
      <c r="G21" s="1" t="s">
        <v>192</v>
      </c>
      <c r="H21" s="1"/>
      <c r="I21" s="1" t="s">
        <v>63</v>
      </c>
      <c r="J21" s="1">
        <v>5</v>
      </c>
      <c r="K21" s="3">
        <v>0.61839999999999995</v>
      </c>
      <c r="L21" s="3">
        <v>0.93500000000000005</v>
      </c>
      <c r="M21" s="1"/>
      <c r="N21" s="1"/>
      <c r="O21" s="1"/>
      <c r="P21" s="5">
        <f>3548/4000</f>
        <v>0.88700000000000001</v>
      </c>
      <c r="Q21" s="1"/>
      <c r="R21" s="8">
        <v>0.76622000000000001</v>
      </c>
      <c r="S21" s="1"/>
      <c r="T21" s="1"/>
      <c r="U21" s="1"/>
      <c r="V21" s="1">
        <v>6000000</v>
      </c>
      <c r="W21" s="1"/>
    </row>
    <row r="22" spans="1:23" ht="14.5">
      <c r="A22" s="15" t="s">
        <v>38</v>
      </c>
      <c r="B22" s="1">
        <v>2995</v>
      </c>
      <c r="C22" s="11"/>
      <c r="D22" s="11" t="s">
        <v>64</v>
      </c>
      <c r="E22" s="1"/>
      <c r="F22" s="1"/>
      <c r="G22" s="1" t="s">
        <v>62</v>
      </c>
      <c r="H22" s="1"/>
      <c r="I22" s="1" t="s">
        <v>63</v>
      </c>
      <c r="J22" s="1">
        <v>2</v>
      </c>
      <c r="K22" s="3">
        <v>0.94420000000000004</v>
      </c>
      <c r="L22" s="3">
        <v>0.875</v>
      </c>
      <c r="M22" s="1"/>
      <c r="N22" s="1"/>
      <c r="O22" s="1"/>
      <c r="P22" s="5">
        <f>3228/4000</f>
        <v>0.80700000000000005</v>
      </c>
      <c r="Q22" s="1"/>
      <c r="R22" s="8">
        <v>0.76622000000000001</v>
      </c>
      <c r="S22" s="1"/>
      <c r="T22" s="1"/>
      <c r="U22" s="1"/>
      <c r="V22" s="1"/>
      <c r="W22" s="1"/>
    </row>
    <row r="23" spans="1:23" ht="14.5">
      <c r="A23" s="15" t="s">
        <v>38</v>
      </c>
      <c r="B23" s="1">
        <v>2995</v>
      </c>
      <c r="C23" s="1"/>
      <c r="D23" s="1" t="s">
        <v>65</v>
      </c>
      <c r="E23" s="1"/>
      <c r="F23" s="1"/>
      <c r="G23" s="1" t="s">
        <v>26</v>
      </c>
      <c r="H23" s="1"/>
      <c r="I23" s="1" t="s">
        <v>63</v>
      </c>
      <c r="J23" s="1">
        <v>2</v>
      </c>
      <c r="K23" s="4">
        <v>0.5</v>
      </c>
      <c r="L23" s="3">
        <v>0.77249999999999996</v>
      </c>
      <c r="M23" s="1"/>
      <c r="N23" s="1"/>
      <c r="O23" s="1"/>
      <c r="P23" s="5">
        <f>3216/4000</f>
        <v>0.80400000000000005</v>
      </c>
      <c r="Q23" s="1"/>
      <c r="R23" s="8">
        <v>0.76622000000000001</v>
      </c>
      <c r="S23" s="1"/>
      <c r="T23" s="1"/>
      <c r="U23" s="1"/>
      <c r="V23" s="1"/>
      <c r="W23" s="1"/>
    </row>
    <row r="24" spans="1:23" ht="14.5">
      <c r="A24" s="15" t="s">
        <v>38</v>
      </c>
      <c r="B24" s="1">
        <v>2993</v>
      </c>
      <c r="C24" s="1"/>
      <c r="D24" s="1" t="s">
        <v>66</v>
      </c>
      <c r="E24" s="1"/>
      <c r="F24" s="1"/>
      <c r="G24" s="1" t="s">
        <v>26</v>
      </c>
      <c r="H24" s="1"/>
      <c r="I24" s="1" t="s">
        <v>67</v>
      </c>
      <c r="J24" s="1"/>
      <c r="K24" s="3">
        <v>0.63160000000000005</v>
      </c>
      <c r="L24" s="1"/>
      <c r="M24" s="1" t="s">
        <v>68</v>
      </c>
      <c r="N24" s="1"/>
      <c r="O24" s="1"/>
      <c r="P24" s="12">
        <f>2176/4000</f>
        <v>0.54400000000000004</v>
      </c>
      <c r="Q24" s="1"/>
      <c r="R24" s="4">
        <v>0.9</v>
      </c>
      <c r="S24" s="1"/>
      <c r="T24" s="1"/>
      <c r="U24" s="1"/>
      <c r="V24" s="1"/>
      <c r="W24" s="1"/>
    </row>
    <row r="25" spans="1:23" ht="14.5">
      <c r="A25" s="15" t="s">
        <v>38</v>
      </c>
      <c r="B25" s="1">
        <v>2993</v>
      </c>
      <c r="C25" s="1"/>
      <c r="D25" s="1" t="s">
        <v>69</v>
      </c>
      <c r="E25" s="1"/>
      <c r="F25" s="1"/>
      <c r="G25" s="1" t="s">
        <v>26</v>
      </c>
      <c r="H25" s="1"/>
      <c r="I25" s="1" t="s">
        <v>67</v>
      </c>
      <c r="J25" s="1"/>
      <c r="K25" s="3">
        <v>0.51319999999999999</v>
      </c>
      <c r="L25" s="1"/>
      <c r="M25" s="3">
        <v>0.88219999999999998</v>
      </c>
      <c r="N25" s="1"/>
      <c r="O25" s="1"/>
      <c r="P25" s="13">
        <f>2604/4000</f>
        <v>0.65100000000000002</v>
      </c>
      <c r="Q25" s="1"/>
      <c r="R25" s="4">
        <v>0.9</v>
      </c>
      <c r="S25" s="1"/>
      <c r="T25" s="1"/>
      <c r="U25" s="1"/>
      <c r="V25" s="1"/>
      <c r="W25" s="1"/>
    </row>
    <row r="26" spans="1:23" ht="14.5">
      <c r="A26" s="15" t="s">
        <v>38</v>
      </c>
      <c r="B26" s="1">
        <v>2993</v>
      </c>
      <c r="C26" s="1"/>
      <c r="D26" s="1" t="s">
        <v>46</v>
      </c>
      <c r="E26" s="1"/>
      <c r="F26" s="1"/>
      <c r="G26" s="1" t="s">
        <v>62</v>
      </c>
      <c r="H26" s="1"/>
      <c r="I26" s="1" t="s">
        <v>67</v>
      </c>
      <c r="J26" s="1"/>
      <c r="K26" s="3">
        <v>0.53949999999999998</v>
      </c>
      <c r="L26" s="1"/>
      <c r="M26" s="3">
        <v>0.94520000000000004</v>
      </c>
      <c r="N26" s="1"/>
      <c r="O26" s="1"/>
      <c r="P26" s="13">
        <f>3396/4000</f>
        <v>0.84899999999999998</v>
      </c>
      <c r="Q26" s="1"/>
      <c r="R26" s="4">
        <v>0.9</v>
      </c>
      <c r="S26" s="1"/>
      <c r="T26" s="1"/>
      <c r="U26" s="1"/>
      <c r="V26" s="1" t="s">
        <v>47</v>
      </c>
      <c r="W26" s="1"/>
    </row>
    <row r="27" spans="1:23" ht="14.5">
      <c r="A27" s="15" t="s">
        <v>38</v>
      </c>
      <c r="B27" s="1">
        <v>2993</v>
      </c>
      <c r="C27" s="10"/>
      <c r="D27" s="1" t="s">
        <v>70</v>
      </c>
      <c r="E27" s="1"/>
      <c r="F27" s="1"/>
      <c r="G27" s="1" t="s">
        <v>26</v>
      </c>
      <c r="H27" s="1"/>
      <c r="I27" s="1" t="s">
        <v>67</v>
      </c>
      <c r="J27" s="1"/>
      <c r="K27" s="1"/>
      <c r="L27" s="1"/>
      <c r="M27" s="1"/>
      <c r="N27" s="1"/>
      <c r="O27" s="1"/>
      <c r="P27" s="12">
        <f>2468/4000</f>
        <v>0.61699999999999999</v>
      </c>
      <c r="Q27" s="1"/>
      <c r="R27" s="4">
        <v>0.9</v>
      </c>
      <c r="S27" s="1"/>
      <c r="T27" s="1"/>
      <c r="U27" s="1"/>
      <c r="V27" s="1" t="s">
        <v>50</v>
      </c>
      <c r="W27" s="1"/>
    </row>
    <row r="28" spans="1:23" ht="14.5">
      <c r="A28" s="15" t="s">
        <v>38</v>
      </c>
      <c r="B28" s="1">
        <v>2993</v>
      </c>
      <c r="C28" s="1"/>
      <c r="D28" s="1" t="s">
        <v>71</v>
      </c>
      <c r="E28" s="1"/>
      <c r="F28" s="1"/>
      <c r="G28" s="1" t="s">
        <v>26</v>
      </c>
      <c r="H28" s="1"/>
      <c r="I28" s="1" t="s">
        <v>67</v>
      </c>
      <c r="J28" s="1"/>
      <c r="K28" s="1"/>
      <c r="L28" s="1"/>
      <c r="M28" s="1"/>
      <c r="N28" s="1"/>
      <c r="O28" s="1"/>
      <c r="P28" s="12">
        <f>1848/4000</f>
        <v>0.46200000000000002</v>
      </c>
      <c r="Q28" s="1"/>
      <c r="R28" s="4">
        <v>0.9</v>
      </c>
      <c r="S28" s="1"/>
      <c r="T28" s="1"/>
      <c r="U28" s="1"/>
      <c r="V28" s="1"/>
      <c r="W28" s="1"/>
    </row>
    <row r="29" spans="1:23" ht="14.5">
      <c r="A29" s="15" t="s">
        <v>38</v>
      </c>
      <c r="B29" s="1">
        <v>2993</v>
      </c>
      <c r="C29" s="10"/>
      <c r="D29" s="1" t="s">
        <v>72</v>
      </c>
      <c r="E29" s="1"/>
      <c r="F29" s="1"/>
      <c r="G29" s="1" t="s">
        <v>26</v>
      </c>
      <c r="H29" s="1"/>
      <c r="I29" s="1" t="s">
        <v>67</v>
      </c>
      <c r="J29" s="1"/>
      <c r="K29" s="1"/>
      <c r="L29" s="1"/>
      <c r="M29" s="1"/>
      <c r="N29" s="1"/>
      <c r="O29" s="1"/>
      <c r="P29" s="13">
        <f>1924/4000</f>
        <v>0.48099999999999998</v>
      </c>
      <c r="Q29" s="1"/>
      <c r="R29" s="4">
        <v>0.9</v>
      </c>
      <c r="S29" s="1"/>
      <c r="T29" s="1"/>
      <c r="U29" s="1"/>
      <c r="V29" s="1"/>
      <c r="W29" s="1"/>
    </row>
    <row r="30" spans="1:23" ht="14.5">
      <c r="A30" s="15" t="s">
        <v>38</v>
      </c>
      <c r="B30" s="1">
        <v>2996</v>
      </c>
      <c r="C30" s="1"/>
      <c r="D30" s="1" t="s">
        <v>73</v>
      </c>
      <c r="E30" s="1"/>
      <c r="F30" s="1"/>
      <c r="G30" s="1" t="s">
        <v>26</v>
      </c>
      <c r="H30" s="1"/>
      <c r="I30" s="1" t="s">
        <v>74</v>
      </c>
      <c r="J30" s="1"/>
      <c r="K30" s="1"/>
      <c r="L30" s="1"/>
      <c r="M30" s="1"/>
      <c r="N30" s="1"/>
      <c r="O30" s="1"/>
      <c r="P30" s="12">
        <f>2668/4000</f>
        <v>0.66700000000000004</v>
      </c>
      <c r="Q30" s="1"/>
      <c r="R30" s="4">
        <v>0.85</v>
      </c>
      <c r="S30" s="1"/>
      <c r="T30" s="1"/>
      <c r="U30" s="1"/>
      <c r="V30" s="1">
        <v>8000000</v>
      </c>
      <c r="W30" s="1"/>
    </row>
    <row r="31" spans="1:23" ht="14.5">
      <c r="A31" s="15" t="s">
        <v>38</v>
      </c>
      <c r="B31" s="1">
        <v>2996</v>
      </c>
      <c r="C31" s="1"/>
      <c r="D31" s="1" t="s">
        <v>75</v>
      </c>
      <c r="E31" s="1"/>
      <c r="F31" s="1"/>
      <c r="G31" s="1" t="s">
        <v>62</v>
      </c>
      <c r="H31" s="1"/>
      <c r="I31" s="1" t="s">
        <v>74</v>
      </c>
      <c r="J31" s="1"/>
      <c r="K31" s="1"/>
      <c r="L31" s="1"/>
      <c r="M31" s="1"/>
      <c r="N31" s="1"/>
      <c r="O31" s="1"/>
      <c r="P31" s="12">
        <f>3000/4000</f>
        <v>0.75</v>
      </c>
      <c r="Q31" s="1"/>
      <c r="R31" s="4">
        <v>0.85</v>
      </c>
      <c r="S31" s="1"/>
      <c r="T31" s="1"/>
      <c r="U31" s="1"/>
      <c r="V31" s="1">
        <v>6000000</v>
      </c>
      <c r="W31" s="1"/>
    </row>
    <row r="32" spans="1:23" ht="14.5">
      <c r="A32" s="15" t="s">
        <v>38</v>
      </c>
      <c r="B32" s="1">
        <v>2996</v>
      </c>
      <c r="C32" s="1"/>
      <c r="D32" s="1" t="s">
        <v>76</v>
      </c>
      <c r="E32" s="1"/>
      <c r="F32" s="1"/>
      <c r="G32" s="1" t="s">
        <v>26</v>
      </c>
      <c r="H32" s="1"/>
      <c r="I32" s="1" t="s">
        <v>74</v>
      </c>
      <c r="J32" s="1"/>
      <c r="K32" s="1"/>
      <c r="L32" s="1"/>
      <c r="M32" s="1"/>
      <c r="N32" s="1"/>
      <c r="O32" s="3">
        <v>0.84619999999999995</v>
      </c>
      <c r="P32" s="5">
        <f>2268/4000</f>
        <v>0.56699999999999995</v>
      </c>
      <c r="Q32" s="1"/>
      <c r="R32" s="4">
        <v>0.85</v>
      </c>
      <c r="S32" s="1"/>
      <c r="T32" s="1"/>
      <c r="U32" s="1"/>
      <c r="V32" s="1">
        <v>6500000</v>
      </c>
      <c r="W32" s="1"/>
    </row>
    <row r="33" spans="1:25" ht="14.5">
      <c r="A33" s="15" t="s">
        <v>77</v>
      </c>
      <c r="B33" s="1">
        <v>3005</v>
      </c>
      <c r="C33" s="1"/>
      <c r="D33" s="1" t="s">
        <v>78</v>
      </c>
      <c r="E33" s="1"/>
      <c r="F33" s="1"/>
      <c r="G33" s="1" t="s">
        <v>26</v>
      </c>
      <c r="H33" s="1"/>
      <c r="I33" s="1" t="s">
        <v>67</v>
      </c>
      <c r="J33" s="1"/>
      <c r="K33" s="1"/>
      <c r="L33" s="1"/>
      <c r="M33" s="1"/>
      <c r="N33" s="1"/>
      <c r="O33" s="1"/>
      <c r="P33" s="5">
        <f>2308/4000</f>
        <v>0.57699999999999996</v>
      </c>
      <c r="Q33" s="1"/>
      <c r="R33" s="4">
        <v>0.9</v>
      </c>
      <c r="S33" s="1"/>
      <c r="T33" s="1"/>
      <c r="U33" s="1"/>
      <c r="V33" s="1"/>
      <c r="W33" s="1"/>
    </row>
    <row r="34" spans="1:25" ht="14.5">
      <c r="A34" s="16" t="s">
        <v>77</v>
      </c>
      <c r="B34" s="17">
        <v>3075</v>
      </c>
      <c r="C34" s="17"/>
      <c r="D34" s="38" t="s">
        <v>79</v>
      </c>
      <c r="E34" s="17"/>
      <c r="F34" s="17"/>
      <c r="G34" s="17" t="s">
        <v>95</v>
      </c>
      <c r="H34" s="17"/>
      <c r="I34" s="17" t="s">
        <v>67</v>
      </c>
      <c r="J34" s="17"/>
      <c r="K34" s="34">
        <v>0.85529999999999995</v>
      </c>
      <c r="L34" s="17"/>
      <c r="M34" s="34">
        <v>0.88219999999999998</v>
      </c>
      <c r="N34" s="17"/>
      <c r="O34" s="17"/>
      <c r="P34" s="35">
        <f>3880/4000</f>
        <v>0.97</v>
      </c>
      <c r="Q34" s="17"/>
      <c r="R34" s="22">
        <v>0.9</v>
      </c>
      <c r="S34" s="17"/>
      <c r="T34" s="17"/>
      <c r="U34" s="17"/>
      <c r="V34" s="17"/>
      <c r="W34" s="17"/>
    </row>
    <row r="35" spans="1:25" ht="14.5">
      <c r="A35" s="15" t="s">
        <v>77</v>
      </c>
      <c r="B35" s="14">
        <v>2993</v>
      </c>
      <c r="C35" s="1"/>
      <c r="D35" s="1" t="s">
        <v>81</v>
      </c>
      <c r="E35" s="1"/>
      <c r="F35" s="1"/>
      <c r="G35" s="1" t="s">
        <v>82</v>
      </c>
      <c r="H35" s="1"/>
      <c r="I35" s="1" t="s">
        <v>67</v>
      </c>
      <c r="J35" s="1"/>
      <c r="K35" s="3">
        <v>0.55069999999999997</v>
      </c>
      <c r="L35" s="1"/>
      <c r="M35" s="3">
        <v>0.56579999999999997</v>
      </c>
      <c r="N35" s="1"/>
      <c r="O35" s="1"/>
      <c r="P35" s="12">
        <f>3684/4000</f>
        <v>0.92100000000000004</v>
      </c>
      <c r="Q35" s="1"/>
      <c r="R35" s="4">
        <v>0.9</v>
      </c>
      <c r="S35" s="1"/>
      <c r="T35" s="1"/>
      <c r="U35" s="1"/>
      <c r="V35" s="1"/>
      <c r="W35" s="1"/>
      <c r="X35" s="1"/>
      <c r="Y35" s="1"/>
    </row>
    <row r="36" spans="1:25" ht="14.5">
      <c r="A36" s="15" t="s">
        <v>77</v>
      </c>
      <c r="B36" s="1">
        <v>2993</v>
      </c>
      <c r="C36" s="6"/>
      <c r="D36" s="6" t="s">
        <v>83</v>
      </c>
      <c r="E36" s="1"/>
      <c r="F36" s="1"/>
      <c r="G36" s="1" t="s">
        <v>26</v>
      </c>
      <c r="H36" s="1"/>
      <c r="I36" s="1"/>
      <c r="J36" s="1"/>
      <c r="K36" s="1"/>
      <c r="L36" s="1"/>
      <c r="M36" s="1"/>
      <c r="N36" s="1"/>
      <c r="O36" s="1"/>
      <c r="P36" s="13">
        <f>2232/4000</f>
        <v>0.55800000000000005</v>
      </c>
      <c r="Q36" s="1"/>
      <c r="R36" s="1"/>
      <c r="S36" s="1"/>
      <c r="T36" s="1"/>
      <c r="U36" s="1"/>
      <c r="V36" s="1"/>
      <c r="W36" s="1"/>
      <c r="X36" s="1"/>
      <c r="Y36" s="1"/>
    </row>
    <row r="37" spans="1:25" ht="14.5">
      <c r="A37" s="15" t="s">
        <v>77</v>
      </c>
      <c r="B37" s="1">
        <v>2993</v>
      </c>
      <c r="C37" s="1"/>
      <c r="D37" s="1" t="s">
        <v>84</v>
      </c>
      <c r="E37" s="1"/>
      <c r="F37" s="1"/>
      <c r="G37" s="1" t="s">
        <v>80</v>
      </c>
      <c r="H37" s="1"/>
      <c r="I37" s="1"/>
      <c r="J37" s="1"/>
      <c r="K37" s="3">
        <v>0.91779999999999995</v>
      </c>
      <c r="L37" s="1"/>
      <c r="M37" s="3">
        <v>0.53949999999999998</v>
      </c>
      <c r="N37" s="1"/>
      <c r="O37" s="1"/>
      <c r="P37" s="12">
        <f>3552/4000</f>
        <v>0.88800000000000001</v>
      </c>
      <c r="Q37" s="1"/>
      <c r="R37" s="1"/>
      <c r="S37" s="1"/>
      <c r="T37" s="1"/>
      <c r="U37" s="1"/>
      <c r="V37" s="1"/>
      <c r="W37" s="1"/>
      <c r="X37" s="1"/>
      <c r="Y37" s="1"/>
    </row>
    <row r="38" spans="1:25" ht="14.5">
      <c r="A38" s="1" t="s">
        <v>77</v>
      </c>
      <c r="B38" s="1">
        <v>3026</v>
      </c>
      <c r="C38" s="1"/>
      <c r="D38" s="1" t="s">
        <v>85</v>
      </c>
      <c r="E38" s="1"/>
      <c r="F38" s="1"/>
      <c r="G38" s="1" t="s">
        <v>26</v>
      </c>
      <c r="H38" s="1"/>
      <c r="I38" s="1" t="s">
        <v>67</v>
      </c>
      <c r="J38" s="1"/>
      <c r="K38" s="18">
        <f>370 / 760</f>
        <v>0.48684210526315791</v>
      </c>
      <c r="L38" s="19"/>
      <c r="M38" s="18">
        <f>255 / 365</f>
        <v>0.69863013698630139</v>
      </c>
      <c r="N38" s="19"/>
      <c r="O38" s="19"/>
      <c r="P38" s="18">
        <f>3700/4000</f>
        <v>0.92500000000000004</v>
      </c>
      <c r="Q38" s="20"/>
      <c r="R38" s="21">
        <v>0.9</v>
      </c>
      <c r="S38" s="1"/>
      <c r="T38" s="1"/>
      <c r="U38" s="1"/>
      <c r="V38" s="6" t="s">
        <v>86</v>
      </c>
      <c r="W38" s="1"/>
      <c r="X38" s="1"/>
      <c r="Y38" s="1"/>
    </row>
    <row r="39" spans="1:25" ht="14.5">
      <c r="A39" s="1" t="s">
        <v>77</v>
      </c>
      <c r="B39" s="1">
        <v>3026</v>
      </c>
      <c r="C39" s="1"/>
      <c r="D39" s="1" t="s">
        <v>87</v>
      </c>
      <c r="E39" s="1"/>
      <c r="F39" s="1"/>
      <c r="G39" s="1" t="s">
        <v>80</v>
      </c>
      <c r="H39" s="1"/>
      <c r="I39" s="1" t="s">
        <v>67</v>
      </c>
      <c r="J39" s="1"/>
      <c r="K39" s="18">
        <f>590 / 760</f>
        <v>0.77631578947368418</v>
      </c>
      <c r="L39" s="19"/>
      <c r="M39" s="18">
        <f>354 / 365</f>
        <v>0.96986301369863015</v>
      </c>
      <c r="N39" s="20"/>
      <c r="O39" s="20"/>
      <c r="P39" s="18">
        <f>3460/4000</f>
        <v>0.86499999999999999</v>
      </c>
      <c r="Q39" s="20"/>
      <c r="R39" s="21">
        <v>0.9</v>
      </c>
      <c r="S39" s="1"/>
      <c r="T39" s="1"/>
      <c r="U39" s="1"/>
      <c r="V39" s="6" t="s">
        <v>88</v>
      </c>
      <c r="W39" s="1"/>
      <c r="X39" s="1"/>
      <c r="Y39" s="1"/>
    </row>
    <row r="40" spans="1:25" ht="14.5">
      <c r="A40" s="1" t="s">
        <v>77</v>
      </c>
      <c r="B40" s="1">
        <v>3026</v>
      </c>
      <c r="C40" s="1"/>
      <c r="D40" s="1" t="s">
        <v>89</v>
      </c>
      <c r="E40" s="1"/>
      <c r="F40" s="1"/>
      <c r="G40" s="1" t="s">
        <v>26</v>
      </c>
      <c r="H40" s="1"/>
      <c r="I40" s="1" t="s">
        <v>67</v>
      </c>
      <c r="J40" s="1"/>
      <c r="K40" s="18">
        <f>460 / 760</f>
        <v>0.60526315789473684</v>
      </c>
      <c r="L40" s="19"/>
      <c r="M40" s="18">
        <f>285 / 365</f>
        <v>0.78082191780821919</v>
      </c>
      <c r="N40" s="19"/>
      <c r="O40" s="19"/>
      <c r="P40" s="18">
        <f>3340/4000</f>
        <v>0.83499999999999996</v>
      </c>
      <c r="Q40" s="20"/>
      <c r="R40" s="20"/>
      <c r="S40" s="1"/>
      <c r="T40" s="1"/>
      <c r="U40" s="1"/>
      <c r="V40" s="6" t="s">
        <v>86</v>
      </c>
      <c r="W40" s="1"/>
      <c r="X40" s="1"/>
      <c r="Y40" s="1"/>
    </row>
    <row r="41" spans="1:25" ht="14.5">
      <c r="A41" s="1" t="s">
        <v>77</v>
      </c>
      <c r="B41" s="1">
        <v>3026</v>
      </c>
      <c r="C41" s="10"/>
      <c r="D41" s="1" t="s">
        <v>90</v>
      </c>
      <c r="E41" s="1"/>
      <c r="F41" s="1"/>
      <c r="G41" s="1" t="s">
        <v>62</v>
      </c>
      <c r="H41" s="1"/>
      <c r="I41" s="1" t="s">
        <v>67</v>
      </c>
      <c r="J41" s="1"/>
      <c r="K41" s="18">
        <f>520 / 760</f>
        <v>0.68421052631578949</v>
      </c>
      <c r="L41" s="19"/>
      <c r="M41" s="18">
        <f>334 / 365</f>
        <v>0.91506849315068495</v>
      </c>
      <c r="N41" s="19"/>
      <c r="O41" s="19"/>
      <c r="P41" s="18">
        <f>3760/4000</f>
        <v>0.94</v>
      </c>
      <c r="Q41" s="20"/>
      <c r="R41" s="20"/>
      <c r="S41" s="1"/>
      <c r="T41" s="1"/>
      <c r="U41" s="1"/>
      <c r="V41" s="6" t="s">
        <v>91</v>
      </c>
      <c r="W41" s="1"/>
      <c r="X41" s="1"/>
      <c r="Y41" s="1"/>
    </row>
    <row r="42" spans="1:25" ht="14.5">
      <c r="A42" s="1" t="s">
        <v>77</v>
      </c>
      <c r="B42" s="1">
        <v>3036</v>
      </c>
      <c r="C42" s="1"/>
      <c r="D42" s="1" t="s">
        <v>92</v>
      </c>
      <c r="E42" s="1"/>
      <c r="F42" s="1"/>
      <c r="G42" s="1" t="s">
        <v>26</v>
      </c>
      <c r="H42" s="1"/>
      <c r="I42" s="1" t="s">
        <v>93</v>
      </c>
      <c r="J42" s="1"/>
      <c r="K42" s="12">
        <f>570 / 760</f>
        <v>0.75</v>
      </c>
      <c r="L42" s="1"/>
      <c r="M42" s="12">
        <f>311 / 415</f>
        <v>0.74939759036144582</v>
      </c>
      <c r="N42" s="1"/>
      <c r="O42" s="1"/>
      <c r="P42" s="18">
        <f>2284/4000</f>
        <v>0.57099999999999995</v>
      </c>
      <c r="Q42" s="1"/>
      <c r="R42" s="4">
        <v>0.75</v>
      </c>
      <c r="S42" s="1"/>
      <c r="T42" s="1"/>
      <c r="U42" s="1"/>
      <c r="V42" s="1"/>
      <c r="W42" s="1"/>
      <c r="X42" s="1"/>
      <c r="Y42" s="1"/>
    </row>
    <row r="43" spans="1:25" ht="14.5">
      <c r="A43" s="1" t="s">
        <v>77</v>
      </c>
      <c r="B43" s="1">
        <v>3036</v>
      </c>
      <c r="C43" s="1"/>
      <c r="D43" s="1" t="s">
        <v>94</v>
      </c>
      <c r="E43" s="1"/>
      <c r="F43" s="1"/>
      <c r="G43" s="1" t="s">
        <v>95</v>
      </c>
      <c r="H43" s="1"/>
      <c r="I43" s="1" t="s">
        <v>93</v>
      </c>
      <c r="J43" s="1"/>
      <c r="K43" s="1"/>
      <c r="L43" s="1"/>
      <c r="M43" s="1"/>
      <c r="N43" s="1"/>
      <c r="O43" s="1"/>
      <c r="P43" s="18">
        <v>0.81</v>
      </c>
      <c r="Q43" s="1"/>
      <c r="R43" s="4">
        <v>0.75</v>
      </c>
      <c r="S43" s="1"/>
      <c r="T43" s="1"/>
      <c r="U43" s="1"/>
      <c r="V43" s="1"/>
      <c r="W43" s="1"/>
      <c r="X43" s="1"/>
      <c r="Y43" s="1"/>
    </row>
    <row r="44" spans="1:25" ht="14.5">
      <c r="A44" s="28" t="s">
        <v>77</v>
      </c>
      <c r="B44" s="1">
        <v>3039</v>
      </c>
      <c r="C44" s="29" t="s">
        <v>96</v>
      </c>
      <c r="D44" s="1" t="s">
        <v>97</v>
      </c>
      <c r="E44" s="1"/>
      <c r="F44" s="1"/>
      <c r="G44" s="1" t="s">
        <v>95</v>
      </c>
      <c r="H44" s="1" t="s">
        <v>47</v>
      </c>
      <c r="I44" s="1" t="s">
        <v>98</v>
      </c>
      <c r="J44" s="1"/>
      <c r="K44" s="1"/>
      <c r="L44" s="1"/>
      <c r="M44" s="1"/>
      <c r="N44" s="1"/>
      <c r="O44" s="1"/>
      <c r="P44" s="18"/>
      <c r="Q44" s="1"/>
      <c r="R44" s="4"/>
      <c r="S44" s="1"/>
      <c r="T44" s="1"/>
      <c r="U44" s="1"/>
      <c r="V44" s="1"/>
      <c r="W44" s="1"/>
      <c r="X44" s="1"/>
      <c r="Y44" s="1"/>
    </row>
    <row r="45" spans="1:25" ht="14.5">
      <c r="A45" s="28" t="s">
        <v>77</v>
      </c>
      <c r="B45" s="1">
        <v>3041</v>
      </c>
      <c r="C45" s="29" t="s">
        <v>96</v>
      </c>
      <c r="D45" s="1" t="s">
        <v>99</v>
      </c>
      <c r="E45" s="1"/>
      <c r="F45" s="1"/>
      <c r="G45" s="1" t="s">
        <v>100</v>
      </c>
      <c r="H45" s="1" t="s">
        <v>47</v>
      </c>
      <c r="I45" s="1" t="s">
        <v>101</v>
      </c>
      <c r="J45" s="1"/>
      <c r="K45" s="1"/>
      <c r="L45" s="1"/>
      <c r="M45" s="1"/>
      <c r="N45" s="1"/>
      <c r="O45" s="1"/>
      <c r="P45" s="18"/>
      <c r="Q45" s="1"/>
      <c r="R45" s="1"/>
      <c r="S45" s="1"/>
      <c r="T45" s="1"/>
      <c r="U45" s="1"/>
      <c r="V45" s="1"/>
      <c r="W45" s="1"/>
      <c r="X45" s="1"/>
      <c r="Y45" s="1"/>
    </row>
    <row r="46" spans="1:25" ht="14.5">
      <c r="A46" s="28" t="s">
        <v>77</v>
      </c>
      <c r="B46" s="1">
        <v>3043</v>
      </c>
      <c r="C46" s="29" t="s">
        <v>102</v>
      </c>
      <c r="D46" s="1" t="s">
        <v>103</v>
      </c>
      <c r="E46" s="36" t="s">
        <v>105</v>
      </c>
      <c r="F46" s="29">
        <v>16077609</v>
      </c>
      <c r="G46" s="1" t="s">
        <v>121</v>
      </c>
      <c r="H46" s="1" t="s">
        <v>47</v>
      </c>
      <c r="I46" s="30" t="s">
        <v>104</v>
      </c>
      <c r="J46" s="37">
        <v>7</v>
      </c>
      <c r="K46" s="1"/>
      <c r="L46" s="1"/>
      <c r="M46" s="1"/>
      <c r="N46" s="1"/>
      <c r="O46" s="1"/>
      <c r="P46" s="18">
        <v>0.6</v>
      </c>
      <c r="Q46" s="1"/>
      <c r="R46" s="1" t="s">
        <v>106</v>
      </c>
      <c r="S46" s="1" t="s">
        <v>107</v>
      </c>
      <c r="T46" s="1" t="s">
        <v>108</v>
      </c>
      <c r="U46" s="1" t="s">
        <v>122</v>
      </c>
      <c r="V46" s="31">
        <v>12000000</v>
      </c>
      <c r="W46" s="4">
        <v>0.3</v>
      </c>
      <c r="X46" s="1"/>
      <c r="Y46" s="1"/>
    </row>
    <row r="47" spans="1:25" ht="14.5">
      <c r="A47" s="28" t="s">
        <v>77</v>
      </c>
      <c r="B47" s="1">
        <v>3043</v>
      </c>
      <c r="C47" s="29" t="s">
        <v>102</v>
      </c>
      <c r="D47" s="1" t="s">
        <v>110</v>
      </c>
      <c r="E47" s="1" t="s">
        <v>111</v>
      </c>
      <c r="F47" s="29" t="s">
        <v>109</v>
      </c>
      <c r="G47" s="1" t="s">
        <v>24</v>
      </c>
      <c r="H47" s="1" t="s">
        <v>47</v>
      </c>
      <c r="I47" s="30" t="s">
        <v>104</v>
      </c>
      <c r="J47" s="29">
        <v>8</v>
      </c>
      <c r="K47" s="3"/>
      <c r="L47" s="3"/>
      <c r="M47" s="3"/>
      <c r="N47" s="3"/>
      <c r="O47" s="3"/>
      <c r="P47" s="18">
        <v>0.81</v>
      </c>
      <c r="Q47" s="3"/>
      <c r="R47" s="3" t="s">
        <v>106</v>
      </c>
      <c r="S47" s="1" t="s">
        <v>112</v>
      </c>
      <c r="T47" s="1" t="s">
        <v>108</v>
      </c>
      <c r="U47" s="1" t="s">
        <v>122</v>
      </c>
      <c r="V47" s="31">
        <v>12000000</v>
      </c>
      <c r="W47" s="4">
        <v>0.3</v>
      </c>
      <c r="X47" s="1"/>
      <c r="Y47" s="1"/>
    </row>
    <row r="48" spans="1:25" ht="14.5">
      <c r="A48" s="28" t="s">
        <v>77</v>
      </c>
      <c r="B48" s="1">
        <v>3030</v>
      </c>
      <c r="C48" s="29" t="s">
        <v>96</v>
      </c>
      <c r="D48" s="1" t="s">
        <v>117</v>
      </c>
      <c r="E48" s="1" t="s">
        <v>118</v>
      </c>
      <c r="F48" s="1"/>
      <c r="G48" s="1" t="s">
        <v>121</v>
      </c>
      <c r="H48" s="1" t="s">
        <v>47</v>
      </c>
      <c r="I48" s="1" t="s">
        <v>113</v>
      </c>
      <c r="J48" s="1"/>
      <c r="K48" s="3"/>
      <c r="L48" s="3"/>
      <c r="M48" s="3"/>
      <c r="N48" s="3"/>
      <c r="O48" s="3"/>
      <c r="P48" s="18"/>
      <c r="Q48" s="3"/>
      <c r="R48" s="3"/>
      <c r="S48" s="1"/>
      <c r="T48" s="1"/>
      <c r="U48" s="1" t="s">
        <v>119</v>
      </c>
      <c r="V48" s="1"/>
      <c r="W48" s="1"/>
      <c r="X48" s="1"/>
      <c r="Y48" s="1"/>
    </row>
    <row r="49" spans="1:25" ht="15" customHeight="1">
      <c r="A49" s="1" t="s">
        <v>114</v>
      </c>
      <c r="B49" s="1">
        <v>3023</v>
      </c>
      <c r="C49" s="29" t="s">
        <v>96</v>
      </c>
      <c r="D49" s="1" t="s">
        <v>120</v>
      </c>
      <c r="E49" s="1"/>
      <c r="F49" s="1"/>
      <c r="G49" s="1" t="s">
        <v>121</v>
      </c>
      <c r="H49" s="1" t="s">
        <v>47</v>
      </c>
      <c r="I49" s="1" t="s">
        <v>115</v>
      </c>
      <c r="J49" s="1"/>
      <c r="K49" s="3"/>
      <c r="L49" s="3"/>
      <c r="M49" s="3"/>
      <c r="N49" s="3"/>
      <c r="O49" s="3"/>
      <c r="P49" s="18"/>
      <c r="Q49" s="3"/>
      <c r="R49" s="3"/>
      <c r="S49" s="1"/>
      <c r="T49" s="1" t="s">
        <v>144</v>
      </c>
      <c r="U49" s="1" t="s">
        <v>119</v>
      </c>
      <c r="V49" s="1"/>
      <c r="W49" s="1"/>
      <c r="X49" s="1"/>
      <c r="Y49" s="1"/>
    </row>
    <row r="50" spans="1:25" ht="15" customHeight="1">
      <c r="A50" s="1" t="s">
        <v>114</v>
      </c>
      <c r="B50" s="1">
        <v>3023</v>
      </c>
      <c r="C50" s="29" t="s">
        <v>96</v>
      </c>
      <c r="D50" s="1" t="s">
        <v>125</v>
      </c>
      <c r="E50" s="1"/>
      <c r="F50" s="1"/>
      <c r="G50" s="1" t="s">
        <v>182</v>
      </c>
      <c r="H50" s="1" t="s">
        <v>47</v>
      </c>
      <c r="I50" s="1" t="s">
        <v>115</v>
      </c>
      <c r="J50" s="1"/>
      <c r="K50" s="3"/>
      <c r="L50" s="3"/>
      <c r="M50" s="3"/>
      <c r="N50" s="3"/>
      <c r="O50" s="3"/>
      <c r="P50" s="18"/>
      <c r="Q50" s="3"/>
      <c r="R50" s="3"/>
      <c r="S50" s="1"/>
      <c r="T50" s="1"/>
      <c r="U50" s="1" t="s">
        <v>119</v>
      </c>
      <c r="V50" s="1"/>
      <c r="W50" s="1"/>
      <c r="X50" s="1"/>
      <c r="Y50" s="1"/>
    </row>
    <row r="51" spans="1:25" ht="15" customHeight="1">
      <c r="A51" s="1" t="s">
        <v>114</v>
      </c>
      <c r="B51" s="32">
        <v>3060</v>
      </c>
      <c r="C51" s="29" t="s">
        <v>96</v>
      </c>
      <c r="D51" s="1" t="s">
        <v>117</v>
      </c>
      <c r="E51" s="1"/>
      <c r="F51" s="1"/>
      <c r="G51" s="1" t="s">
        <v>181</v>
      </c>
      <c r="H51" s="1" t="s">
        <v>47</v>
      </c>
      <c r="I51" s="1" t="s">
        <v>116</v>
      </c>
      <c r="J51" s="1"/>
      <c r="K51" s="3"/>
      <c r="L51" s="3"/>
      <c r="M51" s="3"/>
      <c r="N51" s="3"/>
      <c r="O51" s="3"/>
      <c r="P51" s="18"/>
      <c r="Q51" s="3"/>
      <c r="R51" s="3"/>
      <c r="S51" s="1"/>
      <c r="T51" s="1"/>
      <c r="U51" s="1"/>
      <c r="V51" s="1"/>
      <c r="W51" s="1"/>
      <c r="X51" s="1"/>
      <c r="Y51" s="1"/>
    </row>
    <row r="52" spans="1:25" ht="15" customHeight="1">
      <c r="A52" s="1" t="s">
        <v>114</v>
      </c>
      <c r="B52" s="1">
        <v>3076</v>
      </c>
      <c r="C52" s="29" t="s">
        <v>102</v>
      </c>
      <c r="D52" s="39" t="s">
        <v>126</v>
      </c>
      <c r="E52" s="1"/>
      <c r="F52" s="1"/>
      <c r="G52" s="1" t="s">
        <v>121</v>
      </c>
      <c r="H52" s="1" t="s">
        <v>35</v>
      </c>
      <c r="I52" s="26" t="s">
        <v>127</v>
      </c>
      <c r="J52" s="1"/>
      <c r="K52" s="43">
        <f>470 / 760</f>
        <v>0.61842105263157898</v>
      </c>
      <c r="L52" s="43">
        <f>374 / 400</f>
        <v>0.93500000000000005</v>
      </c>
      <c r="M52" s="43"/>
      <c r="N52" s="43"/>
      <c r="O52" s="43"/>
      <c r="P52" s="18">
        <f>3548/4000</f>
        <v>0.88700000000000001</v>
      </c>
      <c r="Q52" s="3"/>
      <c r="R52" s="3">
        <v>0.76619999999999999</v>
      </c>
      <c r="S52" s="1"/>
      <c r="T52" s="1"/>
      <c r="U52" s="1"/>
      <c r="V52" s="1"/>
      <c r="W52" s="1"/>
      <c r="X52" s="1"/>
      <c r="Y52" s="1"/>
    </row>
    <row r="53" spans="1:25" ht="15" customHeight="1">
      <c r="A53" s="1" t="s">
        <v>114</v>
      </c>
      <c r="B53" s="1">
        <v>3080</v>
      </c>
      <c r="C53" s="29" t="s">
        <v>102</v>
      </c>
      <c r="D53" s="40" t="s">
        <v>128</v>
      </c>
      <c r="E53" s="1"/>
      <c r="F53" s="1"/>
      <c r="G53" s="1" t="s">
        <v>121</v>
      </c>
      <c r="H53" s="1" t="s">
        <v>35</v>
      </c>
      <c r="I53" s="26" t="s">
        <v>127</v>
      </c>
      <c r="J53" s="1"/>
      <c r="K53" s="43" t="s">
        <v>131</v>
      </c>
      <c r="L53" s="43" t="s">
        <v>130</v>
      </c>
      <c r="M53" s="43"/>
      <c r="N53" s="43"/>
      <c r="O53" s="43"/>
      <c r="P53" s="18">
        <f>3924/4000</f>
        <v>0.98099999999999998</v>
      </c>
      <c r="Q53" s="3"/>
      <c r="R53" s="8">
        <v>0.76622000000000001</v>
      </c>
      <c r="S53" s="1"/>
      <c r="T53" s="1"/>
      <c r="U53" s="1"/>
      <c r="V53" s="1"/>
      <c r="W53" s="1"/>
      <c r="X53" s="1"/>
      <c r="Y53" s="1"/>
    </row>
    <row r="54" spans="1:25" ht="15" customHeight="1">
      <c r="A54" s="1" t="s">
        <v>114</v>
      </c>
      <c r="B54" s="1">
        <v>3080</v>
      </c>
      <c r="C54" s="29" t="s">
        <v>102</v>
      </c>
      <c r="D54" s="9" t="s">
        <v>129</v>
      </c>
      <c r="E54" s="1"/>
      <c r="F54" s="1"/>
      <c r="G54" s="1" t="s">
        <v>121</v>
      </c>
      <c r="H54" s="1" t="s">
        <v>35</v>
      </c>
      <c r="I54" s="26" t="s">
        <v>127</v>
      </c>
      <c r="J54" s="1"/>
      <c r="K54" s="43" t="s">
        <v>139</v>
      </c>
      <c r="L54" s="44">
        <f>205 / 400</f>
        <v>0.51249999999999996</v>
      </c>
      <c r="M54" s="43"/>
      <c r="N54" s="43"/>
      <c r="O54" s="43"/>
      <c r="P54" s="18">
        <f>3060/4000</f>
        <v>0.76500000000000001</v>
      </c>
      <c r="Q54" s="3"/>
      <c r="R54" s="8">
        <v>0.76622000000000001</v>
      </c>
      <c r="S54" s="1"/>
      <c r="T54" s="1"/>
      <c r="U54" s="1"/>
      <c r="V54" s="1"/>
      <c r="W54" s="1"/>
      <c r="X54" s="1"/>
      <c r="Y54" s="1"/>
    </row>
    <row r="55" spans="1:25" ht="15" customHeight="1">
      <c r="A55" s="1" t="s">
        <v>114</v>
      </c>
      <c r="B55" s="1">
        <v>3081</v>
      </c>
      <c r="C55" s="29" t="s">
        <v>102</v>
      </c>
      <c r="D55" s="6" t="s">
        <v>132</v>
      </c>
      <c r="E55" s="1"/>
      <c r="F55" s="1"/>
      <c r="G55" s="1" t="s">
        <v>95</v>
      </c>
      <c r="H55" s="1" t="s">
        <v>35</v>
      </c>
      <c r="I55" s="27" t="s">
        <v>134</v>
      </c>
      <c r="J55" s="1"/>
      <c r="K55" s="43">
        <v>0.52629999999999999</v>
      </c>
      <c r="L55" s="43"/>
      <c r="M55" s="43" t="s">
        <v>133</v>
      </c>
      <c r="N55" s="43"/>
      <c r="O55" s="43"/>
      <c r="P55" s="18">
        <f>3604/4000</f>
        <v>0.90100000000000002</v>
      </c>
      <c r="Q55" s="3"/>
      <c r="R55" s="3">
        <v>0.9</v>
      </c>
      <c r="S55" s="1"/>
      <c r="T55" s="1"/>
      <c r="U55" s="1"/>
      <c r="V55" s="1"/>
      <c r="W55" s="1"/>
      <c r="X55" s="1"/>
      <c r="Y55" s="1"/>
    </row>
    <row r="56" spans="1:25" ht="14.5">
      <c r="A56" s="1" t="s">
        <v>114</v>
      </c>
      <c r="B56" s="1">
        <v>3096</v>
      </c>
      <c r="C56" s="10" t="s">
        <v>96</v>
      </c>
      <c r="D56" s="1" t="s">
        <v>90</v>
      </c>
      <c r="E56" s="1"/>
      <c r="F56" s="1"/>
      <c r="G56" s="1" t="s">
        <v>121</v>
      </c>
      <c r="H56" s="1" t="s">
        <v>35</v>
      </c>
      <c r="I56" s="1" t="s">
        <v>140</v>
      </c>
      <c r="J56" s="1"/>
      <c r="K56" s="45">
        <f>520 / 760</f>
        <v>0.68421052631578949</v>
      </c>
      <c r="L56" s="46"/>
      <c r="M56" s="45">
        <f>334 / 365</f>
        <v>0.91506849315068495</v>
      </c>
      <c r="N56" s="46">
        <v>0.92769999999999997</v>
      </c>
      <c r="O56" s="46"/>
      <c r="P56" s="18">
        <f>3760/4000</f>
        <v>0.94</v>
      </c>
      <c r="Q56" s="20"/>
      <c r="R56" s="20"/>
      <c r="S56" s="1"/>
      <c r="T56" s="1"/>
      <c r="U56" s="1"/>
      <c r="V56" s="6" t="s">
        <v>91</v>
      </c>
      <c r="W56" s="1"/>
      <c r="X56" s="1"/>
      <c r="Y56" s="1"/>
    </row>
    <row r="57" spans="1:25" ht="15" customHeight="1">
      <c r="A57" s="1" t="s">
        <v>114</v>
      </c>
      <c r="B57" s="1">
        <v>3094</v>
      </c>
      <c r="C57" s="29" t="s">
        <v>102</v>
      </c>
      <c r="D57" s="1" t="s">
        <v>141</v>
      </c>
      <c r="E57" s="1"/>
      <c r="F57" s="1"/>
      <c r="G57" s="1" t="s">
        <v>95</v>
      </c>
      <c r="H57" s="1" t="s">
        <v>35</v>
      </c>
      <c r="I57" s="26" t="s">
        <v>127</v>
      </c>
      <c r="J57" s="1"/>
      <c r="K57" s="44">
        <f>450 / 760</f>
        <v>0.59210526315789469</v>
      </c>
      <c r="L57" s="37"/>
      <c r="M57" s="37"/>
      <c r="N57" s="37" t="s">
        <v>143</v>
      </c>
      <c r="O57" s="37"/>
      <c r="P57" s="18">
        <f>3256/4000</f>
        <v>0.81399999999999995</v>
      </c>
      <c r="Q57" s="1"/>
      <c r="R57" s="8">
        <v>0.76622000000000001</v>
      </c>
      <c r="S57" s="1"/>
      <c r="T57" s="1"/>
      <c r="U57" s="1"/>
      <c r="V57" s="1"/>
      <c r="W57" s="1"/>
      <c r="X57" s="1"/>
      <c r="Y57" s="1"/>
    </row>
    <row r="58" spans="1:25" ht="15" customHeight="1">
      <c r="A58" s="1" t="s">
        <v>114</v>
      </c>
      <c r="B58" s="1">
        <v>3094</v>
      </c>
      <c r="C58" s="29" t="s">
        <v>102</v>
      </c>
      <c r="D58" s="1" t="s">
        <v>142</v>
      </c>
      <c r="E58" s="1"/>
      <c r="F58" s="1"/>
      <c r="G58" s="1" t="s">
        <v>26</v>
      </c>
      <c r="H58" s="1" t="s">
        <v>35</v>
      </c>
      <c r="I58" s="26" t="s">
        <v>127</v>
      </c>
      <c r="J58" s="1"/>
      <c r="K58" s="44">
        <f>420 / 760</f>
        <v>0.55263157894736847</v>
      </c>
      <c r="L58" s="44">
        <f>308 / 400</f>
        <v>0.77</v>
      </c>
      <c r="M58" s="47"/>
      <c r="N58" s="47"/>
      <c r="O58" s="47"/>
      <c r="P58" s="18">
        <f>3628/4000</f>
        <v>0.90700000000000003</v>
      </c>
      <c r="Q58" s="1"/>
      <c r="R58" s="8">
        <v>0.76622000000000001</v>
      </c>
      <c r="S58" s="1"/>
      <c r="T58" s="1"/>
      <c r="U58" s="1"/>
      <c r="V58" s="1"/>
      <c r="W58" s="1"/>
      <c r="X58" s="1"/>
      <c r="Y58" s="1"/>
    </row>
    <row r="59" spans="1:25" ht="15" customHeight="1">
      <c r="A59" s="1" t="s">
        <v>114</v>
      </c>
      <c r="B59" s="1">
        <v>3125</v>
      </c>
      <c r="C59" s="29" t="s">
        <v>102</v>
      </c>
      <c r="D59" s="33" t="s">
        <v>145</v>
      </c>
      <c r="E59" s="1"/>
      <c r="F59" s="1"/>
      <c r="G59" s="1" t="s">
        <v>95</v>
      </c>
      <c r="H59" s="1" t="s">
        <v>50</v>
      </c>
      <c r="I59" s="26" t="s">
        <v>146</v>
      </c>
      <c r="J59" s="1"/>
      <c r="K59" s="37"/>
      <c r="L59" s="37"/>
      <c r="M59" s="37"/>
      <c r="N59" s="37"/>
      <c r="O59" s="37"/>
      <c r="P59" s="18">
        <f>3748/4000</f>
        <v>0.93700000000000006</v>
      </c>
      <c r="Q59" s="1"/>
      <c r="R59" s="8">
        <v>0.85292999999999997</v>
      </c>
      <c r="S59" s="1"/>
      <c r="T59" s="1"/>
      <c r="U59" s="1"/>
      <c r="V59" s="1"/>
      <c r="W59" s="1"/>
      <c r="X59" s="1"/>
      <c r="Y59" s="1"/>
    </row>
    <row r="60" spans="1:25" s="63" customFormat="1" ht="15" customHeight="1">
      <c r="A60" s="10" t="s">
        <v>148</v>
      </c>
      <c r="B60" s="10">
        <v>3129</v>
      </c>
      <c r="C60" s="56" t="s">
        <v>102</v>
      </c>
      <c r="D60" s="57" t="s">
        <v>147</v>
      </c>
      <c r="E60" s="10"/>
      <c r="F60" s="10"/>
      <c r="G60" s="10" t="s">
        <v>95</v>
      </c>
      <c r="H60" s="10" t="s">
        <v>35</v>
      </c>
      <c r="I60" s="1" t="s">
        <v>140</v>
      </c>
      <c r="J60" s="10"/>
      <c r="K60" s="58">
        <f>540 / 760</f>
        <v>0.71052631578947367</v>
      </c>
      <c r="L60" s="59"/>
      <c r="M60" s="58">
        <f>320 / 365</f>
        <v>0.87671232876712324</v>
      </c>
      <c r="N60" s="58">
        <f>288 / 415</f>
        <v>0.69397590361445782</v>
      </c>
      <c r="O60" s="60"/>
      <c r="P60" s="18">
        <f>3216/4000</f>
        <v>0.80400000000000005</v>
      </c>
      <c r="Q60" s="61">
        <f>AVERAGE(N60,M60,K60)</f>
        <v>0.76040484939035158</v>
      </c>
      <c r="R60" s="62">
        <v>0.59499999999999997</v>
      </c>
      <c r="S60" s="10"/>
      <c r="T60" s="10"/>
      <c r="U60" s="10"/>
      <c r="V60" s="10"/>
      <c r="W60" s="10"/>
      <c r="X60" s="10"/>
      <c r="Y60" s="10"/>
    </row>
    <row r="61" spans="1:25" ht="15" customHeight="1">
      <c r="A61" s="1" t="s">
        <v>148</v>
      </c>
      <c r="B61" s="1">
        <v>3129</v>
      </c>
      <c r="C61" s="29" t="s">
        <v>102</v>
      </c>
      <c r="D61" s="1" t="s">
        <v>149</v>
      </c>
      <c r="E61" s="1"/>
      <c r="F61" s="1"/>
      <c r="G61" s="1" t="s">
        <v>17</v>
      </c>
      <c r="H61" s="1" t="s">
        <v>35</v>
      </c>
      <c r="I61" s="1" t="s">
        <v>140</v>
      </c>
      <c r="J61" s="1"/>
      <c r="K61" s="41">
        <f>460 / 760</f>
        <v>0.60526315789473684</v>
      </c>
      <c r="L61" s="42"/>
      <c r="M61" s="41">
        <f>329 / 365</f>
        <v>0.90136986301369859</v>
      </c>
      <c r="N61" s="41">
        <f>268 / 415</f>
        <v>0.64578313253012043</v>
      </c>
      <c r="O61" s="37"/>
      <c r="P61" s="18">
        <f>3560/4000</f>
        <v>0.89</v>
      </c>
      <c r="Q61" s="1"/>
      <c r="R61" s="8">
        <v>0.59499999999999997</v>
      </c>
      <c r="S61" s="1"/>
      <c r="T61" s="1"/>
      <c r="U61" s="1"/>
      <c r="V61" s="1"/>
      <c r="W61" s="1"/>
      <c r="X61" s="1"/>
      <c r="Y61" s="1"/>
    </row>
    <row r="62" spans="1:25" ht="15" customHeight="1">
      <c r="A62" s="1" t="s">
        <v>148</v>
      </c>
      <c r="B62" s="1">
        <v>3087</v>
      </c>
      <c r="C62" s="29" t="s">
        <v>102</v>
      </c>
      <c r="D62" s="6" t="s">
        <v>132</v>
      </c>
      <c r="E62" s="1"/>
      <c r="F62" s="1"/>
      <c r="G62" s="1" t="s">
        <v>34</v>
      </c>
      <c r="H62" s="1" t="s">
        <v>35</v>
      </c>
      <c r="I62" s="26" t="s">
        <v>134</v>
      </c>
      <c r="J62" s="1"/>
      <c r="K62" s="68">
        <f>400 / 760</f>
        <v>0.52631578947368418</v>
      </c>
      <c r="L62" s="42"/>
      <c r="M62" s="68">
        <f>280 / 365</f>
        <v>0.76712328767123283</v>
      </c>
      <c r="N62" s="29"/>
      <c r="O62" s="37"/>
      <c r="P62" s="18">
        <f>3604/4000</f>
        <v>0.90100000000000002</v>
      </c>
      <c r="Q62" s="1"/>
      <c r="R62" s="8">
        <v>0.9</v>
      </c>
      <c r="S62" s="1"/>
      <c r="T62" s="1"/>
      <c r="U62" s="1"/>
      <c r="V62" s="1"/>
      <c r="W62" s="1"/>
      <c r="X62" s="1"/>
      <c r="Y62" s="1"/>
    </row>
    <row r="63" spans="1:25" ht="15" customHeight="1">
      <c r="A63" s="17" t="s">
        <v>148</v>
      </c>
      <c r="B63" s="17">
        <v>3087</v>
      </c>
      <c r="C63" s="49" t="s">
        <v>102</v>
      </c>
      <c r="D63" s="50" t="s">
        <v>150</v>
      </c>
      <c r="E63" s="17"/>
      <c r="F63" s="17"/>
      <c r="G63" s="17" t="s">
        <v>26</v>
      </c>
      <c r="H63" s="17" t="s">
        <v>35</v>
      </c>
      <c r="I63" s="51" t="s">
        <v>134</v>
      </c>
      <c r="J63" s="17"/>
      <c r="K63" s="49"/>
      <c r="L63" s="49"/>
      <c r="M63" s="70">
        <f>316 / 365</f>
        <v>0.86575342465753424</v>
      </c>
      <c r="N63" s="49"/>
      <c r="O63" s="52"/>
      <c r="P63" s="18">
        <f>3200/4000</f>
        <v>0.8</v>
      </c>
      <c r="Q63" s="17"/>
      <c r="R63" s="53">
        <v>0.9</v>
      </c>
      <c r="S63" s="17"/>
      <c r="T63" s="17"/>
      <c r="U63" s="17"/>
      <c r="V63" s="17"/>
      <c r="W63" s="17"/>
      <c r="X63" s="17"/>
      <c r="Y63" s="17"/>
    </row>
    <row r="64" spans="1:25" ht="15" customHeight="1">
      <c r="A64" s="1" t="s">
        <v>148</v>
      </c>
      <c r="B64" s="1">
        <v>3087</v>
      </c>
      <c r="C64" s="29" t="s">
        <v>102</v>
      </c>
      <c r="D64" s="1" t="s">
        <v>151</v>
      </c>
      <c r="E64" s="1"/>
      <c r="F64" s="1"/>
      <c r="G64" s="1"/>
      <c r="H64" s="1" t="s">
        <v>35</v>
      </c>
      <c r="I64" s="6" t="s">
        <v>67</v>
      </c>
      <c r="J64" s="1"/>
      <c r="K64" s="1"/>
      <c r="L64" s="1"/>
      <c r="M64" s="1"/>
      <c r="N64" s="1"/>
      <c r="O64" s="1"/>
      <c r="P64" s="18"/>
      <c r="Q64" s="1"/>
      <c r="R64" s="1"/>
      <c r="S64" s="1"/>
      <c r="T64" s="1"/>
      <c r="U64" s="1"/>
      <c r="V64" s="1"/>
      <c r="W64" s="1"/>
      <c r="X64" s="1"/>
      <c r="Y64" s="1"/>
    </row>
    <row r="65" spans="1:25" s="63" customFormat="1" ht="15" customHeight="1">
      <c r="A65" s="10" t="s">
        <v>148</v>
      </c>
      <c r="B65" s="10">
        <v>3123</v>
      </c>
      <c r="C65" s="56" t="s">
        <v>102</v>
      </c>
      <c r="D65" s="10" t="s">
        <v>153</v>
      </c>
      <c r="E65" s="10"/>
      <c r="F65" s="10"/>
      <c r="G65" s="10" t="s">
        <v>95</v>
      </c>
      <c r="H65" s="10" t="s">
        <v>35</v>
      </c>
      <c r="I65" s="1" t="s">
        <v>152</v>
      </c>
      <c r="J65" s="10"/>
      <c r="K65" s="64">
        <f>620 / 760</f>
        <v>0.81578947368421051</v>
      </c>
      <c r="L65" s="61"/>
      <c r="M65" s="64">
        <f>341 / 365</f>
        <v>0.9342465753424658</v>
      </c>
      <c r="N65" s="65">
        <f>295 / 415</f>
        <v>0.71084337349397586</v>
      </c>
      <c r="O65" s="61"/>
      <c r="P65" s="18">
        <f>3684/4000</f>
        <v>0.92100000000000004</v>
      </c>
      <c r="Q65" s="61">
        <f>AVERAGE(N65,M65,K65)</f>
        <v>0.82029314084021732</v>
      </c>
      <c r="R65" s="66">
        <v>0.59499999999999997</v>
      </c>
      <c r="S65" s="61"/>
      <c r="T65" s="61"/>
      <c r="U65" s="61"/>
      <c r="V65" s="61"/>
      <c r="W65" s="61"/>
      <c r="X65" s="61"/>
      <c r="Y65" s="61"/>
    </row>
    <row r="66" spans="1:25" ht="15" customHeight="1">
      <c r="A66" s="1" t="s">
        <v>148</v>
      </c>
      <c r="B66" s="1">
        <v>3129</v>
      </c>
      <c r="C66" s="29" t="s">
        <v>102</v>
      </c>
      <c r="D66" s="1" t="s">
        <v>154</v>
      </c>
      <c r="E66" s="1"/>
      <c r="F66" s="1"/>
      <c r="G66" s="1" t="s">
        <v>95</v>
      </c>
      <c r="H66" s="1" t="s">
        <v>35</v>
      </c>
      <c r="I66" s="1" t="s">
        <v>152</v>
      </c>
      <c r="J66" s="1"/>
      <c r="K66" s="55">
        <v>0.63</v>
      </c>
      <c r="L66" s="1"/>
      <c r="M66" s="12">
        <v>0.7</v>
      </c>
      <c r="N66" s="33" t="s">
        <v>156</v>
      </c>
      <c r="O66" s="1"/>
      <c r="P66" s="18">
        <f>3868/4000</f>
        <v>0.96699999999999997</v>
      </c>
      <c r="Q66" s="5">
        <f>AVERAGE(N66,M66,K66)</f>
        <v>0.66500000000000004</v>
      </c>
      <c r="R66" s="48">
        <v>0.59499999999999997</v>
      </c>
      <c r="S66" s="1"/>
      <c r="T66" s="1"/>
      <c r="U66" s="1"/>
      <c r="V66" s="1"/>
      <c r="W66" s="1"/>
      <c r="X66" s="1"/>
      <c r="Y66" s="1"/>
    </row>
    <row r="67" spans="1:25" ht="15" customHeight="1">
      <c r="A67" s="1" t="s">
        <v>148</v>
      </c>
      <c r="B67" s="1">
        <v>3129</v>
      </c>
      <c r="C67" s="29" t="s">
        <v>102</v>
      </c>
      <c r="D67" s="1" t="s">
        <v>155</v>
      </c>
      <c r="E67" s="1"/>
      <c r="F67" s="1"/>
      <c r="G67" s="1" t="s">
        <v>17</v>
      </c>
      <c r="H67" s="1" t="s">
        <v>35</v>
      </c>
      <c r="I67" s="1" t="s">
        <v>152</v>
      </c>
      <c r="J67" s="1"/>
      <c r="K67" s="55">
        <v>0.71</v>
      </c>
      <c r="L67" s="1"/>
      <c r="M67" s="33" t="s">
        <v>158</v>
      </c>
      <c r="N67" s="33" t="s">
        <v>157</v>
      </c>
      <c r="O67" s="1"/>
      <c r="P67" s="18">
        <f>3532/4000</f>
        <v>0.88300000000000001</v>
      </c>
      <c r="Q67" s="5">
        <f>AVERAGE(N67,M67,K67)</f>
        <v>0.71</v>
      </c>
      <c r="R67" s="48">
        <v>0.59499999999999997</v>
      </c>
      <c r="S67" s="1"/>
      <c r="T67" s="1"/>
      <c r="U67" s="1"/>
      <c r="V67" s="1"/>
      <c r="W67" s="1"/>
      <c r="X67" s="1"/>
      <c r="Y67" s="1"/>
    </row>
    <row r="68" spans="1:25" ht="15" customHeight="1">
      <c r="A68" s="1" t="s">
        <v>148</v>
      </c>
      <c r="B68" s="1">
        <v>3130</v>
      </c>
      <c r="C68" s="29" t="s">
        <v>102</v>
      </c>
      <c r="D68" s="1" t="s">
        <v>161</v>
      </c>
      <c r="E68" s="1"/>
      <c r="F68" s="1"/>
      <c r="G68" s="1" t="s">
        <v>17</v>
      </c>
      <c r="H68" s="1" t="s">
        <v>35</v>
      </c>
      <c r="I68" s="1" t="s">
        <v>163</v>
      </c>
      <c r="J68" s="1"/>
      <c r="K68" s="1"/>
      <c r="L68" s="1"/>
      <c r="M68" s="1"/>
      <c r="N68" s="1"/>
      <c r="O68" s="1"/>
      <c r="P68" s="18">
        <f>3512/4000</f>
        <v>0.878</v>
      </c>
      <c r="Q68" s="1"/>
      <c r="R68" s="8">
        <v>0.61799999999999999</v>
      </c>
      <c r="S68" s="1"/>
      <c r="T68" s="1"/>
      <c r="U68" s="1"/>
      <c r="V68" s="1"/>
      <c r="W68" s="1"/>
      <c r="X68" s="1"/>
      <c r="Y68" s="1"/>
    </row>
    <row r="69" spans="1:25" ht="15" customHeight="1">
      <c r="A69" s="1" t="s">
        <v>148</v>
      </c>
      <c r="B69" s="1">
        <v>3130</v>
      </c>
      <c r="C69" s="29" t="s">
        <v>102</v>
      </c>
      <c r="D69" s="1" t="s">
        <v>162</v>
      </c>
      <c r="E69" s="1"/>
      <c r="F69" s="1"/>
      <c r="G69" s="1" t="s">
        <v>26</v>
      </c>
      <c r="H69" s="1" t="s">
        <v>35</v>
      </c>
      <c r="I69" s="1" t="s">
        <v>163</v>
      </c>
      <c r="J69" s="1"/>
      <c r="K69" s="1"/>
      <c r="L69" s="1"/>
      <c r="M69" s="1"/>
      <c r="N69" s="1"/>
      <c r="O69" s="1"/>
      <c r="P69" s="18">
        <f>3516/4000</f>
        <v>0.879</v>
      </c>
      <c r="Q69" s="1"/>
      <c r="R69" s="8">
        <v>0.61799999999999999</v>
      </c>
      <c r="S69" s="1"/>
      <c r="T69" s="1"/>
      <c r="U69" s="1"/>
      <c r="V69" s="1"/>
      <c r="W69" s="1"/>
      <c r="X69" s="1"/>
      <c r="Y69" s="1"/>
    </row>
    <row r="70" spans="1:25" ht="15" customHeight="1">
      <c r="A70" s="1" t="s">
        <v>148</v>
      </c>
      <c r="B70" s="1">
        <v>3123</v>
      </c>
      <c r="C70" s="29" t="s">
        <v>102</v>
      </c>
      <c r="D70" s="1" t="s">
        <v>164</v>
      </c>
      <c r="E70" s="1"/>
      <c r="F70" s="1"/>
      <c r="G70" s="1" t="s">
        <v>95</v>
      </c>
      <c r="H70" s="1" t="s">
        <v>35</v>
      </c>
      <c r="I70" s="1" t="s">
        <v>165</v>
      </c>
      <c r="J70" s="1"/>
      <c r="K70" s="12">
        <f>640 / 760</f>
        <v>0.84210526315789469</v>
      </c>
      <c r="L70" s="1"/>
      <c r="M70" s="33" t="s">
        <v>166</v>
      </c>
      <c r="N70" s="12">
        <f>345 / 415</f>
        <v>0.83132530120481929</v>
      </c>
      <c r="O70" s="1"/>
      <c r="P70" s="18">
        <f>3668/4000</f>
        <v>0.91700000000000004</v>
      </c>
      <c r="Q70" s="1"/>
      <c r="R70" s="48">
        <v>0.59499999999999997</v>
      </c>
      <c r="S70" s="1"/>
      <c r="T70" s="1"/>
      <c r="U70" s="1"/>
      <c r="V70" s="1"/>
      <c r="W70" s="1"/>
      <c r="X70" s="1"/>
      <c r="Y70" s="1"/>
    </row>
    <row r="71" spans="1:25" ht="15" customHeight="1">
      <c r="A71" s="1" t="s">
        <v>148</v>
      </c>
      <c r="B71" s="1">
        <v>3126</v>
      </c>
      <c r="C71" s="29" t="s">
        <v>102</v>
      </c>
      <c r="D71" s="1" t="s">
        <v>167</v>
      </c>
      <c r="E71" s="1"/>
      <c r="F71" s="1"/>
      <c r="G71" s="1" t="s">
        <v>26</v>
      </c>
      <c r="H71" s="1" t="s">
        <v>35</v>
      </c>
      <c r="I71" s="6" t="s">
        <v>67</v>
      </c>
      <c r="J71" s="1"/>
      <c r="K71" s="12">
        <f>480 / 760</f>
        <v>0.63157894736842102</v>
      </c>
      <c r="L71" s="5"/>
      <c r="M71" s="12">
        <f>220 / 415</f>
        <v>0.53012048192771088</v>
      </c>
      <c r="N71" s="5"/>
      <c r="O71" s="5"/>
      <c r="P71" s="18">
        <f>3464/4000</f>
        <v>0.86599999999999999</v>
      </c>
      <c r="Q71" s="1"/>
      <c r="R71" s="1"/>
      <c r="S71" s="1"/>
      <c r="T71" s="1"/>
      <c r="U71" s="1"/>
      <c r="V71" s="1"/>
      <c r="W71" s="1"/>
      <c r="X71" s="1"/>
      <c r="Y71" s="1"/>
    </row>
    <row r="72" spans="1:25" ht="15" customHeight="1">
      <c r="A72" s="1" t="s">
        <v>148</v>
      </c>
      <c r="B72" s="1">
        <v>3123</v>
      </c>
      <c r="C72" s="29" t="s">
        <v>102</v>
      </c>
      <c r="D72" s="1" t="s">
        <v>168</v>
      </c>
      <c r="E72" s="1"/>
      <c r="F72" s="1"/>
      <c r="G72" s="1"/>
      <c r="H72" s="1" t="s">
        <v>35</v>
      </c>
      <c r="I72" s="1" t="s">
        <v>165</v>
      </c>
      <c r="J72" s="1"/>
      <c r="K72" s="12">
        <f>440 / 760</f>
        <v>0.57894736842105265</v>
      </c>
      <c r="L72" s="5"/>
      <c r="M72" s="12">
        <f>317 / 365</f>
        <v>0.86849315068493149</v>
      </c>
      <c r="N72" s="1"/>
      <c r="O72" s="1"/>
      <c r="P72" s="18"/>
      <c r="Q72" s="1"/>
      <c r="R72" s="48">
        <v>0.59499999999999997</v>
      </c>
      <c r="S72" s="1"/>
      <c r="T72" s="1"/>
      <c r="U72" s="1"/>
      <c r="V72" s="1"/>
      <c r="W72" s="1"/>
      <c r="X72" s="1"/>
      <c r="Y72" s="1"/>
    </row>
    <row r="73" spans="1:25" ht="15" customHeight="1">
      <c r="A73" s="1" t="s">
        <v>148</v>
      </c>
      <c r="B73" s="1">
        <v>3151</v>
      </c>
      <c r="C73" s="29" t="s">
        <v>102</v>
      </c>
      <c r="D73" s="6" t="s">
        <v>169</v>
      </c>
      <c r="E73" s="1"/>
      <c r="F73" s="1"/>
      <c r="G73" s="1" t="s">
        <v>19</v>
      </c>
      <c r="H73" s="1" t="s">
        <v>35</v>
      </c>
      <c r="I73" s="57" t="s">
        <v>173</v>
      </c>
      <c r="J73" s="1"/>
      <c r="K73" s="1"/>
      <c r="L73" s="1"/>
      <c r="M73" s="1"/>
      <c r="N73" s="1"/>
      <c r="O73" s="4">
        <v>0.75</v>
      </c>
      <c r="P73" s="18">
        <f>3828/4000</f>
        <v>0.95699999999999996</v>
      </c>
      <c r="Q73" s="1"/>
      <c r="R73" s="8">
        <v>0.65610000000000002</v>
      </c>
      <c r="S73" s="1"/>
      <c r="T73" s="1"/>
      <c r="U73" s="1"/>
      <c r="V73" s="1"/>
      <c r="W73" s="1"/>
      <c r="X73" s="1"/>
      <c r="Y73" s="1"/>
    </row>
    <row r="74" spans="1:25" ht="15" customHeight="1">
      <c r="A74" s="1" t="s">
        <v>148</v>
      </c>
      <c r="B74" s="1">
        <v>3130</v>
      </c>
      <c r="C74" s="29" t="s">
        <v>102</v>
      </c>
      <c r="D74" s="1" t="s">
        <v>170</v>
      </c>
      <c r="E74" s="1"/>
      <c r="F74" s="1"/>
      <c r="G74" s="1" t="s">
        <v>19</v>
      </c>
      <c r="H74" s="1" t="s">
        <v>35</v>
      </c>
      <c r="I74" s="1" t="s">
        <v>163</v>
      </c>
      <c r="J74" s="1"/>
      <c r="K74" s="1"/>
      <c r="L74" s="1"/>
      <c r="M74" s="1"/>
      <c r="N74" s="1"/>
      <c r="O74" s="1"/>
      <c r="P74" s="18">
        <f>3140/4000</f>
        <v>0.78500000000000003</v>
      </c>
      <c r="Q74" s="1"/>
      <c r="R74" s="8">
        <v>0.61799999999999999</v>
      </c>
      <c r="S74" s="1"/>
      <c r="T74" s="1"/>
      <c r="U74" s="1"/>
      <c r="V74" s="1"/>
      <c r="W74" s="1"/>
      <c r="X74" s="1"/>
      <c r="Y74" s="1"/>
    </row>
    <row r="75" spans="1:25" ht="15" customHeight="1">
      <c r="A75" s="1" t="s">
        <v>148</v>
      </c>
      <c r="B75" s="1">
        <v>3130</v>
      </c>
      <c r="C75" s="29" t="s">
        <v>102</v>
      </c>
      <c r="D75" s="1" t="s">
        <v>171</v>
      </c>
      <c r="E75" s="1"/>
      <c r="F75" s="1"/>
      <c r="G75" s="1" t="s">
        <v>19</v>
      </c>
      <c r="H75" s="1" t="s">
        <v>35</v>
      </c>
      <c r="I75" s="1" t="s">
        <v>163</v>
      </c>
      <c r="J75" s="1"/>
      <c r="K75" s="1"/>
      <c r="L75" s="1"/>
      <c r="M75" s="1"/>
      <c r="N75" s="1"/>
      <c r="O75" s="1"/>
      <c r="P75" s="18">
        <f>3904/4000</f>
        <v>0.97599999999999998</v>
      </c>
      <c r="Q75" s="1"/>
      <c r="R75" s="1"/>
      <c r="S75" s="1"/>
      <c r="T75" s="1"/>
      <c r="U75" s="1"/>
      <c r="V75" s="1"/>
      <c r="W75" s="1"/>
      <c r="X75" s="1"/>
      <c r="Y75" s="1"/>
    </row>
    <row r="76" spans="1:25" ht="15" customHeight="1">
      <c r="A76" s="1" t="s">
        <v>148</v>
      </c>
      <c r="B76" s="1">
        <v>3151</v>
      </c>
      <c r="C76" s="29" t="s">
        <v>102</v>
      </c>
      <c r="D76" s="74" t="s">
        <v>172</v>
      </c>
      <c r="E76" s="1"/>
      <c r="F76" s="1"/>
      <c r="G76" s="1" t="s">
        <v>19</v>
      </c>
      <c r="H76" s="1" t="s">
        <v>35</v>
      </c>
      <c r="I76" s="57" t="s">
        <v>173</v>
      </c>
      <c r="J76" s="1"/>
      <c r="K76" s="1"/>
      <c r="L76" s="1"/>
      <c r="M76" s="1"/>
      <c r="N76" s="1"/>
      <c r="O76" s="1"/>
      <c r="P76" s="18">
        <f>2812/4000</f>
        <v>0.70299999999999996</v>
      </c>
      <c r="Q76" s="1"/>
      <c r="R76" s="8">
        <v>0.65610000000000002</v>
      </c>
      <c r="S76" s="1"/>
      <c r="T76" s="1"/>
      <c r="U76" s="1"/>
      <c r="V76" s="1"/>
      <c r="W76" s="1"/>
      <c r="X76" s="1"/>
      <c r="Y76" s="1"/>
    </row>
    <row r="77" spans="1:25" ht="15" customHeight="1">
      <c r="A77" s="1" t="s">
        <v>148</v>
      </c>
      <c r="B77" s="1">
        <v>3151</v>
      </c>
      <c r="C77" s="29" t="s">
        <v>102</v>
      </c>
      <c r="D77" s="73" t="s">
        <v>174</v>
      </c>
      <c r="E77" s="1"/>
      <c r="F77" s="1"/>
      <c r="G77" s="1" t="s">
        <v>19</v>
      </c>
      <c r="H77" s="1" t="s">
        <v>35</v>
      </c>
      <c r="I77" s="57" t="s">
        <v>173</v>
      </c>
      <c r="J77" s="1"/>
      <c r="K77" s="1"/>
      <c r="L77" s="1"/>
      <c r="M77" s="1"/>
      <c r="N77" s="1"/>
      <c r="O77" s="4">
        <v>0.85</v>
      </c>
      <c r="P77" s="18">
        <f>3700/4000</f>
        <v>0.92500000000000004</v>
      </c>
      <c r="Q77" s="1"/>
      <c r="R77" s="8">
        <v>0.65610000000000002</v>
      </c>
      <c r="S77" s="1"/>
      <c r="T77" s="1"/>
      <c r="U77" s="1"/>
      <c r="V77" s="1">
        <v>6000000</v>
      </c>
      <c r="W77" s="1"/>
      <c r="X77" s="4">
        <v>0.39</v>
      </c>
      <c r="Y77" s="1"/>
    </row>
    <row r="78" spans="1:25" ht="15" customHeight="1">
      <c r="A78" s="1" t="s">
        <v>148</v>
      </c>
      <c r="B78" s="1">
        <v>3151</v>
      </c>
      <c r="C78" s="29" t="s">
        <v>102</v>
      </c>
      <c r="D78" s="73" t="s">
        <v>175</v>
      </c>
      <c r="E78" s="1"/>
      <c r="F78" s="1"/>
      <c r="G78" s="1" t="s">
        <v>19</v>
      </c>
      <c r="H78" s="1" t="s">
        <v>35</v>
      </c>
      <c r="I78" s="57" t="s">
        <v>173</v>
      </c>
      <c r="J78" s="1"/>
      <c r="K78" s="1"/>
      <c r="L78" s="1"/>
      <c r="M78" s="1"/>
      <c r="N78" s="1"/>
      <c r="O78" s="4">
        <v>0.85</v>
      </c>
      <c r="P78" s="18">
        <f>3616/4000</f>
        <v>0.90400000000000003</v>
      </c>
      <c r="Q78" s="1"/>
      <c r="R78" s="8">
        <v>0.65610000000000002</v>
      </c>
      <c r="S78" s="1"/>
      <c r="T78" s="1"/>
      <c r="U78" s="1"/>
      <c r="V78" s="1">
        <v>5500000</v>
      </c>
      <c r="W78" s="1"/>
      <c r="X78" s="4">
        <v>0.44</v>
      </c>
      <c r="Y78" s="1"/>
    </row>
    <row r="79" spans="1:25" ht="15" customHeight="1">
      <c r="A79" s="1" t="s">
        <v>148</v>
      </c>
      <c r="B79" s="1">
        <v>3151</v>
      </c>
      <c r="C79" s="29" t="s">
        <v>102</v>
      </c>
      <c r="D79" s="75" t="s">
        <v>176</v>
      </c>
      <c r="E79" s="1"/>
      <c r="F79" s="1"/>
      <c r="G79" s="1" t="s">
        <v>19</v>
      </c>
      <c r="H79" s="1" t="s">
        <v>35</v>
      </c>
      <c r="I79" s="57" t="s">
        <v>173</v>
      </c>
      <c r="J79" s="1"/>
      <c r="K79" s="1"/>
      <c r="L79" s="1"/>
      <c r="M79" s="1"/>
      <c r="N79" s="1"/>
      <c r="O79" s="4">
        <v>0.7</v>
      </c>
      <c r="P79" s="18">
        <f>3524/4000</f>
        <v>0.88100000000000001</v>
      </c>
      <c r="Q79" s="1"/>
      <c r="R79" s="8">
        <v>0.65610000000000002</v>
      </c>
      <c r="S79" s="1"/>
      <c r="T79" s="1"/>
      <c r="U79" s="1"/>
      <c r="V79" s="1"/>
      <c r="W79" s="1"/>
      <c r="X79" s="1"/>
      <c r="Y79" s="1"/>
    </row>
    <row r="80" spans="1:25" ht="15" customHeight="1">
      <c r="A80" s="1" t="s">
        <v>148</v>
      </c>
      <c r="B80" s="1">
        <v>3151</v>
      </c>
      <c r="C80" s="29" t="s">
        <v>102</v>
      </c>
      <c r="D80" s="33" t="s">
        <v>177</v>
      </c>
      <c r="E80" s="1"/>
      <c r="F80" s="1"/>
      <c r="G80" s="1" t="s">
        <v>26</v>
      </c>
      <c r="H80" s="1" t="s">
        <v>35</v>
      </c>
      <c r="I80" s="6" t="s">
        <v>173</v>
      </c>
      <c r="J80" s="1"/>
      <c r="K80" s="1"/>
      <c r="L80" s="1"/>
      <c r="M80" s="1"/>
      <c r="N80" s="1"/>
      <c r="O80" s="4" t="s">
        <v>180</v>
      </c>
      <c r="P80" s="18"/>
      <c r="Q80" s="1"/>
      <c r="R80" s="8">
        <v>0.65610000000000002</v>
      </c>
      <c r="S80" s="1"/>
      <c r="T80" s="1"/>
      <c r="U80" s="1"/>
      <c r="V80" s="1"/>
      <c r="W80" s="1"/>
      <c r="X80" s="1"/>
      <c r="Y80" s="1"/>
    </row>
    <row r="81" spans="1:25" ht="15" customHeight="1">
      <c r="A81" s="1" t="s">
        <v>148</v>
      </c>
      <c r="B81" s="1">
        <v>3151</v>
      </c>
      <c r="C81" s="29" t="s">
        <v>102</v>
      </c>
      <c r="D81" s="33" t="s">
        <v>178</v>
      </c>
      <c r="E81" s="1"/>
      <c r="F81" s="1"/>
      <c r="G81" s="1" t="s">
        <v>19</v>
      </c>
      <c r="H81" s="1" t="s">
        <v>35</v>
      </c>
      <c r="I81" s="57" t="s">
        <v>173</v>
      </c>
      <c r="J81" s="1"/>
      <c r="K81" s="1"/>
      <c r="L81" s="1"/>
      <c r="M81" s="1"/>
      <c r="N81" s="1"/>
      <c r="O81" s="4" t="s">
        <v>179</v>
      </c>
      <c r="P81" s="18">
        <f>3508/4000</f>
        <v>0.877</v>
      </c>
      <c r="Q81" s="1"/>
      <c r="R81" s="8">
        <v>0.65610000000000002</v>
      </c>
      <c r="S81" s="1"/>
      <c r="T81" s="1"/>
      <c r="U81" s="1"/>
      <c r="V81" s="1"/>
      <c r="W81" s="1"/>
      <c r="X81" s="1"/>
      <c r="Y81" s="1"/>
    </row>
    <row r="82" spans="1:25" ht="15" customHeight="1">
      <c r="A82" s="1" t="s">
        <v>148</v>
      </c>
      <c r="B82" s="1">
        <v>3152</v>
      </c>
      <c r="C82" s="29" t="s">
        <v>102</v>
      </c>
      <c r="D82" s="69" t="s">
        <v>183</v>
      </c>
      <c r="E82" s="1"/>
      <c r="F82" s="1"/>
      <c r="G82" s="1"/>
      <c r="H82" s="1" t="s">
        <v>35</v>
      </c>
      <c r="I82" s="71" t="s">
        <v>188</v>
      </c>
      <c r="J82" s="1"/>
      <c r="K82" s="4">
        <f>410 / 760</f>
        <v>0.53947368421052633</v>
      </c>
      <c r="L82" s="4">
        <f>178 / 330</f>
        <v>0.53939393939393943</v>
      </c>
      <c r="M82" s="4">
        <f>345 / 365</f>
        <v>0.9452054794520548</v>
      </c>
      <c r="N82" s="4">
        <f>231 / 415</f>
        <v>0.55662650602409636</v>
      </c>
      <c r="O82" s="1"/>
      <c r="P82" s="18"/>
      <c r="Q82" s="4">
        <f>AVERAGE(K82,M82,N82)</f>
        <v>0.68043522322889249</v>
      </c>
      <c r="R82" s="8">
        <v>0.77349999999999997</v>
      </c>
      <c r="S82" s="1"/>
      <c r="T82" s="1"/>
      <c r="U82" s="1"/>
      <c r="V82" s="1"/>
      <c r="W82" s="1"/>
      <c r="X82" s="1"/>
      <c r="Y82" s="1"/>
    </row>
    <row r="83" spans="1:25" ht="15" customHeight="1">
      <c r="A83" s="1" t="s">
        <v>148</v>
      </c>
      <c r="B83" s="1">
        <v>3152</v>
      </c>
      <c r="C83" s="29" t="s">
        <v>102</v>
      </c>
      <c r="D83" s="69" t="s">
        <v>184</v>
      </c>
      <c r="E83" s="1"/>
      <c r="F83" s="1"/>
      <c r="G83" s="1"/>
      <c r="H83" s="1" t="s">
        <v>193</v>
      </c>
      <c r="I83" s="71" t="s">
        <v>188</v>
      </c>
      <c r="J83" s="1"/>
      <c r="K83" s="4">
        <f>440 / 760</f>
        <v>0.57894736842105265</v>
      </c>
      <c r="L83" s="4">
        <f>230 / 330</f>
        <v>0.69696969696969702</v>
      </c>
      <c r="M83" s="4">
        <f>317 / 365</f>
        <v>0.86849315068493149</v>
      </c>
      <c r="N83" s="4">
        <f>265 / 415</f>
        <v>0.63855421686746983</v>
      </c>
      <c r="O83" s="1"/>
      <c r="P83" s="18"/>
      <c r="Q83" s="4">
        <f>AVERAGE(K83,M83,N83)</f>
        <v>0.69533157865781803</v>
      </c>
      <c r="R83" s="8">
        <v>0.77349999999999997</v>
      </c>
      <c r="S83" s="1"/>
      <c r="T83" s="1"/>
      <c r="U83" s="1"/>
      <c r="V83" s="1"/>
      <c r="W83" s="1"/>
      <c r="X83" s="1"/>
      <c r="Y83" s="1"/>
    </row>
    <row r="84" spans="1:25" ht="15" customHeight="1">
      <c r="A84" s="1" t="s">
        <v>148</v>
      </c>
      <c r="B84" s="1">
        <v>3152</v>
      </c>
      <c r="C84" s="29" t="s">
        <v>102</v>
      </c>
      <c r="D84" s="69" t="s">
        <v>185</v>
      </c>
      <c r="E84" s="1"/>
      <c r="F84" s="1"/>
      <c r="G84" s="1" t="s">
        <v>95</v>
      </c>
      <c r="H84" s="1" t="s">
        <v>35</v>
      </c>
      <c r="I84" s="71" t="s">
        <v>188</v>
      </c>
      <c r="J84" s="1"/>
      <c r="K84" s="4">
        <f>620 / 760</f>
        <v>0.81578947368421051</v>
      </c>
      <c r="L84" s="4">
        <f>220 / 330</f>
        <v>0.66666666666666663</v>
      </c>
      <c r="M84" s="4">
        <f>341 / 365</f>
        <v>0.9342465753424658</v>
      </c>
      <c r="N84" s="4">
        <f>295 / 415</f>
        <v>0.71084337349397586</v>
      </c>
      <c r="O84" s="1"/>
      <c r="P84" s="18"/>
      <c r="Q84" s="4">
        <f>AVERAGE(K84,M84,N84)</f>
        <v>0.82029314084021732</v>
      </c>
      <c r="R84" s="8">
        <v>0.77349999999999997</v>
      </c>
      <c r="S84" s="1"/>
      <c r="T84" s="1"/>
      <c r="U84" s="1"/>
      <c r="V84" s="1"/>
      <c r="W84" s="1"/>
      <c r="X84" s="1"/>
      <c r="Y84" s="1"/>
    </row>
    <row r="85" spans="1:25" ht="15" customHeight="1">
      <c r="A85" s="1" t="s">
        <v>148</v>
      </c>
      <c r="B85" s="1">
        <v>3152</v>
      </c>
      <c r="C85" s="29" t="s">
        <v>102</v>
      </c>
      <c r="D85" s="69" t="s">
        <v>186</v>
      </c>
      <c r="E85" s="1"/>
      <c r="F85" s="1"/>
      <c r="G85" s="1"/>
      <c r="H85" s="1" t="s">
        <v>35</v>
      </c>
      <c r="I85" s="71" t="s">
        <v>188</v>
      </c>
      <c r="J85" s="1"/>
      <c r="K85" s="4">
        <f>540 / 760</f>
        <v>0.71052631578947367</v>
      </c>
      <c r="L85" s="4">
        <f>191 / 330</f>
        <v>0.57878787878787874</v>
      </c>
      <c r="M85" s="4">
        <f>285 / 365</f>
        <v>0.78082191780821919</v>
      </c>
      <c r="N85" s="4">
        <f>300 / 415</f>
        <v>0.72289156626506024</v>
      </c>
      <c r="O85" s="1"/>
      <c r="P85" s="18"/>
      <c r="Q85" s="4">
        <f>AVERAGE(K85,M85,N85)</f>
        <v>0.73807993328758437</v>
      </c>
      <c r="R85" s="8">
        <v>0.77349999999999997</v>
      </c>
      <c r="S85" s="1"/>
      <c r="T85" s="1"/>
      <c r="U85" s="1"/>
      <c r="V85" s="1"/>
      <c r="W85" s="1"/>
      <c r="X85" s="1"/>
      <c r="Y85" s="1"/>
    </row>
    <row r="86" spans="1:25" ht="4.5" customHeight="1">
      <c r="A86" s="1" t="s">
        <v>148</v>
      </c>
      <c r="B86" s="1">
        <v>3152</v>
      </c>
      <c r="C86" s="29" t="s">
        <v>102</v>
      </c>
      <c r="D86" s="69" t="s">
        <v>187</v>
      </c>
      <c r="E86" s="1"/>
      <c r="F86" s="1"/>
      <c r="G86" s="1" t="s">
        <v>95</v>
      </c>
      <c r="H86" s="1" t="s">
        <v>35</v>
      </c>
      <c r="I86" s="71" t="s">
        <v>188</v>
      </c>
      <c r="J86" s="1"/>
      <c r="K86" s="4">
        <f>640 / 760</f>
        <v>0.84210526315789469</v>
      </c>
      <c r="L86" s="4">
        <v>0.76770000000000005</v>
      </c>
      <c r="M86" s="4">
        <f>302 / 365</f>
        <v>0.82739726027397265</v>
      </c>
      <c r="N86" s="4">
        <f>345 / 415</f>
        <v>0.83132530120481929</v>
      </c>
      <c r="O86" s="1"/>
      <c r="P86" s="18"/>
      <c r="Q86" s="4">
        <f>AVERAGE(K86,M86,N86)</f>
        <v>0.83360927487889558</v>
      </c>
      <c r="R86" s="8">
        <v>0.77349999999999997</v>
      </c>
      <c r="S86" s="1"/>
      <c r="T86" s="1"/>
      <c r="U86" s="1"/>
      <c r="V86" s="1"/>
      <c r="W86" s="1"/>
      <c r="X86" s="1"/>
      <c r="Y86" s="1"/>
    </row>
    <row r="87" spans="1:25" ht="15" customHeight="1">
      <c r="A87" s="1" t="s">
        <v>148</v>
      </c>
      <c r="B87" s="1">
        <v>3126</v>
      </c>
      <c r="C87" s="1" t="s">
        <v>102</v>
      </c>
      <c r="D87" s="67" t="s">
        <v>189</v>
      </c>
      <c r="E87" s="1"/>
      <c r="F87" s="1"/>
      <c r="G87" s="1" t="s">
        <v>34</v>
      </c>
      <c r="H87" s="1" t="s">
        <v>35</v>
      </c>
      <c r="I87" s="51" t="s">
        <v>190</v>
      </c>
      <c r="J87" s="1"/>
      <c r="K87" s="1"/>
      <c r="L87" s="1"/>
      <c r="M87" s="1"/>
      <c r="N87" s="1"/>
      <c r="O87" s="1"/>
      <c r="P87" s="18">
        <f>3200/4000</f>
        <v>0.8</v>
      </c>
      <c r="Q87" s="1"/>
      <c r="R87" s="4">
        <v>0.75</v>
      </c>
      <c r="S87" s="1"/>
      <c r="T87" s="1"/>
      <c r="U87" s="1"/>
      <c r="V87" s="1"/>
      <c r="W87" s="1"/>
      <c r="X87" s="1"/>
      <c r="Y87" s="1"/>
    </row>
    <row r="88" spans="1:25" ht="15" customHeight="1">
      <c r="A88" s="1" t="s">
        <v>148</v>
      </c>
      <c r="B88" s="1">
        <v>3170</v>
      </c>
      <c r="C88" s="1"/>
      <c r="D88" s="1" t="s">
        <v>73</v>
      </c>
      <c r="E88" s="1"/>
      <c r="F88" s="1"/>
      <c r="G88" s="1" t="s">
        <v>19</v>
      </c>
      <c r="H88" s="1" t="s">
        <v>35</v>
      </c>
      <c r="I88" s="1" t="s">
        <v>74</v>
      </c>
      <c r="J88" s="1"/>
      <c r="K88" s="1"/>
      <c r="L88" s="1"/>
      <c r="M88" s="1"/>
      <c r="N88" s="1"/>
      <c r="O88" s="4">
        <v>0.6</v>
      </c>
      <c r="P88" s="18">
        <f>3660/4000</f>
        <v>0.91500000000000004</v>
      </c>
      <c r="Q88" s="1"/>
      <c r="R88" s="4">
        <v>0.85</v>
      </c>
      <c r="S88" s="1"/>
      <c r="T88" s="1"/>
      <c r="U88" s="1"/>
      <c r="V88" s="1"/>
      <c r="W88" s="1"/>
      <c r="X88" s="1"/>
      <c r="Y88" s="1"/>
    </row>
    <row r="89" spans="1:25" ht="15" customHeight="1">
      <c r="A89" s="1"/>
      <c r="B89" s="1">
        <v>3170</v>
      </c>
      <c r="C89" s="1"/>
      <c r="D89" t="s">
        <v>191</v>
      </c>
      <c r="E89" s="1"/>
      <c r="F89" s="1"/>
      <c r="G89" s="1" t="s">
        <v>19</v>
      </c>
      <c r="H89" s="1" t="s">
        <v>35</v>
      </c>
      <c r="I89" s="1" t="s">
        <v>74</v>
      </c>
      <c r="J89" s="1"/>
      <c r="K89" s="1"/>
      <c r="L89" s="1"/>
      <c r="M89" s="1"/>
      <c r="N89" s="1"/>
      <c r="O89" s="3">
        <v>0.55379999999999996</v>
      </c>
      <c r="P89" s="18">
        <f>3612/4000</f>
        <v>0.90300000000000002</v>
      </c>
      <c r="Q89" s="1"/>
      <c r="R89" s="4">
        <v>0.85</v>
      </c>
      <c r="S89" s="1"/>
      <c r="T89" s="1"/>
      <c r="U89" s="1"/>
      <c r="V89" s="1"/>
      <c r="W89" s="1"/>
      <c r="X89" s="1"/>
      <c r="Y89" s="1"/>
    </row>
    <row r="90" spans="1:25" ht="15" customHeight="1">
      <c r="A90" s="1" t="s">
        <v>148</v>
      </c>
      <c r="B90" s="1">
        <v>3196</v>
      </c>
      <c r="C90" s="1" t="s">
        <v>102</v>
      </c>
      <c r="D90" s="85" t="s">
        <v>194</v>
      </c>
      <c r="E90" s="1"/>
      <c r="F90" s="1"/>
      <c r="G90" s="1"/>
      <c r="H90" s="1" t="s">
        <v>50</v>
      </c>
      <c r="I90" s="1" t="s">
        <v>74</v>
      </c>
      <c r="J90" s="1"/>
      <c r="K90" s="1"/>
      <c r="L90" s="1"/>
      <c r="M90" s="1"/>
      <c r="N90" s="1"/>
      <c r="O90" s="1"/>
      <c r="P90" s="18">
        <f>3416/4000</f>
        <v>0.85399999999999998</v>
      </c>
      <c r="Q90" s="1"/>
      <c r="R90" s="4">
        <v>0.85</v>
      </c>
      <c r="S90" s="1"/>
      <c r="T90" s="1"/>
      <c r="U90" s="1"/>
      <c r="V90" s="1">
        <v>6000000</v>
      </c>
      <c r="W90" s="1"/>
      <c r="X90" s="1"/>
      <c r="Y90" s="1"/>
    </row>
    <row r="91" spans="1:25" ht="15" customHeight="1">
      <c r="A91" s="1" t="s">
        <v>239</v>
      </c>
      <c r="B91" s="1">
        <v>3196</v>
      </c>
      <c r="C91" s="1" t="s">
        <v>102</v>
      </c>
      <c r="D91" s="76" t="s">
        <v>201</v>
      </c>
      <c r="E91" s="1"/>
      <c r="F91" s="1"/>
      <c r="G91" s="1" t="s">
        <v>238</v>
      </c>
      <c r="H91" s="1"/>
      <c r="I91" s="1" t="s">
        <v>236</v>
      </c>
      <c r="J91" s="1"/>
      <c r="K91" s="1"/>
      <c r="L91" s="1"/>
      <c r="M91" s="1"/>
      <c r="N91" s="1"/>
      <c r="O91" s="67" t="s">
        <v>237</v>
      </c>
      <c r="P91" s="18">
        <f>3880/4000</f>
        <v>0.97</v>
      </c>
      <c r="Q91" s="1"/>
      <c r="R91" s="4">
        <v>0.85</v>
      </c>
      <c r="S91" s="8">
        <v>0.76622000000000001</v>
      </c>
      <c r="T91" s="1"/>
      <c r="U91" s="1"/>
      <c r="V91" s="76" t="s">
        <v>202</v>
      </c>
      <c r="W91" s="1"/>
      <c r="X91" s="1"/>
      <c r="Y91" s="1"/>
    </row>
    <row r="92" spans="1:25" ht="15" customHeight="1">
      <c r="A92" s="1" t="s">
        <v>239</v>
      </c>
      <c r="B92" s="1"/>
      <c r="C92" s="1"/>
      <c r="D92" s="76" t="s">
        <v>204</v>
      </c>
      <c r="E92" s="1"/>
      <c r="F92" s="1"/>
      <c r="G92" s="1" t="s">
        <v>240</v>
      </c>
      <c r="H92" s="1"/>
      <c r="I92" s="1" t="s">
        <v>236</v>
      </c>
      <c r="J92" s="1"/>
      <c r="K92" s="1"/>
      <c r="L92" s="1"/>
      <c r="M92" s="1"/>
      <c r="N92" s="1"/>
      <c r="O92" s="1"/>
      <c r="P92" s="18"/>
      <c r="Q92" s="1"/>
      <c r="R92" s="4">
        <v>0.85</v>
      </c>
      <c r="S92" s="1"/>
      <c r="T92" s="1"/>
      <c r="U92" s="1"/>
      <c r="V92" s="1"/>
      <c r="W92" s="1"/>
      <c r="X92" s="1"/>
      <c r="Y92" s="1"/>
    </row>
    <row r="93" spans="1:25" ht="15" customHeight="1" thickBot="1">
      <c r="A93" s="1" t="s">
        <v>239</v>
      </c>
      <c r="B93" s="1">
        <v>3203</v>
      </c>
      <c r="C93" s="1"/>
      <c r="D93" s="76" t="s">
        <v>215</v>
      </c>
      <c r="E93" s="1"/>
      <c r="F93" s="1"/>
      <c r="G93" s="1" t="s">
        <v>243</v>
      </c>
      <c r="H93" s="1"/>
      <c r="I93" s="1" t="s">
        <v>241</v>
      </c>
      <c r="J93" s="1">
        <v>3</v>
      </c>
      <c r="K93" s="67" t="s">
        <v>242</v>
      </c>
      <c r="L93" s="72">
        <f>315 / 400</f>
        <v>0.78749999999999998</v>
      </c>
      <c r="M93" s="1"/>
      <c r="N93" s="1"/>
      <c r="O93" s="1"/>
      <c r="P93" s="18">
        <f>3424/4000</f>
        <v>0.85599999999999998</v>
      </c>
      <c r="Q93" s="1"/>
      <c r="R93" s="8">
        <v>0.76622000000000001</v>
      </c>
      <c r="S93" s="1"/>
      <c r="T93" s="1"/>
      <c r="U93" s="1"/>
      <c r="V93" s="1"/>
      <c r="W93" s="1"/>
      <c r="X93" s="1"/>
      <c r="Y93" s="1"/>
    </row>
    <row r="94" spans="1:25" ht="15" customHeight="1">
      <c r="A94" s="1" t="s">
        <v>239</v>
      </c>
      <c r="B94" s="1"/>
      <c r="C94" s="1"/>
      <c r="D94" s="1" t="s">
        <v>212</v>
      </c>
      <c r="E94" s="1"/>
      <c r="F94" s="1"/>
      <c r="G94" s="1" t="s">
        <v>238</v>
      </c>
      <c r="H94" s="1"/>
      <c r="I94" s="1" t="s">
        <v>244</v>
      </c>
      <c r="J94" s="1">
        <v>5</v>
      </c>
      <c r="K94" s="1"/>
      <c r="L94" s="1"/>
      <c r="M94" s="1"/>
      <c r="N94" s="1"/>
      <c r="O94" s="67" t="s">
        <v>245</v>
      </c>
      <c r="P94" s="18">
        <f>3716/4000</f>
        <v>0.92900000000000005</v>
      </c>
      <c r="Q94" s="82"/>
      <c r="R94" s="4">
        <v>0.85</v>
      </c>
      <c r="S94" s="1"/>
      <c r="T94" s="1"/>
      <c r="U94" s="1"/>
      <c r="V94" s="1">
        <v>6000000</v>
      </c>
      <c r="W94" s="1"/>
      <c r="X94" s="1"/>
      <c r="Y94" s="1"/>
    </row>
    <row r="95" spans="1:25" ht="15" customHeight="1">
      <c r="A95" s="1" t="s">
        <v>239</v>
      </c>
      <c r="B95" s="1">
        <v>3207</v>
      </c>
      <c r="C95" s="1"/>
      <c r="D95" s="83" t="s">
        <v>215</v>
      </c>
      <c r="E95" s="1"/>
      <c r="F95" s="1"/>
      <c r="G95" s="1" t="s">
        <v>238</v>
      </c>
      <c r="H95" s="1"/>
      <c r="I95" s="1" t="s">
        <v>246</v>
      </c>
      <c r="J95" s="1">
        <v>5</v>
      </c>
      <c r="K95" s="3" t="s">
        <v>247</v>
      </c>
      <c r="L95" s="1"/>
      <c r="M95" s="3">
        <v>0.96440000000000003</v>
      </c>
      <c r="N95" s="1"/>
      <c r="O95" s="1"/>
      <c r="P95" s="18">
        <f>3776/4000</f>
        <v>0.94399999999999995</v>
      </c>
      <c r="Q95" s="81"/>
      <c r="R95" s="4">
        <v>0.9</v>
      </c>
      <c r="S95" s="1"/>
      <c r="T95" s="1"/>
      <c r="U95" s="1"/>
      <c r="V95" s="1">
        <v>7500000</v>
      </c>
      <c r="W95" s="1"/>
      <c r="X95" s="1"/>
      <c r="Y95" s="1"/>
    </row>
    <row r="96" spans="1:25" ht="15" customHeight="1">
      <c r="A96" s="1" t="s">
        <v>239</v>
      </c>
      <c r="B96" s="1">
        <v>3208</v>
      </c>
      <c r="C96" s="1"/>
      <c r="D96" s="83" t="s">
        <v>132</v>
      </c>
      <c r="E96" s="1"/>
      <c r="F96" s="1"/>
      <c r="G96" s="1" t="s">
        <v>238</v>
      </c>
      <c r="H96" s="1"/>
      <c r="I96" s="1" t="s">
        <v>246</v>
      </c>
      <c r="J96" s="1">
        <v>3.5</v>
      </c>
      <c r="K96" s="3">
        <v>0.52629999999999999</v>
      </c>
      <c r="M96" s="67" t="s">
        <v>133</v>
      </c>
      <c r="N96" s="1"/>
      <c r="O96" s="1"/>
      <c r="P96" s="18">
        <f>3604/4000</f>
        <v>0.90100000000000002</v>
      </c>
      <c r="Q96" s="1"/>
      <c r="R96" s="4">
        <v>0.9</v>
      </c>
      <c r="S96" s="1"/>
      <c r="T96" s="1"/>
      <c r="U96" s="1"/>
      <c r="V96" s="1">
        <v>7000000</v>
      </c>
      <c r="W96" s="1"/>
      <c r="X96" s="1"/>
      <c r="Y96" s="1"/>
    </row>
    <row r="97" spans="1:25" ht="15" customHeight="1">
      <c r="A97" s="1" t="s">
        <v>239</v>
      </c>
      <c r="B97" s="1">
        <v>3210</v>
      </c>
      <c r="C97" s="1"/>
      <c r="D97" s="1" t="s">
        <v>61</v>
      </c>
      <c r="E97" s="1"/>
      <c r="F97" s="1"/>
      <c r="G97" s="1" t="s">
        <v>248</v>
      </c>
      <c r="H97" s="1"/>
      <c r="I97" s="1" t="s">
        <v>63</v>
      </c>
      <c r="J97" s="1">
        <v>5</v>
      </c>
      <c r="K97" s="3">
        <v>0.61839999999999995</v>
      </c>
      <c r="L97" s="3">
        <v>0.93500000000000005</v>
      </c>
      <c r="M97" s="1"/>
      <c r="N97" s="1"/>
      <c r="O97" s="1"/>
      <c r="P97" s="18">
        <f>3548/4000</f>
        <v>0.88700000000000001</v>
      </c>
      <c r="Q97" s="1"/>
      <c r="R97" s="8">
        <v>0.76622000000000001</v>
      </c>
      <c r="S97" s="1"/>
      <c r="T97" s="1"/>
      <c r="U97" s="1"/>
      <c r="V97" s="1">
        <v>6000000</v>
      </c>
      <c r="W97" s="1"/>
      <c r="X97" s="1"/>
      <c r="Y97" s="1"/>
    </row>
    <row r="98" spans="1:25" ht="15" customHeight="1">
      <c r="A98" s="1" t="s">
        <v>239</v>
      </c>
      <c r="B98" s="1">
        <v>3199</v>
      </c>
      <c r="C98" s="1"/>
      <c r="D98" s="76" t="s">
        <v>128</v>
      </c>
      <c r="E98" s="1"/>
      <c r="F98" s="1"/>
      <c r="G98" s="1" t="s">
        <v>95</v>
      </c>
      <c r="H98" s="1"/>
      <c r="I98" s="1" t="s">
        <v>63</v>
      </c>
      <c r="J98" s="1"/>
      <c r="K98" s="1"/>
      <c r="L98" s="1"/>
      <c r="M98" s="1"/>
      <c r="N98" s="1"/>
      <c r="O98" s="1"/>
      <c r="P98" s="18"/>
      <c r="Q98" s="1"/>
      <c r="R98" s="8">
        <v>0.76622000000000001</v>
      </c>
      <c r="S98" s="1"/>
      <c r="T98" s="1"/>
      <c r="U98" s="1"/>
      <c r="V98" s="76" t="s">
        <v>91</v>
      </c>
      <c r="W98" s="1"/>
      <c r="X98" s="1"/>
      <c r="Y98" s="1"/>
    </row>
    <row r="99" spans="1:25" ht="15" customHeight="1">
      <c r="A99" s="1" t="s">
        <v>239</v>
      </c>
      <c r="B99" s="1">
        <v>3203</v>
      </c>
      <c r="C99" s="1"/>
      <c r="D99" s="76" t="s">
        <v>129</v>
      </c>
      <c r="E99" s="1"/>
      <c r="F99" s="1"/>
      <c r="G99" s="1" t="s">
        <v>249</v>
      </c>
      <c r="H99" s="1"/>
      <c r="I99" s="1" t="s">
        <v>63</v>
      </c>
      <c r="J99" s="1"/>
      <c r="K99" s="1"/>
      <c r="L99" s="1"/>
      <c r="M99" s="1"/>
      <c r="N99" s="1"/>
      <c r="O99" s="1"/>
      <c r="P99" s="18">
        <f>3060/4000</f>
        <v>0.76500000000000001</v>
      </c>
      <c r="Q99" s="1"/>
      <c r="R99" s="8">
        <v>0.76622000000000001</v>
      </c>
      <c r="S99" s="1"/>
      <c r="T99" s="1"/>
      <c r="U99" s="1"/>
      <c r="V99" s="1"/>
      <c r="W99" s="1"/>
      <c r="X99" s="1"/>
      <c r="Y99" s="1"/>
    </row>
    <row r="100" spans="1:25" ht="15" customHeight="1">
      <c r="A100" s="1" t="s">
        <v>239</v>
      </c>
      <c r="B100" s="1">
        <v>3215</v>
      </c>
      <c r="C100" s="1"/>
      <c r="D100" s="83" t="s">
        <v>227</v>
      </c>
      <c r="E100" s="1"/>
      <c r="F100" s="1"/>
      <c r="G100" s="1" t="s">
        <v>238</v>
      </c>
      <c r="H100" s="1"/>
      <c r="I100" s="1" t="s">
        <v>250</v>
      </c>
      <c r="J100" s="1">
        <v>4</v>
      </c>
      <c r="K100" s="3">
        <v>0.65790000000000004</v>
      </c>
      <c r="L100" s="1"/>
      <c r="M100" s="67" t="s">
        <v>251</v>
      </c>
      <c r="N100" s="1"/>
      <c r="O100" s="1"/>
      <c r="P100" s="18">
        <f>3544/4000</f>
        <v>0.88600000000000001</v>
      </c>
      <c r="Q100" s="1"/>
      <c r="R100" s="4">
        <v>0.9</v>
      </c>
      <c r="S100" s="1"/>
      <c r="T100" s="1"/>
      <c r="U100" s="1"/>
      <c r="W100" s="1"/>
      <c r="X100" s="1"/>
      <c r="Y100" s="1"/>
    </row>
    <row r="101" spans="1:25" ht="15" customHeight="1">
      <c r="A101" s="1" t="s">
        <v>239</v>
      </c>
      <c r="B101" s="1"/>
      <c r="C101" s="1"/>
      <c r="D101" s="83" t="s">
        <v>230</v>
      </c>
      <c r="E101" s="1"/>
      <c r="F101" s="1"/>
      <c r="G101" s="1" t="s">
        <v>252</v>
      </c>
      <c r="H101" s="1"/>
      <c r="I101" s="1" t="s">
        <v>63</v>
      </c>
      <c r="J101" s="1">
        <v>4</v>
      </c>
      <c r="K101" s="1"/>
      <c r="L101" s="4">
        <v>0.92</v>
      </c>
      <c r="M101" s="1"/>
      <c r="N101" s="1"/>
      <c r="O101" s="1"/>
      <c r="P101" s="18">
        <f>3924/4000</f>
        <v>0.98099999999999998</v>
      </c>
      <c r="Q101" s="1"/>
      <c r="R101" s="8">
        <v>0.76622000000000001</v>
      </c>
      <c r="S101" s="1"/>
      <c r="T101" s="1"/>
      <c r="U101" s="1"/>
      <c r="V101" s="1">
        <v>6500000</v>
      </c>
      <c r="W101" s="1"/>
      <c r="X101" s="1"/>
      <c r="Y101" s="1"/>
    </row>
    <row r="102" spans="1:25" ht="15" customHeight="1">
      <c r="A102" s="1" t="s">
        <v>239</v>
      </c>
      <c r="B102" s="1">
        <v>3210</v>
      </c>
      <c r="C102" s="1"/>
      <c r="D102" s="84" t="s">
        <v>232</v>
      </c>
      <c r="E102" s="1"/>
      <c r="F102" s="1"/>
      <c r="G102" s="1" t="s">
        <v>253</v>
      </c>
      <c r="H102" s="1"/>
      <c r="I102" s="1" t="s">
        <v>63</v>
      </c>
      <c r="J102" s="1">
        <v>4.5</v>
      </c>
      <c r="K102" s="1"/>
      <c r="L102" s="3">
        <v>0.80249999999999999</v>
      </c>
      <c r="M102" s="1"/>
      <c r="N102" s="1"/>
      <c r="O102" s="1"/>
      <c r="P102" s="18">
        <f>3328/4000</f>
        <v>0.83199999999999996</v>
      </c>
      <c r="Q102" s="1"/>
      <c r="R102" s="8">
        <v>0.76622000000000001</v>
      </c>
      <c r="S102" s="1"/>
      <c r="T102" s="1"/>
      <c r="U102" s="1"/>
      <c r="V102" s="1">
        <v>9000000</v>
      </c>
      <c r="W102" s="1"/>
      <c r="X102" s="1"/>
      <c r="Y102" s="1"/>
    </row>
    <row r="103" spans="1:25" ht="15" customHeight="1">
      <c r="A103" s="1" t="s">
        <v>239</v>
      </c>
      <c r="B103" s="1">
        <v>3215</v>
      </c>
      <c r="C103" s="1"/>
      <c r="D103" t="s">
        <v>254</v>
      </c>
      <c r="E103" s="1"/>
      <c r="F103" s="1"/>
      <c r="G103" s="1" t="s">
        <v>263</v>
      </c>
      <c r="H103" s="1"/>
      <c r="I103" s="1" t="s">
        <v>250</v>
      </c>
      <c r="J103" s="1">
        <v>7</v>
      </c>
      <c r="K103" s="1"/>
      <c r="L103" s="1"/>
      <c r="M103" s="1"/>
      <c r="N103" s="1"/>
      <c r="O103" s="1"/>
      <c r="P103" s="18">
        <f>2888/4000</f>
        <v>0.72199999999999998</v>
      </c>
      <c r="Q103" s="1"/>
      <c r="R103" s="4">
        <v>0.9</v>
      </c>
      <c r="S103" s="1"/>
      <c r="T103" s="1"/>
      <c r="U103" s="1"/>
      <c r="V103" s="1"/>
      <c r="W103" s="1"/>
      <c r="X103" s="1"/>
      <c r="Y103" s="1"/>
    </row>
    <row r="104" spans="1:25" ht="15" customHeight="1">
      <c r="A104" s="1" t="s">
        <v>239</v>
      </c>
      <c r="B104" s="1">
        <v>3215</v>
      </c>
      <c r="C104" s="1"/>
      <c r="D104" s="1" t="s">
        <v>153</v>
      </c>
      <c r="E104" s="1"/>
      <c r="F104" s="1"/>
      <c r="G104" s="1" t="s">
        <v>259</v>
      </c>
      <c r="H104" s="1"/>
      <c r="I104" s="1" t="s">
        <v>250</v>
      </c>
      <c r="J104" s="1"/>
      <c r="K104" s="1"/>
      <c r="L104" s="1"/>
      <c r="M104" s="1"/>
      <c r="N104" s="1"/>
      <c r="O104" s="1"/>
      <c r="P104" s="18"/>
      <c r="Q104" s="1"/>
      <c r="R104" s="4">
        <v>0.9</v>
      </c>
      <c r="S104" s="1"/>
      <c r="T104" s="1"/>
      <c r="U104" s="1"/>
      <c r="V104" s="1"/>
      <c r="W104" s="1"/>
      <c r="X104" s="1"/>
      <c r="Y104" s="1"/>
    </row>
    <row r="105" spans="1:25" ht="15" customHeight="1">
      <c r="A105" s="17" t="s">
        <v>239</v>
      </c>
      <c r="B105" s="17">
        <v>3208</v>
      </c>
      <c r="C105" s="17"/>
      <c r="D105" s="84" t="s">
        <v>46</v>
      </c>
      <c r="E105" s="17"/>
      <c r="F105" s="17"/>
      <c r="G105" s="17" t="s">
        <v>261</v>
      </c>
      <c r="H105" s="17"/>
      <c r="I105" s="17" t="s">
        <v>262</v>
      </c>
      <c r="J105" s="17"/>
      <c r="K105" s="17"/>
      <c r="L105" s="17"/>
      <c r="M105" s="17"/>
      <c r="N105" s="17"/>
      <c r="O105" s="17"/>
      <c r="P105" s="88">
        <f>3396/4000</f>
        <v>0.84899999999999998</v>
      </c>
      <c r="Q105" s="17"/>
      <c r="R105" s="22">
        <v>0.9</v>
      </c>
      <c r="S105" s="17"/>
      <c r="T105" s="17"/>
      <c r="U105" s="17"/>
      <c r="V105" s="17"/>
      <c r="W105" s="17"/>
      <c r="X105" s="17"/>
      <c r="Y105" s="17"/>
    </row>
    <row r="106" spans="1:25" ht="15" customHeight="1">
      <c r="A106" s="1" t="s">
        <v>239</v>
      </c>
      <c r="B106" s="1">
        <v>3211</v>
      </c>
      <c r="C106" s="1"/>
      <c r="D106" s="85" t="s">
        <v>79</v>
      </c>
      <c r="E106" s="1"/>
      <c r="F106" s="1"/>
      <c r="G106" s="1" t="s">
        <v>264</v>
      </c>
      <c r="H106" s="1"/>
      <c r="I106" s="1" t="s">
        <v>250</v>
      </c>
      <c r="J106" s="1"/>
      <c r="K106" s="3">
        <v>0.85529999999999995</v>
      </c>
      <c r="L106" s="1"/>
      <c r="M106" s="3">
        <v>0.88219999999999998</v>
      </c>
      <c r="N106" s="1"/>
      <c r="O106" s="1"/>
      <c r="P106" s="18">
        <f>3880/4000</f>
        <v>0.97</v>
      </c>
      <c r="Q106" s="1"/>
      <c r="R106" s="4">
        <v>0.9</v>
      </c>
      <c r="S106" s="1"/>
      <c r="T106" s="1"/>
      <c r="U106" s="1"/>
      <c r="V106" s="1">
        <v>8000000</v>
      </c>
      <c r="W106" s="1"/>
      <c r="X106" s="1"/>
      <c r="Y106" s="1"/>
    </row>
    <row r="107" spans="1:25" ht="15" customHeight="1">
      <c r="A107" s="1" t="s">
        <v>239</v>
      </c>
      <c r="B107" s="1"/>
      <c r="C107" s="1"/>
      <c r="D107" s="1" t="s">
        <v>269</v>
      </c>
      <c r="E107" s="6" t="s">
        <v>267</v>
      </c>
      <c r="F107" s="6" t="s">
        <v>268</v>
      </c>
      <c r="G107" s="1"/>
      <c r="H107" s="1"/>
      <c r="I107" s="1"/>
      <c r="J107" s="1"/>
      <c r="K107" s="1"/>
      <c r="L107" s="1"/>
      <c r="M107" s="1"/>
      <c r="N107" s="1"/>
      <c r="O107" s="1"/>
      <c r="P107" s="18"/>
      <c r="Q107" s="1"/>
      <c r="R107" s="1"/>
      <c r="S107" s="1"/>
      <c r="T107" s="1"/>
      <c r="U107" s="1"/>
      <c r="V107" s="1"/>
      <c r="W107" s="1"/>
      <c r="X107" s="1"/>
      <c r="Y107" s="1"/>
    </row>
    <row r="108" spans="1:25" ht="15" customHeight="1">
      <c r="A108" s="1" t="s">
        <v>239</v>
      </c>
      <c r="B108" s="1"/>
      <c r="C108" s="1"/>
      <c r="D108" s="89" t="s">
        <v>270</v>
      </c>
      <c r="E108" s="1"/>
      <c r="F108" s="1"/>
      <c r="G108" s="1"/>
      <c r="H108" s="1"/>
      <c r="I108" s="1" t="s">
        <v>116</v>
      </c>
      <c r="J108" s="1"/>
      <c r="K108" s="1"/>
      <c r="L108" s="1"/>
      <c r="M108" s="1"/>
      <c r="N108" s="1"/>
      <c r="O108" s="3">
        <f>445 / 650</f>
        <v>0.68461538461538463</v>
      </c>
      <c r="P108" s="18">
        <f>3572/4000</f>
        <v>0.89300000000000002</v>
      </c>
      <c r="Q108" s="1"/>
      <c r="R108" s="4">
        <v>0.85</v>
      </c>
      <c r="S108" s="1"/>
      <c r="T108" s="1"/>
      <c r="U108" s="1"/>
      <c r="V108" s="1"/>
      <c r="W108" s="1"/>
      <c r="X108" s="1"/>
      <c r="Y108" s="1"/>
    </row>
    <row r="109" spans="1:25" ht="15" customHeight="1">
      <c r="A109" s="1" t="s">
        <v>239</v>
      </c>
      <c r="B109" s="1"/>
      <c r="C109" s="1"/>
      <c r="D109" s="90" t="s">
        <v>272</v>
      </c>
      <c r="E109" s="1"/>
      <c r="F109" s="1"/>
      <c r="G109" s="1"/>
      <c r="H109" s="1"/>
      <c r="I109" s="1" t="s">
        <v>273</v>
      </c>
      <c r="J109" s="1"/>
      <c r="K109" s="1"/>
      <c r="L109" s="33" t="s">
        <v>274</v>
      </c>
      <c r="M109" s="1"/>
      <c r="N109" s="1"/>
      <c r="O109" s="1"/>
      <c r="P109" s="18">
        <f>3424/4000</f>
        <v>0.85599999999999998</v>
      </c>
      <c r="Q109" s="1"/>
      <c r="R109" s="8">
        <v>0.76622000000000001</v>
      </c>
      <c r="S109" s="1"/>
      <c r="T109" s="1"/>
      <c r="U109" s="1"/>
      <c r="V109" s="1"/>
      <c r="W109" s="1"/>
      <c r="X109" s="1"/>
      <c r="Y109" s="1"/>
    </row>
    <row r="110" spans="1:25" ht="15" customHeight="1">
      <c r="A110" s="1" t="s">
        <v>239</v>
      </c>
      <c r="B110" s="1"/>
      <c r="C110" s="1"/>
      <c r="D110" s="1" t="s">
        <v>271</v>
      </c>
      <c r="E110" s="1"/>
      <c r="F110" s="1"/>
      <c r="G110" s="1" t="s">
        <v>279</v>
      </c>
      <c r="H110" s="1"/>
      <c r="I110" s="1" t="s">
        <v>273</v>
      </c>
      <c r="J110" s="1"/>
      <c r="K110" s="1"/>
      <c r="L110" s="3">
        <v>0.91249999999999998</v>
      </c>
      <c r="M110" s="1"/>
      <c r="N110" s="1"/>
      <c r="O110" s="1"/>
      <c r="P110" s="18">
        <f>2872/4000</f>
        <v>0.71799999999999997</v>
      </c>
      <c r="Q110" s="1"/>
      <c r="R110" s="8">
        <v>0.76622000000000001</v>
      </c>
      <c r="S110" s="1"/>
      <c r="T110" s="1"/>
      <c r="U110" s="1"/>
      <c r="V110" s="1"/>
      <c r="W110" s="1"/>
      <c r="X110" s="1"/>
      <c r="Y110" s="1"/>
    </row>
    <row r="111" spans="1:25" ht="15" customHeight="1">
      <c r="A111" s="1" t="s">
        <v>239</v>
      </c>
      <c r="B111" s="1"/>
      <c r="C111" s="1"/>
      <c r="D111" s="1" t="s">
        <v>286</v>
      </c>
      <c r="E111" s="1"/>
      <c r="F111" s="1"/>
      <c r="G111" s="1"/>
      <c r="H111" s="1"/>
      <c r="I111" s="1" t="s">
        <v>250</v>
      </c>
      <c r="J111" s="1"/>
      <c r="K111" s="33" t="s">
        <v>288</v>
      </c>
      <c r="L111" s="1"/>
      <c r="M111" s="1" t="s">
        <v>287</v>
      </c>
      <c r="N111" s="1"/>
      <c r="O111" s="1"/>
      <c r="P111" s="18">
        <f>3252/4000</f>
        <v>0.81299999999999994</v>
      </c>
      <c r="Q111" s="1"/>
      <c r="R111" s="4">
        <v>0.9</v>
      </c>
      <c r="S111" s="1"/>
      <c r="T111" s="1"/>
      <c r="U111" s="1"/>
      <c r="V111" s="1"/>
      <c r="W111" s="1"/>
      <c r="X111" s="1"/>
      <c r="Y111" s="1"/>
    </row>
    <row r="112" spans="1:25" ht="15" customHeight="1">
      <c r="A112" s="1" t="s">
        <v>239</v>
      </c>
      <c r="B112" s="1"/>
      <c r="C112" s="1"/>
      <c r="D112" s="1" t="s">
        <v>285</v>
      </c>
      <c r="E112" s="1"/>
      <c r="F112" s="1"/>
      <c r="G112" s="1"/>
      <c r="H112" s="1"/>
      <c r="I112" s="1"/>
      <c r="J112" s="1"/>
      <c r="K112" s="33" t="s">
        <v>139</v>
      </c>
      <c r="L112" s="1"/>
      <c r="M112" s="33" t="s">
        <v>291</v>
      </c>
      <c r="N112" s="1"/>
      <c r="O112" s="1"/>
      <c r="P112" s="18">
        <f>2968/4000</f>
        <v>0.74199999999999999</v>
      </c>
      <c r="Q112" s="1"/>
      <c r="R112" s="4">
        <v>0.9</v>
      </c>
      <c r="S112" s="1"/>
      <c r="T112" s="1"/>
      <c r="U112" s="1"/>
      <c r="V112" s="1"/>
      <c r="W112" s="1"/>
      <c r="X112" s="1"/>
      <c r="Y112" s="1"/>
    </row>
    <row r="113" spans="1:25" ht="15" customHeight="1">
      <c r="A113" s="1" t="s">
        <v>239</v>
      </c>
      <c r="B113" s="1"/>
      <c r="C113" s="1"/>
      <c r="D113" s="1" t="s">
        <v>292</v>
      </c>
      <c r="E113" s="1"/>
      <c r="F113" s="1"/>
      <c r="G113" s="1"/>
      <c r="H113" s="1"/>
      <c r="I113" s="1" t="s">
        <v>250</v>
      </c>
      <c r="J113" s="1"/>
      <c r="K113" s="1"/>
      <c r="L113" s="1"/>
      <c r="M113" s="1"/>
      <c r="N113" s="1"/>
      <c r="O113" s="1"/>
      <c r="P113" s="18">
        <f>3192/4000</f>
        <v>0.79800000000000004</v>
      </c>
      <c r="Q113" s="1"/>
      <c r="R113" s="4">
        <v>0.9</v>
      </c>
      <c r="S113" s="1"/>
      <c r="T113" s="1"/>
      <c r="U113" s="1"/>
      <c r="V113" s="1"/>
      <c r="W113" s="1"/>
      <c r="X113" s="1"/>
      <c r="Y113" s="1"/>
    </row>
    <row r="114" spans="1:25" ht="15" customHeight="1">
      <c r="A114" s="1" t="s">
        <v>239</v>
      </c>
      <c r="B114" s="1"/>
      <c r="C114" s="1"/>
      <c r="D114" s="1" t="s">
        <v>293</v>
      </c>
      <c r="E114" s="1"/>
      <c r="F114" s="1"/>
      <c r="G114" s="1"/>
      <c r="H114" s="1"/>
      <c r="I114" s="1" t="s">
        <v>250</v>
      </c>
      <c r="J114" s="1"/>
      <c r="K114" s="1"/>
      <c r="L114" s="1"/>
      <c r="M114" s="1"/>
      <c r="N114" s="1"/>
      <c r="O114" s="1"/>
      <c r="P114" s="18">
        <f>3500/4000</f>
        <v>0.875</v>
      </c>
      <c r="Q114" s="1"/>
      <c r="R114" s="4">
        <v>0.9</v>
      </c>
      <c r="S114" s="1"/>
      <c r="T114" s="1"/>
      <c r="U114" s="1"/>
      <c r="V114" s="1"/>
      <c r="W114" s="1"/>
      <c r="X114" s="1"/>
      <c r="Y114" s="1"/>
    </row>
    <row r="115" spans="1:25" ht="15" customHeight="1">
      <c r="A115" s="1" t="s">
        <v>239</v>
      </c>
      <c r="B115" s="1"/>
      <c r="C115" s="1"/>
      <c r="D115" s="33" t="s">
        <v>294</v>
      </c>
      <c r="E115" s="1"/>
      <c r="F115" s="1"/>
      <c r="G115" s="1"/>
      <c r="H115" s="1"/>
      <c r="I115" s="1"/>
      <c r="J115" s="1"/>
      <c r="K115" s="1"/>
      <c r="L115" s="1"/>
      <c r="M115" s="1"/>
      <c r="N115" s="1"/>
      <c r="O115" s="1"/>
      <c r="P115" s="18">
        <f>2912/4000</f>
        <v>0.72799999999999998</v>
      </c>
      <c r="Q115" s="1"/>
      <c r="R115" s="1"/>
      <c r="S115" s="1"/>
      <c r="T115" s="1"/>
      <c r="U115" s="1"/>
      <c r="V115" s="1"/>
      <c r="W115" s="1"/>
      <c r="X115" s="1"/>
      <c r="Y115" s="1"/>
    </row>
    <row r="116" spans="1:25" ht="15" customHeight="1">
      <c r="A116" s="1" t="s">
        <v>239</v>
      </c>
      <c r="B116" s="1"/>
      <c r="C116" s="1"/>
      <c r="D116" s="93" t="s">
        <v>295</v>
      </c>
      <c r="E116" s="1"/>
      <c r="F116" s="1"/>
      <c r="G116" s="1" t="s">
        <v>95</v>
      </c>
      <c r="H116" s="1"/>
      <c r="I116" s="1" t="s">
        <v>297</v>
      </c>
      <c r="J116" s="1"/>
      <c r="K116" s="1"/>
      <c r="L116" s="1"/>
      <c r="M116" s="1"/>
      <c r="N116" s="1"/>
      <c r="O116" s="67" t="s">
        <v>296</v>
      </c>
      <c r="P116" s="18">
        <f>3732/4000</f>
        <v>0.93300000000000005</v>
      </c>
      <c r="Q116" s="1"/>
      <c r="R116" s="4">
        <v>0.85</v>
      </c>
      <c r="S116" s="1"/>
      <c r="T116" s="1"/>
      <c r="U116" s="1"/>
      <c r="V116" s="1"/>
      <c r="W116" s="1"/>
      <c r="X116" s="1"/>
      <c r="Y116" s="1"/>
    </row>
    <row r="117" spans="1:25" ht="15" customHeight="1">
      <c r="A117" s="1" t="s">
        <v>239</v>
      </c>
      <c r="B117" s="1"/>
      <c r="C117" s="1"/>
      <c r="D117" s="91" t="s">
        <v>298</v>
      </c>
      <c r="E117" s="1"/>
      <c r="F117" s="1"/>
      <c r="G117" s="1" t="s">
        <v>300</v>
      </c>
      <c r="H117" s="1"/>
      <c r="I117" s="1" t="s">
        <v>297</v>
      </c>
      <c r="J117" s="1"/>
      <c r="K117" s="1"/>
      <c r="L117" s="1"/>
      <c r="M117" s="1"/>
      <c r="N117" s="1"/>
      <c r="O117" s="1"/>
      <c r="P117" s="1"/>
      <c r="Q117" s="1"/>
      <c r="R117" s="1"/>
      <c r="S117" s="1"/>
      <c r="T117" s="1"/>
      <c r="U117" s="1"/>
      <c r="V117" s="1"/>
      <c r="W117" s="1"/>
      <c r="X117" s="1"/>
      <c r="Y117" s="1"/>
    </row>
    <row r="118" spans="1:25" ht="15" customHeight="1">
      <c r="A118" s="1" t="s">
        <v>239</v>
      </c>
      <c r="B118" s="1"/>
      <c r="C118" s="1"/>
      <c r="D118" t="s">
        <v>302</v>
      </c>
      <c r="E118" s="1"/>
      <c r="F118" s="1"/>
      <c r="G118" s="1"/>
      <c r="H118" s="1"/>
      <c r="I118" s="1" t="s">
        <v>303</v>
      </c>
      <c r="J118" s="1"/>
      <c r="K118" s="1"/>
      <c r="L118" s="1"/>
      <c r="M118" s="1"/>
      <c r="N118" s="1"/>
      <c r="O118" s="1"/>
      <c r="P118" s="72">
        <f>3232/4000</f>
        <v>0.80800000000000005</v>
      </c>
      <c r="Q118" s="1"/>
      <c r="R118" s="8">
        <v>0.76622000000000001</v>
      </c>
      <c r="S118" s="1"/>
      <c r="T118" s="1"/>
      <c r="U118" s="1"/>
      <c r="V118" s="1"/>
      <c r="W118" s="1"/>
      <c r="X118" s="1"/>
      <c r="Y118" s="1"/>
    </row>
    <row r="119" spans="1:25" ht="15" customHeight="1">
      <c r="A119" s="1" t="s">
        <v>239</v>
      </c>
      <c r="B119" s="1"/>
      <c r="C119" s="1"/>
      <c r="D119" t="s">
        <v>301</v>
      </c>
      <c r="E119" s="1"/>
      <c r="F119" s="1"/>
      <c r="G119" s="1"/>
      <c r="H119" s="1"/>
      <c r="I119" s="1" t="s">
        <v>303</v>
      </c>
      <c r="J119" s="1"/>
      <c r="K119" s="3">
        <v>0.56579999999999997</v>
      </c>
      <c r="L119" s="4">
        <v>0.9</v>
      </c>
      <c r="M119" s="1"/>
      <c r="N119" s="1"/>
      <c r="O119" s="1"/>
      <c r="P119" s="72">
        <f>3532/4000</f>
        <v>0.88300000000000001</v>
      </c>
      <c r="Q119" s="1"/>
      <c r="R119" s="8">
        <v>0.76622000000000001</v>
      </c>
      <c r="S119" s="1"/>
      <c r="T119" s="1"/>
      <c r="U119" s="1"/>
      <c r="V119" s="1"/>
      <c r="W119" s="1"/>
      <c r="X119" s="1"/>
      <c r="Y119" s="1"/>
    </row>
    <row r="120" spans="1:25" ht="15" customHeight="1">
      <c r="A120" s="1" t="s">
        <v>239</v>
      </c>
      <c r="B120" s="1"/>
      <c r="C120" s="1"/>
      <c r="D120" t="s">
        <v>304</v>
      </c>
      <c r="E120" s="1"/>
      <c r="F120" s="1"/>
      <c r="G120" s="1" t="s">
        <v>310</v>
      </c>
      <c r="H120" s="1"/>
      <c r="I120" s="27" t="s">
        <v>134</v>
      </c>
      <c r="J120" s="1"/>
      <c r="K120" s="1"/>
      <c r="L120" s="1"/>
      <c r="M120" s="1"/>
      <c r="N120" s="1"/>
      <c r="O120" s="1"/>
      <c r="P120" s="72">
        <f>3332/4000</f>
        <v>0.83299999999999996</v>
      </c>
      <c r="Q120" s="1"/>
      <c r="R120" s="4">
        <v>0.9</v>
      </c>
      <c r="S120" s="1"/>
      <c r="T120" s="1"/>
      <c r="U120" s="1"/>
      <c r="V120" s="1"/>
      <c r="W120" s="1"/>
      <c r="X120" s="1"/>
      <c r="Y120" s="1"/>
    </row>
    <row r="121" spans="1:25" ht="15" customHeight="1">
      <c r="A121" s="1" t="s">
        <v>239</v>
      </c>
      <c r="B121" s="1"/>
      <c r="C121" s="1"/>
      <c r="D121" s="92" t="s">
        <v>305</v>
      </c>
      <c r="E121" s="1"/>
      <c r="F121" s="1"/>
      <c r="G121" s="1" t="s">
        <v>299</v>
      </c>
      <c r="H121" s="1"/>
      <c r="I121" s="27" t="s">
        <v>134</v>
      </c>
      <c r="J121" s="1"/>
      <c r="K121" s="67" t="s">
        <v>309</v>
      </c>
      <c r="L121" s="1"/>
      <c r="M121" s="67" t="s">
        <v>306</v>
      </c>
      <c r="N121" s="67" t="s">
        <v>307</v>
      </c>
      <c r="O121" s="1"/>
      <c r="P121" s="72">
        <f>3784/4000</f>
        <v>0.94599999999999995</v>
      </c>
      <c r="Q121" s="1"/>
      <c r="R121" s="4">
        <v>0.9</v>
      </c>
      <c r="S121" s="1"/>
      <c r="T121" s="1"/>
      <c r="U121" s="1"/>
      <c r="V121" s="1"/>
      <c r="W121" s="1"/>
      <c r="X121" s="1"/>
      <c r="Y121" s="1"/>
    </row>
    <row r="122" spans="1:25" ht="15" customHeight="1">
      <c r="A122" s="1" t="s">
        <v>239</v>
      </c>
      <c r="B122" s="1"/>
      <c r="C122" s="1"/>
      <c r="D122" s="93" t="s">
        <v>311</v>
      </c>
      <c r="E122" s="1"/>
      <c r="F122" s="1"/>
      <c r="G122" s="1"/>
      <c r="H122" s="1"/>
      <c r="I122" t="s">
        <v>312</v>
      </c>
      <c r="J122" s="1"/>
      <c r="K122" s="1"/>
      <c r="L122" s="1"/>
      <c r="M122" s="1"/>
      <c r="N122" s="1"/>
      <c r="O122" s="67" t="s">
        <v>313</v>
      </c>
      <c r="P122" s="72">
        <f>3064/4000</f>
        <v>0.76600000000000001</v>
      </c>
      <c r="Q122" s="1"/>
      <c r="R122" s="8">
        <v>0.65610000000000002</v>
      </c>
      <c r="S122" s="1"/>
      <c r="T122" s="1"/>
      <c r="U122" s="1"/>
      <c r="V122" s="1"/>
      <c r="W122" s="1"/>
      <c r="X122" s="1"/>
      <c r="Y122" s="1"/>
    </row>
    <row r="123" spans="1:25" ht="15" customHeight="1">
      <c r="A123" s="1" t="s">
        <v>239</v>
      </c>
      <c r="B123" s="1"/>
      <c r="C123" s="1"/>
      <c r="D123" s="93" t="s">
        <v>314</v>
      </c>
      <c r="E123" s="1"/>
      <c r="F123" s="1"/>
      <c r="G123" s="1"/>
      <c r="H123" s="1"/>
      <c r="I123" t="s">
        <v>312</v>
      </c>
      <c r="J123" s="1"/>
      <c r="K123" s="1"/>
      <c r="L123" s="1"/>
      <c r="M123" s="1"/>
      <c r="N123" s="1"/>
      <c r="O123" s="67" t="s">
        <v>315</v>
      </c>
      <c r="P123" s="72">
        <f>3440/4000</f>
        <v>0.86</v>
      </c>
      <c r="Q123" s="1"/>
      <c r="R123" s="8">
        <v>0.65610000000000002</v>
      </c>
      <c r="S123" s="1"/>
      <c r="T123" s="1"/>
      <c r="U123" s="1"/>
      <c r="V123" s="1"/>
      <c r="W123" s="1"/>
      <c r="X123" s="1"/>
      <c r="Y123" s="1"/>
    </row>
    <row r="124" spans="1:25" ht="15" customHeight="1">
      <c r="A124" s="1" t="s">
        <v>239</v>
      </c>
      <c r="B124" s="1"/>
      <c r="C124" s="1"/>
      <c r="D124" s="76" t="s">
        <v>316</v>
      </c>
      <c r="E124" s="1"/>
      <c r="F124" s="1"/>
      <c r="G124" s="1"/>
      <c r="H124" s="1"/>
      <c r="I124" t="s">
        <v>312</v>
      </c>
      <c r="J124" s="1"/>
      <c r="K124" s="1"/>
      <c r="L124" s="1"/>
      <c r="M124" s="1"/>
      <c r="N124" s="1"/>
      <c r="O124" s="94" t="s">
        <v>317</v>
      </c>
      <c r="P124" s="72">
        <f>3812/4000</f>
        <v>0.95299999999999996</v>
      </c>
      <c r="Q124" s="1"/>
      <c r="R124" s="8">
        <v>0.65610000000000002</v>
      </c>
      <c r="S124" s="1"/>
      <c r="T124" s="1"/>
      <c r="U124" s="1"/>
      <c r="V124" s="1"/>
      <c r="W124" s="1"/>
      <c r="X124" s="1"/>
      <c r="Y124" s="1"/>
    </row>
    <row r="125" spans="1:25" ht="15" customHeight="1">
      <c r="A125" s="1" t="s">
        <v>239</v>
      </c>
      <c r="B125" s="1"/>
      <c r="C125" s="1"/>
      <c r="D125" t="s">
        <v>318</v>
      </c>
      <c r="E125" s="1"/>
      <c r="F125" s="1"/>
      <c r="G125" s="1" t="s">
        <v>95</v>
      </c>
      <c r="H125" s="1"/>
      <c r="I125" s="27" t="s">
        <v>134</v>
      </c>
      <c r="J125" s="1"/>
      <c r="K125" s="1"/>
      <c r="L125" s="1"/>
      <c r="M125" s="1"/>
      <c r="N125" s="1"/>
      <c r="O125" s="1"/>
      <c r="P125" s="72">
        <f>3752/4000</f>
        <v>0.93799999999999994</v>
      </c>
      <c r="Q125" s="1"/>
      <c r="R125" s="95">
        <v>0.9</v>
      </c>
      <c r="S125" s="1"/>
      <c r="T125" s="1"/>
      <c r="U125" s="1"/>
      <c r="V125" s="1"/>
      <c r="W125" s="1"/>
      <c r="X125" s="1"/>
      <c r="Y125" s="1"/>
    </row>
    <row r="126" spans="1:25" ht="15" customHeight="1">
      <c r="A126" s="1" t="s">
        <v>239</v>
      </c>
      <c r="B126" s="1">
        <v>3258</v>
      </c>
      <c r="C126" s="1"/>
      <c r="D126" t="s">
        <v>319</v>
      </c>
      <c r="E126" s="1"/>
      <c r="F126" s="1"/>
      <c r="G126" s="1" t="s">
        <v>238</v>
      </c>
      <c r="H126" s="1"/>
      <c r="I126" s="76" t="s">
        <v>322</v>
      </c>
      <c r="J126" s="1"/>
      <c r="K126" s="67" t="s">
        <v>325</v>
      </c>
      <c r="L126" s="1"/>
      <c r="M126" s="67" t="s">
        <v>324</v>
      </c>
      <c r="N126" s="67" t="s">
        <v>323</v>
      </c>
      <c r="O126" s="1"/>
      <c r="P126" s="72">
        <f>3728/4000</f>
        <v>0.93200000000000005</v>
      </c>
      <c r="Q126" s="1"/>
      <c r="R126" s="4">
        <v>0.75</v>
      </c>
      <c r="S126" s="1"/>
      <c r="T126" s="1"/>
      <c r="U126" s="1"/>
      <c r="V126" s="1"/>
      <c r="W126" s="1"/>
      <c r="X126" s="1"/>
      <c r="Y126" s="1"/>
    </row>
    <row r="127" spans="1:25" ht="15" customHeight="1">
      <c r="A127" s="1" t="s">
        <v>239</v>
      </c>
      <c r="B127" s="1">
        <v>3258</v>
      </c>
      <c r="C127" s="1"/>
      <c r="D127" t="s">
        <v>320</v>
      </c>
      <c r="E127" s="1"/>
      <c r="F127" s="1"/>
      <c r="G127" s="1" t="s">
        <v>95</v>
      </c>
      <c r="H127" s="1"/>
      <c r="I127" s="76" t="s">
        <v>322</v>
      </c>
      <c r="J127" s="1"/>
      <c r="K127" s="67" t="s">
        <v>329</v>
      </c>
      <c r="L127" s="1"/>
      <c r="M127" s="67" t="s">
        <v>328</v>
      </c>
      <c r="N127" s="67" t="s">
        <v>327</v>
      </c>
      <c r="O127" s="1"/>
      <c r="P127" s="72">
        <f>3688/4000</f>
        <v>0.92200000000000004</v>
      </c>
      <c r="Q127" s="1"/>
      <c r="R127" s="4">
        <v>0.75</v>
      </c>
      <c r="S127" s="1"/>
      <c r="T127" s="1"/>
      <c r="U127" s="1"/>
      <c r="V127" s="1"/>
      <c r="W127" s="1"/>
      <c r="X127" s="1"/>
      <c r="Y127" s="1"/>
    </row>
    <row r="128" spans="1:25" ht="15" customHeight="1">
      <c r="A128" s="1" t="s">
        <v>239</v>
      </c>
      <c r="B128" s="1">
        <v>3271</v>
      </c>
      <c r="C128" s="1"/>
      <c r="D128" s="97" t="s">
        <v>326</v>
      </c>
      <c r="E128" s="1"/>
      <c r="F128" s="1"/>
      <c r="G128" s="1" t="s">
        <v>238</v>
      </c>
      <c r="H128" s="1"/>
      <c r="I128" t="s">
        <v>321</v>
      </c>
      <c r="J128" s="1"/>
      <c r="K128" s="67" t="s">
        <v>332</v>
      </c>
      <c r="L128" s="1"/>
      <c r="M128" s="67" t="s">
        <v>331</v>
      </c>
      <c r="N128" s="67" t="s">
        <v>330</v>
      </c>
      <c r="O128" s="1"/>
      <c r="P128" s="72">
        <f>2944/4000</f>
        <v>0.73599999999999999</v>
      </c>
      <c r="Q128" s="1"/>
      <c r="R128" s="4">
        <v>0.75</v>
      </c>
      <c r="S128" s="1"/>
      <c r="T128" s="1"/>
      <c r="U128" s="1"/>
      <c r="V128" s="1"/>
      <c r="W128" s="1"/>
      <c r="X128" s="1"/>
      <c r="Y128" s="1"/>
    </row>
    <row r="129" spans="1:25" ht="15" customHeight="1">
      <c r="A129" s="1" t="s">
        <v>239</v>
      </c>
      <c r="B129" s="1">
        <v>3270</v>
      </c>
      <c r="C129" s="1"/>
      <c r="D129" s="97" t="s">
        <v>333</v>
      </c>
      <c r="E129" s="1"/>
      <c r="F129" s="1"/>
      <c r="G129" s="1" t="s">
        <v>238</v>
      </c>
      <c r="H129" s="1"/>
      <c r="I129" t="s">
        <v>321</v>
      </c>
      <c r="J129" s="1"/>
      <c r="K129" s="67" t="s">
        <v>335</v>
      </c>
      <c r="L129" s="1"/>
      <c r="M129" s="67" t="s">
        <v>334</v>
      </c>
      <c r="N129" s="1"/>
      <c r="O129" s="1"/>
      <c r="P129" s="72">
        <f>3096/4000</f>
        <v>0.77400000000000002</v>
      </c>
      <c r="Q129" s="1"/>
      <c r="R129" s="4">
        <v>0.75</v>
      </c>
      <c r="S129" s="1"/>
      <c r="T129" s="1"/>
      <c r="U129" s="1"/>
      <c r="V129" s="1"/>
      <c r="W129" s="1"/>
      <c r="X129" s="1"/>
      <c r="Y129" s="1"/>
    </row>
    <row r="130" spans="1:25" ht="15" customHeight="1">
      <c r="A130" s="1" t="s">
        <v>239</v>
      </c>
      <c r="B130" s="1">
        <v>3268</v>
      </c>
      <c r="C130" s="1"/>
      <c r="D130" s="92" t="s">
        <v>336</v>
      </c>
      <c r="E130" s="1"/>
      <c r="F130" s="1"/>
      <c r="G130" s="1" t="s">
        <v>238</v>
      </c>
      <c r="H130" s="1"/>
      <c r="I130" s="96" t="s">
        <v>188</v>
      </c>
      <c r="J130" s="1"/>
      <c r="K130" s="72">
        <f>520 / 760</f>
        <v>0.68421052631578949</v>
      </c>
      <c r="L130" s="1"/>
      <c r="M130" s="72">
        <f>339 / 365</f>
        <v>0.92876712328767119</v>
      </c>
      <c r="N130" s="72">
        <f>335 / 415</f>
        <v>0.80722891566265065</v>
      </c>
      <c r="O130" s="1"/>
      <c r="P130" s="72">
        <f>3764/4000</f>
        <v>0.94099999999999995</v>
      </c>
      <c r="Q130" s="1"/>
      <c r="R130" s="8">
        <v>0.77349999999999997</v>
      </c>
      <c r="S130" s="1"/>
      <c r="T130" s="1"/>
      <c r="U130" s="1"/>
      <c r="V130" s="1"/>
      <c r="W130" s="1"/>
      <c r="X130" s="1"/>
      <c r="Y130" s="1"/>
    </row>
    <row r="131" spans="1:25" ht="15" customHeight="1">
      <c r="A131" s="17" t="s">
        <v>239</v>
      </c>
      <c r="B131" s="17">
        <v>3274</v>
      </c>
      <c r="C131" s="17"/>
      <c r="D131" t="s">
        <v>337</v>
      </c>
      <c r="E131" s="17"/>
      <c r="F131" s="17"/>
      <c r="G131" s="17" t="s">
        <v>238</v>
      </c>
      <c r="H131" s="17"/>
      <c r="I131" s="96" t="s">
        <v>338</v>
      </c>
      <c r="J131" s="17"/>
      <c r="K131" s="67" t="s">
        <v>341</v>
      </c>
      <c r="L131" s="17"/>
      <c r="M131" s="67" t="s">
        <v>340</v>
      </c>
      <c r="N131" s="67" t="s">
        <v>339</v>
      </c>
      <c r="O131" s="17"/>
      <c r="P131" s="72">
        <f>2892/4000</f>
        <v>0.72299999999999998</v>
      </c>
      <c r="Q131" s="17"/>
      <c r="R131" s="53">
        <v>0.59499999999999997</v>
      </c>
      <c r="S131" s="17"/>
      <c r="T131" s="17"/>
      <c r="U131" s="17"/>
      <c r="V131" s="17"/>
      <c r="W131" s="17"/>
      <c r="X131" s="17"/>
      <c r="Y131" s="17"/>
    </row>
    <row r="132" spans="1:25" ht="15" customHeight="1">
      <c r="A132" s="1" t="s">
        <v>239</v>
      </c>
      <c r="B132" s="1">
        <v>3274</v>
      </c>
      <c r="C132" s="1"/>
      <c r="D132" s="6" t="s">
        <v>345</v>
      </c>
      <c r="E132" s="1"/>
      <c r="F132" s="1"/>
      <c r="G132" s="1" t="s">
        <v>349</v>
      </c>
      <c r="H132" s="1"/>
      <c r="I132" s="98" t="s">
        <v>338</v>
      </c>
      <c r="J132" s="1"/>
      <c r="K132" s="33" t="s">
        <v>335</v>
      </c>
      <c r="L132" s="1"/>
      <c r="M132" s="3">
        <v>0.93420000000000003</v>
      </c>
      <c r="N132" s="33" t="s">
        <v>348</v>
      </c>
      <c r="O132" s="1"/>
      <c r="P132" s="12">
        <f>3668/4000</f>
        <v>0.91700000000000004</v>
      </c>
      <c r="Q132" s="1"/>
      <c r="R132" s="8">
        <v>0.59499999999999997</v>
      </c>
      <c r="S132" s="1"/>
      <c r="T132" s="1"/>
      <c r="U132" s="1"/>
      <c r="V132" s="1"/>
      <c r="W132" s="1"/>
      <c r="X132" s="1"/>
      <c r="Y132" s="1"/>
    </row>
    <row r="133" spans="1:25" ht="15" customHeight="1">
      <c r="A133" s="1" t="s">
        <v>239</v>
      </c>
      <c r="B133" s="1"/>
      <c r="C133" s="1"/>
      <c r="D133" s="1" t="s">
        <v>346</v>
      </c>
      <c r="E133" s="1"/>
      <c r="F133" s="1"/>
      <c r="G133" s="1"/>
      <c r="H133" s="1"/>
      <c r="I133" s="1"/>
      <c r="J133" s="1"/>
      <c r="K133" s="1"/>
      <c r="L133" s="1"/>
      <c r="M133" s="1"/>
      <c r="N133" s="1"/>
      <c r="O133" s="1"/>
      <c r="P133" s="1"/>
      <c r="Q133" s="1"/>
      <c r="R133" s="1"/>
      <c r="S133" s="1"/>
      <c r="T133" s="1"/>
      <c r="U133" s="1"/>
      <c r="V133" s="1"/>
      <c r="W133" s="1"/>
      <c r="X133" s="1"/>
      <c r="Y133" s="1"/>
    </row>
    <row r="134" spans="1:25" ht="15" customHeight="1">
      <c r="A134" s="1" t="s">
        <v>239</v>
      </c>
      <c r="B134" s="1"/>
      <c r="C134" s="1"/>
      <c r="D134" s="1" t="s">
        <v>347</v>
      </c>
      <c r="E134" s="1"/>
      <c r="F134" s="1"/>
      <c r="G134" s="1"/>
      <c r="H134" s="1"/>
      <c r="I134" s="1"/>
      <c r="J134" s="1"/>
      <c r="K134" s="1"/>
      <c r="L134" s="1"/>
      <c r="M134" s="1"/>
      <c r="N134" s="1"/>
      <c r="O134" s="1"/>
      <c r="P134" s="1"/>
      <c r="Q134" s="1"/>
      <c r="R134" s="1"/>
      <c r="S134" s="1"/>
      <c r="T134" s="1"/>
      <c r="U134" s="1"/>
      <c r="V134" s="1"/>
      <c r="W134" s="1"/>
      <c r="X134" s="1"/>
      <c r="Y134" s="1"/>
    </row>
    <row r="135" spans="1:25" ht="15" customHeight="1">
      <c r="A135" s="1" t="s">
        <v>354</v>
      </c>
      <c r="B135" s="1">
        <v>3285</v>
      </c>
      <c r="C135" s="1"/>
      <c r="D135" s="6" t="s">
        <v>351</v>
      </c>
      <c r="E135" s="1"/>
      <c r="F135" s="1"/>
      <c r="G135" s="1" t="s">
        <v>359</v>
      </c>
      <c r="H135" s="1"/>
      <c r="I135" s="99" t="s">
        <v>134</v>
      </c>
      <c r="J135" s="1"/>
      <c r="K135" s="33" t="s">
        <v>356</v>
      </c>
      <c r="L135" s="1"/>
      <c r="M135" s="33" t="s">
        <v>355</v>
      </c>
      <c r="N135" s="1"/>
      <c r="O135" s="1"/>
      <c r="P135" s="12">
        <f>3328/4000</f>
        <v>0.83199999999999996</v>
      </c>
      <c r="Q135" s="1"/>
      <c r="R135" s="4">
        <v>0.9</v>
      </c>
      <c r="S135" s="1"/>
      <c r="T135" s="1"/>
      <c r="U135" s="1"/>
      <c r="V135" s="1"/>
      <c r="W135" s="1"/>
      <c r="X135" s="1"/>
      <c r="Y135" s="1"/>
    </row>
    <row r="136" spans="1:25" ht="14.5">
      <c r="A136" s="1" t="s">
        <v>354</v>
      </c>
      <c r="B136" s="1">
        <v>3285</v>
      </c>
      <c r="C136" s="1"/>
      <c r="D136" s="6" t="s">
        <v>352</v>
      </c>
      <c r="E136" s="1"/>
      <c r="F136" s="1"/>
      <c r="G136" s="1" t="s">
        <v>357</v>
      </c>
      <c r="H136" s="1"/>
      <c r="I136" s="100" t="s">
        <v>358</v>
      </c>
      <c r="J136" s="1"/>
      <c r="K136" s="1"/>
      <c r="L136" s="1"/>
      <c r="M136" s="1"/>
      <c r="N136" s="1"/>
      <c r="O136" s="1"/>
      <c r="P136" s="12">
        <f>2556/4000</f>
        <v>0.63900000000000001</v>
      </c>
      <c r="Q136" s="1"/>
      <c r="R136" s="4">
        <v>0.75</v>
      </c>
      <c r="S136" s="1"/>
      <c r="T136" s="1"/>
      <c r="U136" s="1"/>
      <c r="V136" s="1"/>
      <c r="W136" s="1"/>
      <c r="X136" s="1"/>
      <c r="Y136" s="1"/>
    </row>
    <row r="137" spans="1:25" ht="14.5">
      <c r="A137" s="1" t="s">
        <v>354</v>
      </c>
      <c r="B137" s="1">
        <v>3287</v>
      </c>
      <c r="C137" s="1"/>
      <c r="D137" s="6" t="s">
        <v>342</v>
      </c>
      <c r="E137" s="1"/>
      <c r="F137" s="1"/>
      <c r="G137" s="1" t="s">
        <v>360</v>
      </c>
      <c r="H137" s="1"/>
      <c r="I137" s="99" t="s">
        <v>134</v>
      </c>
      <c r="J137" s="1"/>
      <c r="K137" s="33" t="s">
        <v>361</v>
      </c>
      <c r="L137" s="1"/>
      <c r="M137" s="33" t="s">
        <v>362</v>
      </c>
      <c r="N137" s="1"/>
      <c r="O137" s="1"/>
      <c r="P137" s="12">
        <f>3284/4000</f>
        <v>0.82099999999999995</v>
      </c>
      <c r="Q137" s="1"/>
      <c r="R137" s="4">
        <v>0.9</v>
      </c>
      <c r="S137" s="1"/>
      <c r="T137" s="1"/>
      <c r="U137" s="1"/>
      <c r="V137" s="1"/>
      <c r="W137" s="1"/>
      <c r="X137" s="1"/>
      <c r="Y137" s="1"/>
    </row>
    <row r="138" spans="1:25" ht="14.5">
      <c r="A138" s="1" t="s">
        <v>354</v>
      </c>
      <c r="B138" s="1">
        <v>3285</v>
      </c>
      <c r="C138" s="1"/>
      <c r="D138" s="6" t="s">
        <v>343</v>
      </c>
      <c r="E138" s="1"/>
      <c r="F138" s="1"/>
      <c r="G138" s="1" t="s">
        <v>238</v>
      </c>
      <c r="H138" s="1"/>
      <c r="I138" s="100" t="s">
        <v>358</v>
      </c>
      <c r="J138" s="1"/>
      <c r="K138" s="108">
        <v>0.56579999999999997</v>
      </c>
      <c r="L138" s="1"/>
      <c r="M138" s="108">
        <v>0.77810000000000001</v>
      </c>
      <c r="N138" s="107">
        <v>0.56630000000000003</v>
      </c>
      <c r="O138" s="1"/>
      <c r="P138" s="12">
        <f>3640/4000</f>
        <v>0.91</v>
      </c>
      <c r="Q138" s="1"/>
      <c r="R138" s="4">
        <v>0.75</v>
      </c>
      <c r="S138" s="1"/>
      <c r="T138" s="1"/>
      <c r="U138" s="1"/>
      <c r="V138" s="1"/>
      <c r="W138" s="1"/>
      <c r="X138" s="1"/>
      <c r="Y138" s="1"/>
    </row>
    <row r="139" spans="1:25" ht="14.5">
      <c r="A139" s="1" t="s">
        <v>354</v>
      </c>
      <c r="B139" s="1">
        <v>3287</v>
      </c>
      <c r="C139" s="1"/>
      <c r="D139" s="6" t="s">
        <v>344</v>
      </c>
      <c r="E139" s="1"/>
      <c r="F139" s="1"/>
      <c r="G139" s="1" t="s">
        <v>238</v>
      </c>
      <c r="H139" s="1"/>
      <c r="I139" s="99" t="s">
        <v>134</v>
      </c>
      <c r="J139" s="1"/>
      <c r="K139" s="33" t="s">
        <v>364</v>
      </c>
      <c r="L139" s="1"/>
      <c r="M139" s="33" t="s">
        <v>363</v>
      </c>
      <c r="N139" s="1"/>
      <c r="O139" s="1"/>
      <c r="P139" s="12">
        <f>3656/4000</f>
        <v>0.91400000000000003</v>
      </c>
      <c r="Q139" s="1"/>
      <c r="R139" s="4">
        <v>0.9</v>
      </c>
      <c r="S139" s="1"/>
      <c r="T139" s="1"/>
      <c r="U139" s="1"/>
      <c r="V139" s="1"/>
      <c r="W139" s="1"/>
      <c r="X139" s="1"/>
      <c r="Y139" s="1"/>
    </row>
    <row r="140" spans="1:25" ht="14.5">
      <c r="A140" s="1" t="s">
        <v>354</v>
      </c>
      <c r="B140" s="1">
        <v>3285</v>
      </c>
      <c r="C140" s="1"/>
      <c r="D140" s="6" t="s">
        <v>353</v>
      </c>
      <c r="E140" s="1"/>
      <c r="F140" s="1"/>
      <c r="G140" s="1" t="s">
        <v>357</v>
      </c>
      <c r="H140" s="1"/>
      <c r="I140" s="100" t="s">
        <v>358</v>
      </c>
      <c r="J140" s="1"/>
      <c r="K140" s="1"/>
      <c r="L140" s="1"/>
      <c r="M140" s="1"/>
      <c r="N140" s="1"/>
      <c r="O140" s="1"/>
      <c r="P140" s="101">
        <f>2740/4000</f>
        <v>0.68500000000000005</v>
      </c>
      <c r="Q140" s="1"/>
      <c r="R140" s="1"/>
      <c r="S140" s="1"/>
      <c r="T140" s="1"/>
      <c r="U140" s="1"/>
      <c r="V140" s="1"/>
      <c r="W140" s="1"/>
      <c r="X140" s="1"/>
      <c r="Y140" s="1"/>
    </row>
    <row r="141" spans="1:25" ht="15" customHeight="1">
      <c r="A141" s="1" t="s">
        <v>354</v>
      </c>
      <c r="B141" s="1">
        <v>3285</v>
      </c>
      <c r="C141" s="1"/>
      <c r="D141" s="1" t="s">
        <v>350</v>
      </c>
      <c r="E141" s="6" t="s">
        <v>350</v>
      </c>
      <c r="F141" s="1"/>
      <c r="G141" s="1" t="s">
        <v>357</v>
      </c>
      <c r="H141" s="1"/>
      <c r="I141" s="100" t="s">
        <v>358</v>
      </c>
      <c r="J141" s="1"/>
      <c r="K141" s="33" t="s">
        <v>131</v>
      </c>
      <c r="L141" s="1"/>
      <c r="M141" s="33" t="s">
        <v>331</v>
      </c>
      <c r="N141" s="1"/>
      <c r="O141" s="1"/>
      <c r="P141" s="12">
        <f>2944/4000</f>
        <v>0.73599999999999999</v>
      </c>
      <c r="Q141" s="1"/>
      <c r="R141" s="4">
        <v>0.75</v>
      </c>
      <c r="S141" s="1"/>
      <c r="T141" s="1"/>
      <c r="U141" s="1"/>
      <c r="V141" s="1"/>
      <c r="W141" s="1"/>
      <c r="X141" s="1"/>
      <c r="Y141" s="1"/>
    </row>
    <row r="142" spans="1:25" ht="15" customHeight="1">
      <c r="A142" s="1" t="s">
        <v>354</v>
      </c>
      <c r="B142" s="1">
        <v>3287</v>
      </c>
      <c r="C142" s="1"/>
      <c r="D142" s="1" t="s">
        <v>320</v>
      </c>
      <c r="E142" s="1"/>
      <c r="F142" s="1"/>
      <c r="G142" s="1" t="s">
        <v>365</v>
      </c>
      <c r="H142" s="1"/>
      <c r="I142" s="1"/>
      <c r="J142" s="1"/>
      <c r="K142" s="1"/>
      <c r="L142" s="1"/>
      <c r="M142" s="1"/>
      <c r="N142" s="1"/>
      <c r="O142" s="1"/>
      <c r="P142" s="12">
        <f>3688/4000</f>
        <v>0.92200000000000004</v>
      </c>
      <c r="Q142" s="1"/>
      <c r="R142" s="4">
        <v>0.9</v>
      </c>
      <c r="S142" s="1"/>
      <c r="T142" s="1"/>
      <c r="U142" s="1"/>
      <c r="V142" s="1"/>
      <c r="W142" s="1"/>
      <c r="X142" s="1"/>
      <c r="Y142" s="1"/>
    </row>
    <row r="143" spans="1:25" ht="15" customHeight="1">
      <c r="A143" s="1" t="s">
        <v>354</v>
      </c>
      <c r="B143" s="1">
        <v>3291</v>
      </c>
      <c r="C143" s="1"/>
      <c r="D143" s="6" t="s">
        <v>366</v>
      </c>
      <c r="E143" s="1"/>
      <c r="F143" s="1"/>
      <c r="G143" s="1" t="s">
        <v>238</v>
      </c>
      <c r="H143" s="1"/>
      <c r="I143" s="99" t="s">
        <v>312</v>
      </c>
      <c r="J143" s="1"/>
      <c r="K143" s="1"/>
      <c r="L143" s="1"/>
      <c r="M143" s="1"/>
      <c r="N143" s="1"/>
      <c r="O143" s="33" t="s">
        <v>315</v>
      </c>
      <c r="P143" s="12">
        <f>3288/4000</f>
        <v>0.82199999999999995</v>
      </c>
      <c r="Q143" s="1"/>
      <c r="R143" s="8">
        <v>0.65610000000000002</v>
      </c>
      <c r="S143" s="1"/>
      <c r="T143" s="1"/>
      <c r="U143" s="1"/>
      <c r="V143" s="1"/>
      <c r="W143" s="1"/>
      <c r="X143" s="1"/>
      <c r="Y143" s="1"/>
    </row>
    <row r="144" spans="1:25" ht="15" customHeight="1" thickBot="1">
      <c r="A144" s="1" t="s">
        <v>354</v>
      </c>
      <c r="B144" s="1">
        <v>3295</v>
      </c>
      <c r="C144" s="1"/>
      <c r="D144" s="1" t="s">
        <v>368</v>
      </c>
      <c r="E144" s="1"/>
      <c r="F144" s="1"/>
      <c r="G144" s="1" t="s">
        <v>238</v>
      </c>
      <c r="H144" s="1"/>
      <c r="I144" s="1" t="s">
        <v>369</v>
      </c>
      <c r="J144" s="1"/>
      <c r="K144" s="33" t="s">
        <v>371</v>
      </c>
      <c r="L144" s="1"/>
      <c r="M144" s="1"/>
      <c r="N144" s="33" t="s">
        <v>370</v>
      </c>
      <c r="O144" s="1"/>
      <c r="P144" s="12">
        <f>3452/4000</f>
        <v>0.86299999999999999</v>
      </c>
      <c r="Q144" s="1"/>
      <c r="R144" s="3">
        <v>0.75749999999999995</v>
      </c>
      <c r="S144" s="1"/>
      <c r="T144" s="1"/>
      <c r="U144" s="1"/>
      <c r="V144" s="1"/>
      <c r="W144" s="1"/>
      <c r="X144" s="1"/>
      <c r="Y144" s="1"/>
    </row>
    <row r="145" spans="1:18" ht="15" customHeight="1">
      <c r="A145" s="1" t="s">
        <v>354</v>
      </c>
      <c r="B145">
        <v>3308</v>
      </c>
      <c r="D145" t="s">
        <v>373</v>
      </c>
      <c r="G145" s="1" t="s">
        <v>238</v>
      </c>
      <c r="I145" t="s">
        <v>369</v>
      </c>
      <c r="K145" s="94">
        <v>0.76319999999999999</v>
      </c>
      <c r="N145" s="67" t="s">
        <v>374</v>
      </c>
      <c r="P145" s="103">
        <f>3388/4000</f>
        <v>0.84699999999999998</v>
      </c>
      <c r="Q145" s="82"/>
      <c r="R145" s="3">
        <v>0.75749999999999995</v>
      </c>
    </row>
    <row r="146" spans="1:18" ht="15" customHeight="1">
      <c r="A146" s="1" t="s">
        <v>354</v>
      </c>
      <c r="B146">
        <v>3308</v>
      </c>
      <c r="D146" t="s">
        <v>375</v>
      </c>
      <c r="G146" s="1" t="s">
        <v>238</v>
      </c>
      <c r="I146" t="s">
        <v>369</v>
      </c>
      <c r="K146" s="94">
        <v>0.81579999999999997</v>
      </c>
      <c r="N146" s="94">
        <v>0.82410000000000005</v>
      </c>
      <c r="P146" s="72">
        <f>3228/4000</f>
        <v>0.80700000000000005</v>
      </c>
      <c r="Q146" s="81"/>
      <c r="R146" s="3">
        <v>0.75749999999999995</v>
      </c>
    </row>
    <row r="147" spans="1:18" ht="15" customHeight="1">
      <c r="A147" s="1" t="s">
        <v>354</v>
      </c>
      <c r="B147">
        <v>3315</v>
      </c>
      <c r="D147" t="s">
        <v>201</v>
      </c>
      <c r="I147" s="99" t="s">
        <v>236</v>
      </c>
      <c r="O147" s="67" t="s">
        <v>237</v>
      </c>
      <c r="P147" s="72">
        <f>3880/4000</f>
        <v>0.97</v>
      </c>
      <c r="R147" s="8">
        <v>0.85292999999999997</v>
      </c>
    </row>
    <row r="148" spans="1:18" ht="15" customHeight="1">
      <c r="A148" s="1" t="s">
        <v>354</v>
      </c>
      <c r="B148">
        <v>3316</v>
      </c>
      <c r="D148" t="s">
        <v>376</v>
      </c>
      <c r="P148" s="72">
        <f>3472/4000</f>
        <v>0.86799999999999999</v>
      </c>
      <c r="R148" s="95">
        <v>0.85</v>
      </c>
    </row>
    <row r="149" spans="1:18" ht="15" customHeight="1">
      <c r="A149" s="1" t="s">
        <v>354</v>
      </c>
      <c r="B149">
        <v>3324</v>
      </c>
      <c r="D149" t="s">
        <v>377</v>
      </c>
      <c r="G149" t="s">
        <v>380</v>
      </c>
      <c r="I149" t="s">
        <v>379</v>
      </c>
      <c r="O149" s="95">
        <v>0.8</v>
      </c>
      <c r="P149" s="106">
        <f>3200/4000</f>
        <v>0.8</v>
      </c>
      <c r="R149" s="8">
        <v>0.65610000000000002</v>
      </c>
    </row>
    <row r="150" spans="1:18" ht="15" customHeight="1">
      <c r="A150" s="1" t="s">
        <v>354</v>
      </c>
      <c r="B150">
        <v>3324</v>
      </c>
      <c r="D150" t="s">
        <v>378</v>
      </c>
      <c r="G150" t="s">
        <v>383</v>
      </c>
      <c r="I150" t="s">
        <v>379</v>
      </c>
      <c r="P150" s="104">
        <v>0.85199999999999998</v>
      </c>
      <c r="R150" s="8">
        <v>0.65610000000000002</v>
      </c>
    </row>
    <row r="151" spans="1:18" ht="15" customHeight="1">
      <c r="A151" s="1" t="s">
        <v>354</v>
      </c>
      <c r="B151">
        <v>3320</v>
      </c>
      <c r="D151" t="s">
        <v>382</v>
      </c>
      <c r="I151" t="s">
        <v>312</v>
      </c>
      <c r="O151" s="67" t="s">
        <v>392</v>
      </c>
      <c r="P151" s="72">
        <f>3448/4000</f>
        <v>0.86199999999999999</v>
      </c>
      <c r="R151" s="8">
        <v>0.65610000000000002</v>
      </c>
    </row>
    <row r="152" spans="1:18" ht="15" customHeight="1">
      <c r="A152" s="1" t="s">
        <v>354</v>
      </c>
      <c r="B152">
        <v>3320</v>
      </c>
      <c r="D152" t="s">
        <v>381</v>
      </c>
      <c r="I152" t="s">
        <v>312</v>
      </c>
      <c r="R152" s="8">
        <v>0.65610000000000002</v>
      </c>
    </row>
    <row r="153" spans="1:18" ht="15" customHeight="1">
      <c r="A153" s="1" t="s">
        <v>354</v>
      </c>
      <c r="B153">
        <v>3316</v>
      </c>
      <c r="D153" t="s">
        <v>384</v>
      </c>
      <c r="I153" t="s">
        <v>236</v>
      </c>
      <c r="P153" s="72">
        <f>3472/4000</f>
        <v>0.86799999999999999</v>
      </c>
      <c r="R153" s="95">
        <v>0.85</v>
      </c>
    </row>
    <row r="154" spans="1:18" ht="15" customHeight="1">
      <c r="A154" s="1" t="s">
        <v>354</v>
      </c>
      <c r="B154">
        <v>3326</v>
      </c>
      <c r="D154" s="105" t="s">
        <v>390</v>
      </c>
      <c r="E154" s="76" t="s">
        <v>385</v>
      </c>
      <c r="G154" t="s">
        <v>391</v>
      </c>
      <c r="I154" t="s">
        <v>388</v>
      </c>
      <c r="P154" s="72">
        <f>3548/4000</f>
        <v>0.88700000000000001</v>
      </c>
    </row>
    <row r="155" spans="1:18" ht="15" customHeight="1">
      <c r="A155" s="1" t="s">
        <v>354</v>
      </c>
      <c r="B155">
        <v>3326</v>
      </c>
      <c r="D155" s="105" t="s">
        <v>386</v>
      </c>
      <c r="G155" t="s">
        <v>391</v>
      </c>
      <c r="I155" t="s">
        <v>388</v>
      </c>
      <c r="P155" s="72">
        <f>3440/4000</f>
        <v>0.86</v>
      </c>
    </row>
    <row r="156" spans="1:18" ht="15" customHeight="1">
      <c r="A156" s="1" t="s">
        <v>354</v>
      </c>
      <c r="B156">
        <v>3326</v>
      </c>
      <c r="D156" s="63" t="s">
        <v>387</v>
      </c>
      <c r="I156" t="s">
        <v>388</v>
      </c>
      <c r="P156" s="72">
        <f>3620/4000</f>
        <v>0.90500000000000003</v>
      </c>
    </row>
    <row r="157" spans="1:18" ht="15" customHeight="1">
      <c r="A157" s="1" t="s">
        <v>354</v>
      </c>
      <c r="B157">
        <v>3326</v>
      </c>
      <c r="D157" s="63" t="s">
        <v>389</v>
      </c>
      <c r="I157" t="s">
        <v>388</v>
      </c>
      <c r="P157" s="72">
        <f>3856/4000</f>
        <v>0.96399999999999997</v>
      </c>
    </row>
    <row r="158" spans="1:18" ht="15" customHeight="1">
      <c r="A158" s="1" t="s">
        <v>354</v>
      </c>
      <c r="B158">
        <v>3339</v>
      </c>
      <c r="D158" s="76" t="s">
        <v>393</v>
      </c>
      <c r="G158" t="s">
        <v>300</v>
      </c>
      <c r="I158" s="96" t="s">
        <v>188</v>
      </c>
      <c r="K158" s="107">
        <v>0.65790000000000004</v>
      </c>
      <c r="M158" s="107">
        <v>0.75339999999999996</v>
      </c>
      <c r="N158" s="107">
        <v>0.45779999999999998</v>
      </c>
      <c r="P158" s="94">
        <f>AVERAGE(K158,M158,N158)</f>
        <v>0.62303333333333333</v>
      </c>
      <c r="R158" s="8">
        <v>0.77349999999999997</v>
      </c>
    </row>
    <row r="159" spans="1:18" ht="15" customHeight="1">
      <c r="A159" s="1" t="s">
        <v>354</v>
      </c>
      <c r="B159">
        <v>3339</v>
      </c>
      <c r="D159" s="76" t="s">
        <v>345</v>
      </c>
      <c r="G159" t="s">
        <v>394</v>
      </c>
      <c r="I159" s="96" t="s">
        <v>188</v>
      </c>
      <c r="K159" s="107">
        <v>0.65790000000000004</v>
      </c>
      <c r="M159" s="107">
        <v>0.93420000000000003</v>
      </c>
      <c r="N159" s="107">
        <v>0.69399999999999995</v>
      </c>
      <c r="P159" s="94">
        <f>AVERAGE(K159,M159,N159)</f>
        <v>0.76203333333333345</v>
      </c>
      <c r="R159" s="8">
        <v>0.77349999999999997</v>
      </c>
    </row>
    <row r="160" spans="1:18" ht="15" customHeight="1">
      <c r="A160" s="1" t="s">
        <v>354</v>
      </c>
      <c r="B160">
        <v>3339</v>
      </c>
      <c r="D160" t="s">
        <v>346</v>
      </c>
      <c r="G160" t="s">
        <v>394</v>
      </c>
      <c r="I160" s="96" t="s">
        <v>188</v>
      </c>
      <c r="K160" s="67" t="s">
        <v>395</v>
      </c>
      <c r="M160" s="107">
        <v>0.89859999999999995</v>
      </c>
      <c r="N160" s="107">
        <v>0.92769999999999997</v>
      </c>
      <c r="P160" s="94">
        <f>AVERAGE(K160,M160,N160)</f>
        <v>0.91314999999999991</v>
      </c>
      <c r="R160" s="8">
        <v>0.77349999999999997</v>
      </c>
    </row>
    <row r="161" spans="1:25" ht="232">
      <c r="A161" s="17" t="s">
        <v>354</v>
      </c>
      <c r="B161" s="17" t="s">
        <v>372</v>
      </c>
      <c r="C161" s="17"/>
      <c r="D161" s="50" t="s">
        <v>396</v>
      </c>
      <c r="E161" s="17"/>
      <c r="F161" s="17"/>
      <c r="G161" s="17" t="s">
        <v>238</v>
      </c>
      <c r="H161" s="17"/>
      <c r="I161" s="17" t="s">
        <v>424</v>
      </c>
      <c r="J161" s="110" t="s">
        <v>413</v>
      </c>
      <c r="K161" s="67" t="s">
        <v>247</v>
      </c>
      <c r="M161" s="67" t="s">
        <v>405</v>
      </c>
      <c r="P161" s="72">
        <f>3896/4000</f>
        <v>0.97399999999999998</v>
      </c>
    </row>
    <row r="162" spans="1:25" ht="232">
      <c r="A162" s="1" t="s">
        <v>354</v>
      </c>
      <c r="B162" s="1" t="s">
        <v>372</v>
      </c>
      <c r="C162" s="1"/>
      <c r="D162" s="6" t="s">
        <v>397</v>
      </c>
      <c r="E162" s="1"/>
      <c r="F162" s="1"/>
      <c r="G162" s="1" t="s">
        <v>300</v>
      </c>
      <c r="H162" s="1"/>
      <c r="I162" s="1"/>
      <c r="J162" s="109" t="s">
        <v>414</v>
      </c>
      <c r="K162" s="1"/>
      <c r="L162" s="1"/>
      <c r="M162" s="33" t="s">
        <v>406</v>
      </c>
      <c r="N162" s="1"/>
      <c r="O162" s="1"/>
      <c r="P162" s="1"/>
      <c r="Q162" s="1"/>
      <c r="R162" s="1"/>
      <c r="S162" s="1"/>
      <c r="T162" s="1"/>
      <c r="U162" s="1"/>
      <c r="V162" s="1"/>
      <c r="W162" s="1"/>
      <c r="X162" s="1"/>
      <c r="Y162" s="1"/>
    </row>
    <row r="163" spans="1:25" ht="145">
      <c r="A163" s="1" t="s">
        <v>354</v>
      </c>
      <c r="B163" s="1" t="s">
        <v>372</v>
      </c>
      <c r="C163" s="1"/>
      <c r="D163" s="6" t="s">
        <v>398</v>
      </c>
      <c r="E163" s="1"/>
      <c r="F163" s="1"/>
      <c r="G163" s="1" t="s">
        <v>238</v>
      </c>
      <c r="H163" s="1"/>
      <c r="I163" s="17" t="s">
        <v>424</v>
      </c>
      <c r="J163" s="109" t="s">
        <v>412</v>
      </c>
      <c r="K163" s="33" t="s">
        <v>408</v>
      </c>
      <c r="L163" s="1"/>
      <c r="M163" s="33" t="s">
        <v>407</v>
      </c>
      <c r="N163" s="1"/>
      <c r="O163" s="1"/>
      <c r="P163" s="12">
        <f>3760/4000</f>
        <v>0.94</v>
      </c>
      <c r="Q163" s="1"/>
      <c r="R163" s="1"/>
      <c r="S163" s="1"/>
      <c r="T163" s="1"/>
      <c r="U163" s="1"/>
      <c r="V163" s="1"/>
      <c r="W163" s="1"/>
      <c r="X163" s="1"/>
      <c r="Y163" s="1"/>
    </row>
    <row r="164" spans="1:25" ht="14.5">
      <c r="A164" s="1" t="s">
        <v>354</v>
      </c>
      <c r="B164" s="1" t="s">
        <v>372</v>
      </c>
      <c r="C164" s="1"/>
      <c r="D164" s="6" t="s">
        <v>399</v>
      </c>
      <c r="E164" s="1"/>
      <c r="F164" s="1"/>
      <c r="G164" s="1" t="s">
        <v>238</v>
      </c>
      <c r="H164" s="1"/>
      <c r="I164" s="17" t="s">
        <v>424</v>
      </c>
      <c r="J164" s="1" t="s">
        <v>411</v>
      </c>
      <c r="K164" s="33" t="s">
        <v>410</v>
      </c>
      <c r="L164" s="1"/>
      <c r="M164" s="33" t="s">
        <v>409</v>
      </c>
      <c r="N164" s="1"/>
      <c r="O164" s="1"/>
      <c r="P164" s="12">
        <f>3500/4000</f>
        <v>0.875</v>
      </c>
      <c r="Q164" s="1"/>
      <c r="R164" s="1"/>
      <c r="S164" s="1"/>
      <c r="T164" s="1"/>
      <c r="U164" s="1"/>
      <c r="V164" s="1"/>
      <c r="W164" s="1"/>
      <c r="X164" s="1"/>
      <c r="Y164" s="1"/>
    </row>
    <row r="165" spans="1:25" ht="15" customHeight="1">
      <c r="A165" s="1" t="s">
        <v>354</v>
      </c>
      <c r="B165" s="1">
        <v>3339</v>
      </c>
      <c r="C165" s="1"/>
      <c r="D165" s="1" t="s">
        <v>344</v>
      </c>
      <c r="E165" s="1"/>
      <c r="F165" s="1"/>
      <c r="G165" s="1" t="s">
        <v>238</v>
      </c>
      <c r="H165" s="1"/>
      <c r="I165" s="98" t="s">
        <v>188</v>
      </c>
      <c r="J165" s="1"/>
      <c r="K165" s="108">
        <v>0.71050000000000002</v>
      </c>
      <c r="L165" s="1"/>
      <c r="M165" s="108">
        <v>0.98629999999999995</v>
      </c>
      <c r="N165" s="33" t="s">
        <v>401</v>
      </c>
      <c r="O165" s="1"/>
      <c r="P165" s="3">
        <f>AVERAGE(K165,M165,N165)</f>
        <v>0.84840000000000004</v>
      </c>
      <c r="Q165" s="1"/>
      <c r="R165" s="8">
        <v>0.77349999999999997</v>
      </c>
      <c r="S165" s="1"/>
      <c r="T165" s="1"/>
      <c r="U165" s="1"/>
      <c r="V165" s="1"/>
      <c r="W165" s="1"/>
      <c r="X165" s="1"/>
      <c r="Y165" s="1"/>
    </row>
    <row r="166" spans="1:25" ht="15" customHeight="1">
      <c r="A166" s="1" t="s">
        <v>354</v>
      </c>
      <c r="B166" s="1">
        <v>3339</v>
      </c>
      <c r="C166" s="1"/>
      <c r="D166" s="1" t="s">
        <v>400</v>
      </c>
      <c r="E166" s="1"/>
      <c r="F166" s="1"/>
      <c r="G166" s="1" t="s">
        <v>404</v>
      </c>
      <c r="H166" s="1"/>
      <c r="I166" s="98" t="s">
        <v>188</v>
      </c>
      <c r="J166" s="1"/>
      <c r="K166" s="33" t="s">
        <v>402</v>
      </c>
      <c r="L166" s="1"/>
      <c r="M166" s="33" t="s">
        <v>403</v>
      </c>
      <c r="N166" s="108">
        <v>0.85540000000000005</v>
      </c>
      <c r="O166" s="1"/>
      <c r="P166" s="3">
        <f>AVERAGE(K166,M166,N166)</f>
        <v>0.85540000000000005</v>
      </c>
      <c r="Q166" s="1"/>
      <c r="R166" s="8">
        <v>0.77349999999999997</v>
      </c>
      <c r="S166" s="1"/>
      <c r="T166" s="1"/>
      <c r="U166" s="1"/>
      <c r="V166" s="1"/>
      <c r="W166" s="1"/>
      <c r="X166" s="1"/>
      <c r="Y166" s="1"/>
    </row>
    <row r="167" spans="1:25" ht="15" customHeight="1">
      <c r="A167" s="1" t="s">
        <v>427</v>
      </c>
      <c r="B167" s="1"/>
      <c r="C167" s="1"/>
      <c r="D167" s="6" t="s">
        <v>416</v>
      </c>
      <c r="E167" s="6" t="s">
        <v>416</v>
      </c>
      <c r="F167" s="6" t="s">
        <v>420</v>
      </c>
      <c r="G167" s="6"/>
      <c r="H167" s="1"/>
      <c r="I167" s="6" t="s">
        <v>415</v>
      </c>
      <c r="J167" s="109" t="s">
        <v>422</v>
      </c>
      <c r="K167" s="1"/>
      <c r="L167" s="1"/>
      <c r="M167" s="1"/>
      <c r="N167" s="1"/>
      <c r="O167" s="1"/>
      <c r="P167" s="12">
        <f>3180/4000</f>
        <v>0.79500000000000004</v>
      </c>
      <c r="Q167" s="1"/>
      <c r="R167" s="1"/>
      <c r="S167" s="1"/>
      <c r="T167" s="1"/>
      <c r="U167" s="1"/>
      <c r="V167" s="1"/>
      <c r="W167" s="1"/>
      <c r="X167" s="1"/>
      <c r="Y167" s="1"/>
    </row>
    <row r="168" spans="1:25" ht="15" customHeight="1">
      <c r="A168" s="1" t="s">
        <v>427</v>
      </c>
      <c r="B168" s="1"/>
      <c r="C168" s="1"/>
      <c r="D168" s="6" t="s">
        <v>418</v>
      </c>
      <c r="E168" s="6" t="s">
        <v>418</v>
      </c>
      <c r="F168" s="6" t="s">
        <v>118</v>
      </c>
      <c r="G168" s="6"/>
      <c r="H168" s="1"/>
      <c r="I168" s="6" t="s">
        <v>417</v>
      </c>
      <c r="J168" s="109" t="s">
        <v>423</v>
      </c>
      <c r="K168" s="1"/>
      <c r="L168" s="1"/>
      <c r="M168" s="1"/>
      <c r="N168" s="1"/>
      <c r="O168" s="1"/>
      <c r="P168" s="1"/>
      <c r="Q168" s="1"/>
      <c r="R168" s="1"/>
      <c r="S168" s="1"/>
      <c r="T168" s="1"/>
      <c r="U168" s="1"/>
      <c r="V168" s="1"/>
      <c r="W168" s="1"/>
      <c r="X168" s="1"/>
      <c r="Y168" s="1"/>
    </row>
    <row r="169" spans="1:25" ht="51" customHeight="1">
      <c r="A169" s="1" t="s">
        <v>427</v>
      </c>
      <c r="B169" s="1"/>
      <c r="C169" s="1"/>
      <c r="D169" s="6" t="s">
        <v>419</v>
      </c>
      <c r="E169" s="6" t="s">
        <v>419</v>
      </c>
      <c r="F169" s="6" t="s">
        <v>118</v>
      </c>
      <c r="G169" s="6"/>
      <c r="H169" s="1"/>
      <c r="I169" s="6" t="s">
        <v>417</v>
      </c>
      <c r="J169" s="109" t="s">
        <v>421</v>
      </c>
      <c r="K169" s="1"/>
      <c r="L169" s="1"/>
      <c r="M169" s="1"/>
      <c r="N169" s="1"/>
      <c r="O169" s="1"/>
      <c r="P169" s="1"/>
      <c r="Q169" s="1"/>
      <c r="R169" s="1"/>
      <c r="S169" s="1"/>
      <c r="T169" s="1"/>
      <c r="U169" s="1"/>
      <c r="V169" s="1"/>
      <c r="W169" s="1"/>
      <c r="X169" s="1"/>
      <c r="Y169" s="1"/>
    </row>
    <row r="170" spans="1:25" ht="15" customHeight="1">
      <c r="A170" s="1" t="s">
        <v>427</v>
      </c>
      <c r="B170" s="1"/>
      <c r="C170" s="1"/>
      <c r="D170" s="1" t="s">
        <v>425</v>
      </c>
      <c r="E170" s="1"/>
      <c r="F170" s="1"/>
      <c r="G170" s="1" t="s">
        <v>238</v>
      </c>
      <c r="H170" s="1"/>
      <c r="I170" s="6" t="s">
        <v>417</v>
      </c>
      <c r="J170" s="109" t="s">
        <v>426</v>
      </c>
      <c r="K170" s="1"/>
      <c r="L170" s="1"/>
      <c r="M170" s="1"/>
      <c r="N170" s="1"/>
      <c r="O170" s="1"/>
      <c r="P170" s="12">
        <f>3200/4000</f>
        <v>0.8</v>
      </c>
      <c r="Q170" s="1"/>
      <c r="R170" s="4">
        <v>0.9</v>
      </c>
      <c r="S170" s="1"/>
      <c r="T170" s="1"/>
      <c r="U170" s="1"/>
      <c r="V170" s="1"/>
      <c r="W170" s="1"/>
      <c r="X170" s="1"/>
      <c r="Y170" s="1"/>
    </row>
    <row r="171" spans="1:25" ht="15" customHeight="1">
      <c r="A171" s="1" t="s">
        <v>427</v>
      </c>
      <c r="B171" s="1"/>
      <c r="C171" s="1"/>
      <c r="D171" s="33" t="s">
        <v>428</v>
      </c>
      <c r="E171" s="1"/>
      <c r="F171" s="1"/>
      <c r="G171" s="1" t="s">
        <v>95</v>
      </c>
      <c r="H171" s="1"/>
      <c r="I171" s="1" t="s">
        <v>429</v>
      </c>
      <c r="J171" s="1"/>
      <c r="K171" s="1"/>
      <c r="L171" s="1"/>
      <c r="M171" s="1"/>
      <c r="N171" s="1"/>
      <c r="O171" s="1"/>
      <c r="P171" s="12">
        <f>3896/4000</f>
        <v>0.97399999999999998</v>
      </c>
      <c r="Q171" s="1"/>
      <c r="R171" s="4">
        <v>0.9</v>
      </c>
      <c r="S171" s="1"/>
      <c r="T171" s="1"/>
      <c r="U171" s="1"/>
      <c r="V171" s="1"/>
      <c r="W171" s="1"/>
      <c r="X171" s="1"/>
      <c r="Y171" s="1"/>
    </row>
    <row r="172" spans="1:25" ht="15" customHeight="1">
      <c r="A172" s="1" t="s">
        <v>427</v>
      </c>
      <c r="D172" s="111" t="s">
        <v>430</v>
      </c>
      <c r="G172" t="s">
        <v>238</v>
      </c>
      <c r="I172" s="6" t="s">
        <v>417</v>
      </c>
    </row>
    <row r="173" spans="1:25" ht="15" customHeight="1">
      <c r="A173" s="1" t="s">
        <v>427</v>
      </c>
      <c r="D173" s="111" t="s">
        <v>431</v>
      </c>
      <c r="G173" t="s">
        <v>300</v>
      </c>
      <c r="I173" s="6" t="s">
        <v>417</v>
      </c>
    </row>
    <row r="174" spans="1:25" ht="15" customHeight="1">
      <c r="D174" t="s">
        <v>432</v>
      </c>
      <c r="I174" s="6" t="s">
        <v>433</v>
      </c>
      <c r="J174" s="79" t="s">
        <v>434</v>
      </c>
      <c r="O174" s="67" t="s">
        <v>435</v>
      </c>
    </row>
  </sheetData>
  <autoFilter ref="A1:W169" xr:uid="{849D266F-6EC2-4B52-B9DC-AA18DDD0950C}"/>
  <conditionalFormatting sqref="B59:B61 B64:B81">
    <cfRule type="duplicateValues" dxfId="4" priority="4"/>
  </conditionalFormatting>
  <conditionalFormatting sqref="Q84">
    <cfRule type="expression" dxfId="3" priority="3">
      <formula>$Q$84&gt;=$R$84</formula>
    </cfRule>
  </conditionalFormatting>
  <conditionalFormatting sqref="Q85">
    <cfRule type="expression" dxfId="2" priority="2">
      <formula>$Q$85&gt;=$R$85</formula>
    </cfRule>
  </conditionalFormatting>
  <conditionalFormatting sqref="Q86">
    <cfRule type="expression" dxfId="1" priority="1">
      <formula>$Q$84&gt;=$R$84</formula>
    </cfRule>
  </conditionalFormatting>
  <hyperlinks>
    <hyperlink ref="P74" r:id="rId1" display="https://questionnaire.evalart.com/admin/report/895006" xr:uid="{A2D7B881-BF5E-460D-AF4D-ED2298193793}"/>
    <hyperlink ref="P75" r:id="rId2" display="https://questionnaire.evalart.com/admin/report/897646" xr:uid="{7E329512-351E-4117-A6E2-EBD3B5B83CD3}"/>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466CF-9AA7-4F18-B7CA-B06F6CB411BC}">
  <dimension ref="A1"/>
  <sheetViews>
    <sheetView workbookViewId="0"/>
  </sheetViews>
  <sheetFormatPr defaultRowHeight="1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A9ACA-B0BA-4949-8BF5-6B29BF2BA1FB}">
  <dimension ref="A1:D27"/>
  <sheetViews>
    <sheetView topLeftCell="A14" workbookViewId="0">
      <selection activeCell="C14" sqref="C14"/>
    </sheetView>
  </sheetViews>
  <sheetFormatPr defaultRowHeight="14.5"/>
  <cols>
    <col min="1" max="1" width="29.6328125" customWidth="1"/>
    <col min="2" max="2" width="43.453125" customWidth="1"/>
    <col min="3" max="3" width="37" customWidth="1"/>
    <col min="4" max="4" width="45.7265625" customWidth="1"/>
  </cols>
  <sheetData>
    <row r="1" spans="1:4">
      <c r="A1" s="77" t="s">
        <v>195</v>
      </c>
      <c r="B1" s="77" t="s">
        <v>196</v>
      </c>
      <c r="C1" s="77" t="s">
        <v>197</v>
      </c>
      <c r="D1" s="77" t="s">
        <v>198</v>
      </c>
    </row>
    <row r="2" spans="1:4" ht="87">
      <c r="A2" s="76" t="s">
        <v>199</v>
      </c>
      <c r="B2" s="76" t="s">
        <v>200</v>
      </c>
      <c r="C2" s="80" t="s">
        <v>201</v>
      </c>
      <c r="D2" s="76" t="s">
        <v>202</v>
      </c>
    </row>
    <row r="3" spans="1:4" ht="87">
      <c r="A3" s="76" t="s">
        <v>199</v>
      </c>
      <c r="B3" s="76" t="s">
        <v>203</v>
      </c>
      <c r="C3" s="80" t="s">
        <v>204</v>
      </c>
      <c r="D3" s="76" t="s">
        <v>205</v>
      </c>
    </row>
    <row r="4" spans="1:4" ht="72.5">
      <c r="A4" s="76" t="s">
        <v>206</v>
      </c>
      <c r="B4" s="76" t="s">
        <v>207</v>
      </c>
      <c r="C4" s="80" t="s">
        <v>208</v>
      </c>
      <c r="D4" s="76" t="s">
        <v>202</v>
      </c>
    </row>
    <row r="5" spans="1:4" ht="87">
      <c r="A5" s="112" t="s">
        <v>209</v>
      </c>
      <c r="B5" s="76" t="s">
        <v>210</v>
      </c>
      <c r="C5" s="113" t="s">
        <v>212</v>
      </c>
      <c r="D5" s="112" t="s">
        <v>91</v>
      </c>
    </row>
    <row r="6" spans="1:4" ht="58">
      <c r="A6" s="112"/>
      <c r="B6" s="76" t="s">
        <v>211</v>
      </c>
      <c r="C6" s="113"/>
      <c r="D6" s="112"/>
    </row>
    <row r="7" spans="1:4" ht="159.5">
      <c r="A7" s="76" t="s">
        <v>213</v>
      </c>
      <c r="B7" s="76" t="s">
        <v>214</v>
      </c>
      <c r="C7" s="76" t="s">
        <v>215</v>
      </c>
      <c r="D7" s="76" t="s">
        <v>216</v>
      </c>
    </row>
    <row r="8" spans="1:4" ht="174">
      <c r="A8" s="76" t="s">
        <v>217</v>
      </c>
      <c r="B8" s="76" t="s">
        <v>218</v>
      </c>
      <c r="C8" s="76" t="s">
        <v>132</v>
      </c>
      <c r="D8" s="76" t="s">
        <v>219</v>
      </c>
    </row>
    <row r="9" spans="1:4" ht="72.5">
      <c r="A9" s="76" t="s">
        <v>220</v>
      </c>
      <c r="B9" s="76" t="s">
        <v>221</v>
      </c>
      <c r="C9" s="76" t="s">
        <v>61</v>
      </c>
      <c r="D9" s="76" t="s">
        <v>86</v>
      </c>
    </row>
    <row r="10" spans="1:4" ht="72.5">
      <c r="A10" s="76" t="s">
        <v>222</v>
      </c>
      <c r="B10" s="76" t="s">
        <v>223</v>
      </c>
      <c r="C10" s="76" t="s">
        <v>128</v>
      </c>
      <c r="D10" s="76" t="s">
        <v>91</v>
      </c>
    </row>
    <row r="11" spans="1:4" ht="72.5">
      <c r="A11" s="76" t="s">
        <v>206</v>
      </c>
      <c r="B11" s="76" t="s">
        <v>224</v>
      </c>
      <c r="C11" s="76" t="s">
        <v>129</v>
      </c>
      <c r="D11" s="76" t="s">
        <v>205</v>
      </c>
    </row>
    <row r="12" spans="1:4" ht="116" customHeight="1">
      <c r="A12" s="78" t="s">
        <v>225</v>
      </c>
      <c r="B12" s="76" t="s">
        <v>228</v>
      </c>
      <c r="C12" s="76" t="s">
        <v>227</v>
      </c>
      <c r="D12" s="76"/>
    </row>
    <row r="13" spans="1:4" ht="29">
      <c r="A13" s="78" t="s">
        <v>226</v>
      </c>
      <c r="B13" s="76"/>
      <c r="D13" s="76"/>
    </row>
    <row r="14" spans="1:4" ht="290">
      <c r="A14" s="76" t="s">
        <v>229</v>
      </c>
      <c r="B14" s="79" t="s">
        <v>234</v>
      </c>
      <c r="C14" s="76" t="s">
        <v>230</v>
      </c>
      <c r="D14" s="76" t="s">
        <v>86</v>
      </c>
    </row>
    <row r="15" spans="1:4">
      <c r="A15" s="76"/>
      <c r="B15" s="76"/>
      <c r="D15" s="76"/>
    </row>
    <row r="16" spans="1:4" ht="217.5">
      <c r="A16" t="s">
        <v>231</v>
      </c>
      <c r="B16" s="79" t="s">
        <v>235</v>
      </c>
      <c r="C16" t="s">
        <v>232</v>
      </c>
      <c r="D16" s="79" t="s">
        <v>233</v>
      </c>
    </row>
    <row r="17" spans="1:4" ht="159.5">
      <c r="A17" t="s">
        <v>255</v>
      </c>
      <c r="B17" s="76" t="s">
        <v>256</v>
      </c>
      <c r="C17" t="s">
        <v>254</v>
      </c>
      <c r="D17">
        <v>7500000</v>
      </c>
    </row>
    <row r="18" spans="1:4" ht="188.5">
      <c r="A18">
        <v>3215</v>
      </c>
      <c r="B18" s="79" t="s">
        <v>258</v>
      </c>
      <c r="C18" t="s">
        <v>257</v>
      </c>
      <c r="D18">
        <v>8000000</v>
      </c>
    </row>
    <row r="19" spans="1:4" ht="101.5">
      <c r="B19" s="76" t="s">
        <v>260</v>
      </c>
      <c r="C19" t="s">
        <v>183</v>
      </c>
      <c r="D19">
        <v>7000000</v>
      </c>
    </row>
    <row r="20" spans="1:4" ht="391.5">
      <c r="A20">
        <v>3211</v>
      </c>
      <c r="B20" s="79" t="s">
        <v>265</v>
      </c>
      <c r="C20" t="s">
        <v>266</v>
      </c>
      <c r="D20">
        <v>6500000</v>
      </c>
    </row>
    <row r="21" spans="1:4" ht="72.5">
      <c r="B21" s="76" t="s">
        <v>275</v>
      </c>
      <c r="C21" s="86" t="s">
        <v>272</v>
      </c>
    </row>
    <row r="22" spans="1:4" ht="377">
      <c r="B22" s="79" t="s">
        <v>276</v>
      </c>
      <c r="C22" s="87" t="s">
        <v>277</v>
      </c>
      <c r="D22" t="s">
        <v>278</v>
      </c>
    </row>
    <row r="23" spans="1:4" ht="217.5">
      <c r="A23">
        <v>3205</v>
      </c>
      <c r="B23" s="79" t="s">
        <v>280</v>
      </c>
      <c r="C23" t="s">
        <v>281</v>
      </c>
      <c r="D23">
        <v>7000000</v>
      </c>
    </row>
    <row r="24" spans="1:4" ht="232">
      <c r="A24">
        <v>3214</v>
      </c>
      <c r="B24" s="79" t="s">
        <v>282</v>
      </c>
      <c r="C24" t="s">
        <v>283</v>
      </c>
      <c r="D24" t="s">
        <v>284</v>
      </c>
    </row>
    <row r="25" spans="1:4">
      <c r="A25">
        <v>3214</v>
      </c>
    </row>
    <row r="26" spans="1:4" ht="87">
      <c r="B26" s="79" t="s">
        <v>289</v>
      </c>
      <c r="C26" t="s">
        <v>290</v>
      </c>
    </row>
    <row r="27" spans="1:4">
      <c r="C27" t="s">
        <v>292</v>
      </c>
    </row>
  </sheetData>
  <mergeCells count="3">
    <mergeCell ref="A5:A6"/>
    <mergeCell ref="C5:C6"/>
    <mergeCell ref="D5:D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F3560-7951-4D4F-BCA6-AB035707C177}">
  <dimension ref="A2:G4"/>
  <sheetViews>
    <sheetView workbookViewId="0">
      <selection activeCell="A4" sqref="A4"/>
    </sheetView>
  </sheetViews>
  <sheetFormatPr defaultRowHeight="14.5"/>
  <cols>
    <col min="3" max="3" width="12.90625" bestFit="1" customWidth="1"/>
    <col min="4" max="4" width="15.453125" bestFit="1" customWidth="1"/>
  </cols>
  <sheetData>
    <row r="2" spans="1:7">
      <c r="A2" t="s">
        <v>0</v>
      </c>
      <c r="B2" t="s">
        <v>135</v>
      </c>
      <c r="C2" t="s">
        <v>136</v>
      </c>
      <c r="D2" t="s">
        <v>7</v>
      </c>
      <c r="E2" t="s">
        <v>1</v>
      </c>
      <c r="F2" t="s">
        <v>137</v>
      </c>
      <c r="G2" t="s">
        <v>138</v>
      </c>
    </row>
    <row r="4" spans="1:7">
      <c r="A4" t="s">
        <v>148</v>
      </c>
      <c r="B4" s="54">
        <v>9624167</v>
      </c>
      <c r="D4" s="54" t="s">
        <v>159</v>
      </c>
      <c r="G4" t="s">
        <v>160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01ED0-F773-4C82-8AC4-16C39B6A3029}">
  <dimension ref="G6:H12"/>
  <sheetViews>
    <sheetView workbookViewId="0">
      <selection activeCell="H8" sqref="H7:H9"/>
    </sheetView>
  </sheetViews>
  <sheetFormatPr defaultRowHeight="14.5"/>
  <sheetData>
    <row r="6" spans="7:8">
      <c r="G6" t="s">
        <v>367</v>
      </c>
      <c r="H6" s="102">
        <v>3023</v>
      </c>
    </row>
    <row r="7" spans="7:8">
      <c r="G7" s="17" t="s">
        <v>148</v>
      </c>
      <c r="H7" s="17">
        <v>3123</v>
      </c>
    </row>
    <row r="8" spans="7:8">
      <c r="G8" s="17" t="s">
        <v>148</v>
      </c>
      <c r="H8" s="17">
        <v>3124</v>
      </c>
    </row>
    <row r="9" spans="7:8">
      <c r="G9" s="1" t="s">
        <v>148</v>
      </c>
      <c r="H9" s="1">
        <v>3191</v>
      </c>
    </row>
    <row r="10" spans="7:8">
      <c r="G10" s="1" t="s">
        <v>239</v>
      </c>
      <c r="H10" s="1">
        <v>3215</v>
      </c>
    </row>
    <row r="11" spans="7:8">
      <c r="G11" s="1" t="s">
        <v>239</v>
      </c>
      <c r="H11" s="1">
        <v>3209</v>
      </c>
    </row>
    <row r="12" spans="7:8">
      <c r="G12" s="1" t="s">
        <v>239</v>
      </c>
      <c r="H12" s="1">
        <v>3167</v>
      </c>
    </row>
  </sheetData>
  <conditionalFormatting sqref="H6:H12">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c791d46-7407-4926-85d5-29bf66179db1" xsi:nil="true"/>
    <lcf76f155ced4ddcb4097134ff3c332f xmlns="6c636fdf-bfb5-4ed7-8d81-4aad9d8e32dc">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388CC396A7E584C9BDB6AB0512CDE57" ma:contentTypeVersion="14" ma:contentTypeDescription="Create a new document." ma:contentTypeScope="" ma:versionID="f919153f020bef98dc85e1bad2a2009c">
  <xsd:schema xmlns:xsd="http://www.w3.org/2001/XMLSchema" xmlns:xs="http://www.w3.org/2001/XMLSchema" xmlns:p="http://schemas.microsoft.com/office/2006/metadata/properties" xmlns:ns2="6c636fdf-bfb5-4ed7-8d81-4aad9d8e32dc" xmlns:ns3="bc791d46-7407-4926-85d5-29bf66179db1" targetNamespace="http://schemas.microsoft.com/office/2006/metadata/properties" ma:root="true" ma:fieldsID="77817fd56d4046fa29e9a5c3a4c23575" ns2:_="" ns3:_="">
    <xsd:import namespace="6c636fdf-bfb5-4ed7-8d81-4aad9d8e32dc"/>
    <xsd:import namespace="bc791d46-7407-4926-85d5-29bf66179d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636fdf-bfb5-4ed7-8d81-4aad9d8e32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5866b93a-4635-4247-88ec-09744cab2739"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c791d46-7407-4926-85d5-29bf66179db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ce48b219-3cec-444c-83b8-4ece69902457}" ma:internalName="TaxCatchAll" ma:showField="CatchAllData" ma:web="bc791d46-7407-4926-85d5-29bf66179d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C98D283-0419-4879-9732-F857782B470A}">
  <ds:schemaRefs>
    <ds:schemaRef ds:uri="http://schemas.microsoft.com/office/2006/metadata/properties"/>
    <ds:schemaRef ds:uri="http://schemas.microsoft.com/office/infopath/2007/PartnerControls"/>
    <ds:schemaRef ds:uri="bc791d46-7407-4926-85d5-29bf66179db1"/>
    <ds:schemaRef ds:uri="6c636fdf-bfb5-4ed7-8d81-4aad9d8e32dc"/>
  </ds:schemaRefs>
</ds:datastoreItem>
</file>

<file path=customXml/itemProps2.xml><?xml version="1.0" encoding="utf-8"?>
<ds:datastoreItem xmlns:ds="http://schemas.openxmlformats.org/officeDocument/2006/customXml" ds:itemID="{A20D73B6-355F-4A0C-8100-BBA325399E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636fdf-bfb5-4ed7-8d81-4aad9d8e32dc"/>
    <ds:schemaRef ds:uri="bc791d46-7407-4926-85d5-29bf66179d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D04BB6-46D0-424C-9FBE-F515C2548B00}">
  <ds:schemaRefs>
    <ds:schemaRef ds:uri="http://schemas.microsoft.com/sharepoint/v3/contenttype/forms"/>
  </ds:schemaRefs>
</ds:datastoreItem>
</file>

<file path=docMetadata/LabelInfo.xml><?xml version="1.0" encoding="utf-8"?>
<clbl:labelList xmlns:clbl="http://schemas.microsoft.com/office/2020/mipLabelMetadata">
  <clbl:label id="{404b1967-6507-45ab-8a6d-7374a3f478be}" enabled="0" method="" siteId="{404b1967-6507-45ab-8a6d-7374a3f478be}"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Candidatos</vt:lpstr>
      <vt:lpstr>Sheet2</vt:lpstr>
      <vt:lpstr>Sheet1</vt:lpstr>
      <vt:lpstr>RGS</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Catalina Trujillo Alvarez</dc:creator>
  <cp:keywords/>
  <dc:description/>
  <cp:lastModifiedBy>Catalina Trujillo Alvarez</cp:lastModifiedBy>
  <cp:revision/>
  <dcterms:created xsi:type="dcterms:W3CDTF">2024-04-19T20:03:26Z</dcterms:created>
  <dcterms:modified xsi:type="dcterms:W3CDTF">2024-11-14T22:15:30Z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0x010100E388CC396A7E584C9BDB6AB0512CDE57</vt:lpwstr>
  </property>
  <property fmtid="{D5CDD505-2E9C-101B-9397-08002B2CF9AE}" pid="3" name="MediaServiceImageTags">
    <vt:lpwstr/>
  </property>
</Properties>
</file>