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mi\Desktop\"/>
    </mc:Choice>
  </mc:AlternateContent>
  <xr:revisionPtr revIDLastSave="0" documentId="13_ncr:1_{605B7531-A745-4150-9D1D-4E9933D624D1}" xr6:coauthVersionLast="45" xr6:coauthVersionMax="45" xr10:uidLastSave="{00000000-0000-0000-0000-000000000000}"/>
  <bookViews>
    <workbookView xWindow="-27990" yWindow="-120" windowWidth="28110" windowHeight="16440" tabRatio="758" activeTab="2" xr2:uid="{690E66F5-A47F-45E5-A75B-442D4617D3F3}"/>
  </bookViews>
  <sheets>
    <sheet name="Data" sheetId="1" r:id="rId1"/>
    <sheet name="AC Region" sheetId="26" r:id="rId2"/>
    <sheet name="AC Age" sheetId="25" r:id="rId3"/>
    <sheet name="Symptoms" sheetId="24" r:id="rId4"/>
    <sheet name="DND Age" sheetId="23" r:id="rId5"/>
    <sheet name="Week" sheetId="17" r:id="rId6"/>
    <sheet name="Weekday" sheetId="16" r:id="rId7"/>
    <sheet name="FCT AC" sheetId="15" r:id="rId8"/>
    <sheet name="FCT AC 28" sheetId="12" r:id="rId9"/>
    <sheet name="FCT AC 29" sheetId="21" r:id="rId10"/>
    <sheet name="FCT DNC" sheetId="14" r:id="rId11"/>
    <sheet name="FCT DNC 28" sheetId="13" r:id="rId12"/>
    <sheet name="FCT DNC 29" sheetId="22" r:id="rId13"/>
    <sheet name="Evolution" sheetId="7" r:id="rId14"/>
    <sheet name="RoG" sheetId="18" r:id="rId15"/>
    <sheet name="Share AS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0" i="25" l="1"/>
  <c r="AD30" i="25"/>
  <c r="AC30" i="25"/>
  <c r="AB30" i="25"/>
  <c r="AA30" i="25"/>
  <c r="Z30" i="25"/>
  <c r="Y30" i="25"/>
  <c r="X30" i="25"/>
  <c r="W30" i="25"/>
  <c r="V30" i="25"/>
  <c r="U30" i="25"/>
  <c r="T30" i="25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AE34" i="23"/>
  <c r="AD34" i="23"/>
  <c r="AC34" i="23"/>
  <c r="AB34" i="23"/>
  <c r="AA34" i="23"/>
  <c r="Z34" i="23"/>
  <c r="Y34" i="23"/>
  <c r="X34" i="23"/>
  <c r="W34" i="23"/>
  <c r="V34" i="23"/>
  <c r="U34" i="23"/>
  <c r="AE33" i="23"/>
  <c r="AD33" i="23"/>
  <c r="AC33" i="23"/>
  <c r="AB33" i="23"/>
  <c r="AA33" i="23"/>
  <c r="Z33" i="23"/>
  <c r="Y33" i="23"/>
  <c r="X33" i="23"/>
  <c r="W33" i="23"/>
  <c r="V33" i="23"/>
  <c r="U33" i="23"/>
  <c r="AE32" i="23"/>
  <c r="AD32" i="23"/>
  <c r="AC32" i="23"/>
  <c r="AB32" i="23"/>
  <c r="AA32" i="23"/>
  <c r="Z32" i="23"/>
  <c r="Y32" i="23"/>
  <c r="X32" i="23"/>
  <c r="W32" i="23"/>
  <c r="V32" i="23"/>
  <c r="U32" i="23"/>
  <c r="AE31" i="23"/>
  <c r="AD31" i="23"/>
  <c r="AC31" i="23"/>
  <c r="AB31" i="23"/>
  <c r="AA31" i="23"/>
  <c r="Z31" i="23"/>
  <c r="Y31" i="23"/>
  <c r="X31" i="23"/>
  <c r="W31" i="23"/>
  <c r="V31" i="23"/>
  <c r="U31" i="23"/>
  <c r="W31" i="25"/>
  <c r="X31" i="25"/>
  <c r="Y31" i="25"/>
  <c r="Z31" i="25"/>
  <c r="AA31" i="25"/>
  <c r="AB31" i="25"/>
  <c r="AC31" i="25"/>
  <c r="AD31" i="25"/>
  <c r="AE31" i="25"/>
  <c r="W32" i="25"/>
  <c r="X32" i="25"/>
  <c r="Y32" i="25"/>
  <c r="Z32" i="25"/>
  <c r="AA32" i="25"/>
  <c r="AB32" i="25"/>
  <c r="AC32" i="25"/>
  <c r="AD32" i="25"/>
  <c r="AE32" i="25"/>
  <c r="W33" i="25"/>
  <c r="X33" i="25"/>
  <c r="Y33" i="25"/>
  <c r="Z33" i="25"/>
  <c r="AA33" i="25"/>
  <c r="AB33" i="25"/>
  <c r="AC33" i="25"/>
  <c r="AD33" i="25"/>
  <c r="AE33" i="25"/>
  <c r="AD34" i="25"/>
  <c r="AC34" i="25"/>
  <c r="AB34" i="25"/>
  <c r="AA34" i="25"/>
  <c r="Z34" i="25"/>
  <c r="Y34" i="25"/>
  <c r="X34" i="25"/>
  <c r="W34" i="25"/>
  <c r="AE34" i="25"/>
  <c r="V33" i="25"/>
  <c r="U33" i="25"/>
  <c r="V32" i="25"/>
  <c r="U32" i="25"/>
  <c r="V31" i="25"/>
  <c r="U31" i="25"/>
  <c r="V34" i="25"/>
  <c r="U34" i="25"/>
  <c r="T31" i="25"/>
  <c r="T32" i="23"/>
  <c r="T32" i="25"/>
  <c r="T33" i="23"/>
  <c r="T33" i="25"/>
  <c r="T34" i="25"/>
  <c r="T34" i="23"/>
  <c r="AN34" i="1"/>
  <c r="AM34" i="1"/>
  <c r="AL34" i="1"/>
  <c r="AH34" i="1"/>
  <c r="AG34" i="1"/>
  <c r="AF34" i="1"/>
  <c r="AE34" i="1"/>
  <c r="AD34" i="1"/>
  <c r="AC34" i="1"/>
  <c r="AB34" i="1"/>
  <c r="AA34" i="1"/>
  <c r="Z34" i="1"/>
  <c r="Y34" i="1"/>
  <c r="T34" i="1"/>
  <c r="S34" i="1"/>
  <c r="R34" i="1"/>
  <c r="Q34" i="1"/>
  <c r="P34" i="1"/>
  <c r="O34" i="1"/>
  <c r="N34" i="1"/>
  <c r="X34" i="1" s="1"/>
  <c r="M34" i="1"/>
  <c r="W34" i="1" s="1"/>
  <c r="L34" i="1"/>
  <c r="AJ34" i="1" s="1"/>
  <c r="K34" i="1"/>
  <c r="U34" i="1" s="1"/>
  <c r="C36" i="22"/>
  <c r="C48" i="22"/>
  <c r="C60" i="22"/>
  <c r="H3" i="22"/>
  <c r="C37" i="22"/>
  <c r="C49" i="22"/>
  <c r="C61" i="22"/>
  <c r="H4" i="22"/>
  <c r="C38" i="22"/>
  <c r="C50" i="22"/>
  <c r="C62" i="22"/>
  <c r="H5" i="22"/>
  <c r="C59" i="22"/>
  <c r="H2" i="22"/>
  <c r="C39" i="22"/>
  <c r="C51" i="22"/>
  <c r="C63" i="22"/>
  <c r="H6" i="22"/>
  <c r="C40" i="22"/>
  <c r="C52" i="22"/>
  <c r="C64" i="22"/>
  <c r="H7" i="22"/>
  <c r="C35" i="22"/>
  <c r="C41" i="22"/>
  <c r="C53" i="22"/>
  <c r="C65" i="22"/>
  <c r="H8" i="22"/>
  <c r="C55" i="22"/>
  <c r="C56" i="22"/>
  <c r="C58" i="22"/>
  <c r="C42" i="22"/>
  <c r="C54" i="22"/>
  <c r="C66" i="22"/>
  <c r="C43" i="22"/>
  <c r="C44" i="22"/>
  <c r="C46" i="22"/>
  <c r="C45" i="22"/>
  <c r="C57" i="22"/>
  <c r="C47" i="22"/>
  <c r="C35" i="21"/>
  <c r="C47" i="21"/>
  <c r="C59" i="21"/>
  <c r="H2" i="21"/>
  <c r="C37" i="21"/>
  <c r="C65" i="21"/>
  <c r="C46" i="21"/>
  <c r="C36" i="21"/>
  <c r="C48" i="21"/>
  <c r="C60" i="21"/>
  <c r="H3" i="21"/>
  <c r="C49" i="21"/>
  <c r="C61" i="21"/>
  <c r="H4" i="21"/>
  <c r="H6" i="21"/>
  <c r="C53" i="21"/>
  <c r="C42" i="21"/>
  <c r="C43" i="21"/>
  <c r="C45" i="21"/>
  <c r="C58" i="21"/>
  <c r="C44" i="21"/>
  <c r="C38" i="21"/>
  <c r="C50" i="21"/>
  <c r="C62" i="21"/>
  <c r="H5" i="21"/>
  <c r="C39" i="21"/>
  <c r="C51" i="21"/>
  <c r="C63" i="21"/>
  <c r="H7" i="21"/>
  <c r="C54" i="21"/>
  <c r="C55" i="21"/>
  <c r="C57" i="21"/>
  <c r="C40" i="21"/>
  <c r="C52" i="21"/>
  <c r="C64" i="21"/>
  <c r="H8" i="21"/>
  <c r="C66" i="21"/>
  <c r="C41" i="21"/>
  <c r="C56" i="21"/>
  <c r="V34" i="1" l="1"/>
  <c r="AI3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D57" i="22"/>
  <c r="E54" i="22"/>
  <c r="E53" i="22"/>
  <c r="D63" i="22"/>
  <c r="D38" i="22"/>
  <c r="D36" i="22"/>
  <c r="E42" i="22"/>
  <c r="D51" i="22"/>
  <c r="D49" i="22"/>
  <c r="E44" i="22"/>
  <c r="E37" i="22"/>
  <c r="E50" i="22"/>
  <c r="E57" i="22"/>
  <c r="E38" i="22"/>
  <c r="E45" i="22"/>
  <c r="D42" i="22"/>
  <c r="D41" i="22"/>
  <c r="E51" i="22"/>
  <c r="E61" i="22"/>
  <c r="D45" i="22"/>
  <c r="E41" i="22"/>
  <c r="D61" i="22"/>
  <c r="D39" i="22"/>
  <c r="D64" i="22"/>
  <c r="E59" i="22"/>
  <c r="E66" i="22"/>
  <c r="D53" i="22"/>
  <c r="E46" i="22"/>
  <c r="E58" i="22"/>
  <c r="E35" i="22"/>
  <c r="E39" i="22"/>
  <c r="E49" i="22"/>
  <c r="D46" i="22"/>
  <c r="D58" i="22"/>
  <c r="D35" i="22"/>
  <c r="E56" i="22"/>
  <c r="D47" i="22"/>
  <c r="E36" i="22"/>
  <c r="D44" i="22"/>
  <c r="D56" i="22"/>
  <c r="E64" i="22"/>
  <c r="D59" i="22"/>
  <c r="D37" i="22"/>
  <c r="E43" i="22"/>
  <c r="E62" i="22"/>
  <c r="E47" i="22"/>
  <c r="D65" i="22"/>
  <c r="D50" i="22"/>
  <c r="E40" i="22"/>
  <c r="D54" i="22"/>
  <c r="D43" i="22"/>
  <c r="D55" i="22"/>
  <c r="D52" i="22"/>
  <c r="D62" i="22"/>
  <c r="E60" i="22"/>
  <c r="E55" i="22"/>
  <c r="E52" i="22"/>
  <c r="D60" i="22"/>
  <c r="D66" i="22"/>
  <c r="D40" i="22"/>
  <c r="E48" i="22"/>
  <c r="E65" i="22"/>
  <c r="D48" i="22"/>
  <c r="E63" i="22"/>
  <c r="E66" i="21"/>
  <c r="D54" i="21"/>
  <c r="E38" i="21"/>
  <c r="D53" i="21"/>
  <c r="E46" i="21"/>
  <c r="D66" i="21"/>
  <c r="E54" i="21"/>
  <c r="D38" i="21"/>
  <c r="E53" i="21"/>
  <c r="D46" i="21"/>
  <c r="D64" i="21"/>
  <c r="D63" i="21"/>
  <c r="E44" i="21"/>
  <c r="D61" i="21"/>
  <c r="D65" i="21"/>
  <c r="E64" i="21"/>
  <c r="E63" i="21"/>
  <c r="D44" i="21"/>
  <c r="E61" i="21"/>
  <c r="E65" i="21"/>
  <c r="E35" i="21"/>
  <c r="D52" i="21"/>
  <c r="D51" i="21"/>
  <c r="D58" i="21"/>
  <c r="E49" i="21"/>
  <c r="D37" i="21"/>
  <c r="E52" i="21"/>
  <c r="E51" i="21"/>
  <c r="E58" i="21"/>
  <c r="D49" i="21"/>
  <c r="E37" i="21"/>
  <c r="E41" i="21"/>
  <c r="E36" i="21"/>
  <c r="D40" i="21"/>
  <c r="D39" i="21"/>
  <c r="E45" i="21"/>
  <c r="D60" i="21"/>
  <c r="E59" i="21"/>
  <c r="D62" i="21"/>
  <c r="D47" i="21"/>
  <c r="E55" i="21"/>
  <c r="D36" i="21"/>
  <c r="D55" i="21"/>
  <c r="E42" i="21"/>
  <c r="E40" i="21"/>
  <c r="E39" i="21"/>
  <c r="D45" i="21"/>
  <c r="E60" i="21"/>
  <c r="D59" i="21"/>
  <c r="E56" i="21"/>
  <c r="E57" i="21"/>
  <c r="E62" i="21"/>
  <c r="E43" i="21"/>
  <c r="E48" i="21"/>
  <c r="E47" i="21"/>
  <c r="D56" i="21"/>
  <c r="D57" i="21"/>
  <c r="D43" i="21"/>
  <c r="D48" i="21"/>
  <c r="D41" i="21"/>
  <c r="E50" i="21"/>
  <c r="D42" i="21"/>
  <c r="D35" i="21"/>
  <c r="D50" i="21"/>
  <c r="AG33" i="1" l="1"/>
  <c r="AF33" i="1"/>
  <c r="AE33" i="1"/>
  <c r="AD33" i="1"/>
  <c r="AC33" i="1"/>
  <c r="AB33" i="1"/>
  <c r="AA33" i="1"/>
  <c r="T33" i="1"/>
  <c r="S33" i="1"/>
  <c r="R33" i="1"/>
  <c r="Q33" i="1"/>
  <c r="P33" i="1"/>
  <c r="O33" i="1"/>
  <c r="N33" i="1"/>
  <c r="X33" i="1" s="1"/>
  <c r="M33" i="1"/>
  <c r="W33" i="1" s="1"/>
  <c r="L33" i="1"/>
  <c r="K33" i="1"/>
  <c r="U33" i="1" s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I2" i="1"/>
  <c r="AI3" i="1"/>
  <c r="AI4" i="1"/>
  <c r="AI5" i="1"/>
  <c r="AI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X23" i="1"/>
  <c r="X24" i="1"/>
  <c r="X25" i="1"/>
  <c r="X26" i="1"/>
  <c r="X27" i="1"/>
  <c r="X28" i="1"/>
  <c r="X29" i="1"/>
  <c r="X30" i="1"/>
  <c r="X31" i="1"/>
  <c r="X32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AJ20" i="1" s="1"/>
  <c r="O21" i="1"/>
  <c r="AJ21" i="1" s="1"/>
  <c r="O22" i="1"/>
  <c r="AJ22" i="1" s="1"/>
  <c r="O23" i="1"/>
  <c r="AJ23" i="1" s="1"/>
  <c r="O24" i="1"/>
  <c r="AJ24" i="1" s="1"/>
  <c r="O25" i="1"/>
  <c r="AJ25" i="1" s="1"/>
  <c r="O26" i="1"/>
  <c r="AJ26" i="1" s="1"/>
  <c r="O27" i="1"/>
  <c r="AJ27" i="1" s="1"/>
  <c r="O28" i="1"/>
  <c r="AJ28" i="1" s="1"/>
  <c r="O29" i="1"/>
  <c r="AJ29" i="1" s="1"/>
  <c r="O30" i="1"/>
  <c r="AJ30" i="1" s="1"/>
  <c r="O31" i="1"/>
  <c r="AJ31" i="1" s="1"/>
  <c r="O32" i="1"/>
  <c r="AJ32" i="1" s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5" i="1"/>
  <c r="C34" i="13"/>
  <c r="C46" i="13"/>
  <c r="C58" i="13"/>
  <c r="C47" i="13"/>
  <c r="C62" i="13"/>
  <c r="H3" i="13"/>
  <c r="C36" i="13"/>
  <c r="C48" i="13"/>
  <c r="C60" i="13"/>
  <c r="C37" i="13"/>
  <c r="C49" i="13"/>
  <c r="C61" i="13"/>
  <c r="H2" i="13"/>
  <c r="C38" i="13"/>
  <c r="C39" i="13"/>
  <c r="C51" i="13"/>
  <c r="C63" i="13"/>
  <c r="H4" i="13"/>
  <c r="C40" i="13"/>
  <c r="C52" i="13"/>
  <c r="C64" i="13"/>
  <c r="H5" i="13"/>
  <c r="C43" i="13"/>
  <c r="C56" i="13"/>
  <c r="C41" i="13"/>
  <c r="C53" i="13"/>
  <c r="C65" i="13"/>
  <c r="H6" i="13"/>
  <c r="C44" i="13"/>
  <c r="C42" i="13"/>
  <c r="C54" i="13"/>
  <c r="C66" i="13"/>
  <c r="H7" i="13"/>
  <c r="C55" i="13"/>
  <c r="H8" i="13"/>
  <c r="C45" i="13"/>
  <c r="C57" i="13"/>
  <c r="C35" i="13"/>
  <c r="C59" i="13"/>
  <c r="C50" i="13"/>
  <c r="C34" i="12"/>
  <c r="C46" i="12"/>
  <c r="C58" i="12"/>
  <c r="C47" i="12"/>
  <c r="C60" i="12"/>
  <c r="H2" i="12"/>
  <c r="C39" i="12"/>
  <c r="C63" i="12"/>
  <c r="C37" i="12"/>
  <c r="C49" i="12"/>
  <c r="C61" i="12"/>
  <c r="H4" i="12"/>
  <c r="C38" i="12"/>
  <c r="C50" i="12"/>
  <c r="C62" i="12"/>
  <c r="H3" i="12"/>
  <c r="C40" i="12"/>
  <c r="C52" i="12"/>
  <c r="C64" i="12"/>
  <c r="H5" i="12"/>
  <c r="C42" i="12"/>
  <c r="H7" i="12"/>
  <c r="C41" i="12"/>
  <c r="C53" i="12"/>
  <c r="C65" i="12"/>
  <c r="H6" i="12"/>
  <c r="C54" i="12"/>
  <c r="C66" i="12"/>
  <c r="C43" i="12"/>
  <c r="C55" i="12"/>
  <c r="H8" i="12"/>
  <c r="C44" i="12"/>
  <c r="C56" i="12"/>
  <c r="C48" i="12"/>
  <c r="C51" i="12"/>
  <c r="C45" i="12"/>
  <c r="C57" i="12"/>
  <c r="C35" i="12"/>
  <c r="C59" i="12"/>
  <c r="C36" i="12"/>
  <c r="E38" i="14"/>
  <c r="E37" i="14"/>
  <c r="E65" i="14"/>
  <c r="E60" i="14"/>
  <c r="E48" i="14"/>
  <c r="E53" i="14"/>
  <c r="E34" i="14"/>
  <c r="E36" i="14"/>
  <c r="E47" i="14"/>
  <c r="E41" i="14"/>
  <c r="E46" i="14"/>
  <c r="E64" i="14"/>
  <c r="E63" i="14"/>
  <c r="E44" i="14"/>
  <c r="E59" i="14"/>
  <c r="E35" i="14"/>
  <c r="E45" i="14"/>
  <c r="E40" i="14"/>
  <c r="E56" i="14"/>
  <c r="E58" i="14"/>
  <c r="E57" i="14"/>
  <c r="E55" i="14"/>
  <c r="E42" i="14"/>
  <c r="E51" i="14"/>
  <c r="E33" i="14"/>
  <c r="E43" i="14"/>
  <c r="E61" i="14"/>
  <c r="E52" i="14"/>
  <c r="E39" i="14"/>
  <c r="E66" i="14"/>
  <c r="E54" i="14"/>
  <c r="E49" i="14"/>
  <c r="E62" i="14"/>
  <c r="E50" i="14"/>
  <c r="AJ33" i="1" l="1"/>
  <c r="V33" i="1"/>
  <c r="Y33" i="1"/>
  <c r="G8" i="16"/>
  <c r="G10" i="16"/>
  <c r="G12" i="16"/>
  <c r="G14" i="16"/>
  <c r="E6" i="16"/>
  <c r="H10" i="16"/>
  <c r="C11" i="16"/>
  <c r="B14" i="16"/>
  <c r="B13" i="16"/>
  <c r="F7" i="16"/>
  <c r="G9" i="16"/>
  <c r="H12" i="16"/>
  <c r="C13" i="16"/>
  <c r="D9" i="16"/>
  <c r="F11" i="16"/>
  <c r="G13" i="16"/>
  <c r="D11" i="16"/>
  <c r="E7" i="16"/>
  <c r="E9" i="16"/>
  <c r="E11" i="16"/>
  <c r="E13" i="16"/>
  <c r="B12" i="16"/>
  <c r="B6" i="16"/>
  <c r="B11" i="16"/>
  <c r="G11" i="16"/>
  <c r="H7" i="16"/>
  <c r="H9" i="16"/>
  <c r="H11" i="16"/>
  <c r="H13" i="16"/>
  <c r="B9" i="16"/>
  <c r="C10" i="16"/>
  <c r="C14" i="16"/>
  <c r="D10" i="16"/>
  <c r="D14" i="16"/>
  <c r="C8" i="16"/>
  <c r="C12" i="16"/>
  <c r="B8" i="16"/>
  <c r="D8" i="16"/>
  <c r="D12" i="16"/>
  <c r="B7" i="16"/>
  <c r="B10" i="16"/>
  <c r="E8" i="16"/>
  <c r="E10" i="16"/>
  <c r="E12" i="16"/>
  <c r="E14" i="16"/>
  <c r="C6" i="16"/>
  <c r="H14" i="16"/>
  <c r="C7" i="16"/>
  <c r="D7" i="16"/>
  <c r="H6" i="16"/>
  <c r="F13" i="16"/>
  <c r="F8" i="16"/>
  <c r="F10" i="16"/>
  <c r="F12" i="16"/>
  <c r="F14" i="16"/>
  <c r="D6" i="16"/>
  <c r="H8" i="16"/>
  <c r="F6" i="16"/>
  <c r="C9" i="16"/>
  <c r="G6" i="16"/>
  <c r="D13" i="16"/>
  <c r="F9" i="16"/>
  <c r="G7" i="16"/>
  <c r="F7" i="17"/>
  <c r="F9" i="17"/>
  <c r="F11" i="17"/>
  <c r="F13" i="17"/>
  <c r="C5" i="17"/>
  <c r="H9" i="17"/>
  <c r="G7" i="17"/>
  <c r="G9" i="17"/>
  <c r="G11" i="17"/>
  <c r="G13" i="17"/>
  <c r="D5" i="17"/>
  <c r="H7" i="17"/>
  <c r="E5" i="17"/>
  <c r="C6" i="17"/>
  <c r="C8" i="17"/>
  <c r="C10" i="17"/>
  <c r="C12" i="17"/>
  <c r="B13" i="17"/>
  <c r="F5" i="17"/>
  <c r="F10" i="17"/>
  <c r="D6" i="17"/>
  <c r="D8" i="17"/>
  <c r="D10" i="17"/>
  <c r="D12" i="17"/>
  <c r="B12" i="17"/>
  <c r="G5" i="17"/>
  <c r="E6" i="17"/>
  <c r="E8" i="17"/>
  <c r="E12" i="17"/>
  <c r="B11" i="17"/>
  <c r="H5" i="17"/>
  <c r="E10" i="17"/>
  <c r="F6" i="17"/>
  <c r="F8" i="17"/>
  <c r="G6" i="17"/>
  <c r="G8" i="17"/>
  <c r="G10" i="17"/>
  <c r="G12" i="17"/>
  <c r="B9" i="17"/>
  <c r="C7" i="17"/>
  <c r="C11" i="17"/>
  <c r="B7" i="17"/>
  <c r="B10" i="17"/>
  <c r="H6" i="17"/>
  <c r="H8" i="17"/>
  <c r="H10" i="17"/>
  <c r="H12" i="17"/>
  <c r="B8" i="17"/>
  <c r="C9" i="17"/>
  <c r="C13" i="17"/>
  <c r="D7" i="17"/>
  <c r="D9" i="17"/>
  <c r="D11" i="17"/>
  <c r="D13" i="17"/>
  <c r="B6" i="17"/>
  <c r="H11" i="17"/>
  <c r="F12" i="17"/>
  <c r="E7" i="17"/>
  <c r="E9" i="17"/>
  <c r="E11" i="17"/>
  <c r="E13" i="17"/>
  <c r="B5" i="17"/>
  <c r="H13" i="17"/>
  <c r="Z33" i="1"/>
  <c r="AI33" i="1"/>
  <c r="E50" i="13"/>
  <c r="E66" i="13"/>
  <c r="D41" i="13"/>
  <c r="D63" i="13"/>
  <c r="D37" i="13"/>
  <c r="D58" i="13"/>
  <c r="D50" i="13"/>
  <c r="D66" i="13"/>
  <c r="E41" i="13"/>
  <c r="E63" i="13"/>
  <c r="E37" i="13"/>
  <c r="E58" i="13"/>
  <c r="E59" i="13"/>
  <c r="E54" i="13"/>
  <c r="D56" i="13"/>
  <c r="D51" i="13"/>
  <c r="E60" i="13"/>
  <c r="D46" i="13"/>
  <c r="D59" i="13"/>
  <c r="D54" i="13"/>
  <c r="E56" i="13"/>
  <c r="D60" i="13"/>
  <c r="D35" i="13"/>
  <c r="E42" i="13"/>
  <c r="E43" i="13"/>
  <c r="D39" i="13"/>
  <c r="E48" i="13"/>
  <c r="E34" i="13"/>
  <c r="D61" i="13"/>
  <c r="D52" i="13"/>
  <c r="E55" i="13"/>
  <c r="D49" i="13"/>
  <c r="E35" i="13"/>
  <c r="D42" i="13"/>
  <c r="D43" i="13"/>
  <c r="E39" i="13"/>
  <c r="D48" i="13"/>
  <c r="D34" i="13"/>
  <c r="D45" i="13"/>
  <c r="E57" i="13"/>
  <c r="E44" i="13"/>
  <c r="E64" i="13"/>
  <c r="D38" i="13"/>
  <c r="E36" i="13"/>
  <c r="D57" i="13"/>
  <c r="D44" i="13"/>
  <c r="D64" i="13"/>
  <c r="E38" i="13"/>
  <c r="D36" i="13"/>
  <c r="D65" i="13"/>
  <c r="E52" i="13"/>
  <c r="E65" i="13"/>
  <c r="E61" i="13"/>
  <c r="E62" i="13"/>
  <c r="E40" i="13"/>
  <c r="E47" i="13"/>
  <c r="E45" i="13"/>
  <c r="D62" i="13"/>
  <c r="E53" i="13"/>
  <c r="D55" i="13"/>
  <c r="D53" i="13"/>
  <c r="D40" i="13"/>
  <c r="E49" i="13"/>
  <c r="D47" i="13"/>
  <c r="E51" i="13"/>
  <c r="E46" i="13"/>
  <c r="E36" i="12"/>
  <c r="E48" i="12"/>
  <c r="E54" i="12"/>
  <c r="E52" i="12"/>
  <c r="D49" i="12"/>
  <c r="E58" i="12"/>
  <c r="E34" i="12"/>
  <c r="E62" i="12"/>
  <c r="E55" i="12"/>
  <c r="D38" i="12"/>
  <c r="D51" i="12"/>
  <c r="E61" i="12"/>
  <c r="D36" i="12"/>
  <c r="D48" i="12"/>
  <c r="D54" i="12"/>
  <c r="D52" i="12"/>
  <c r="E49" i="12"/>
  <c r="D58" i="12"/>
  <c r="D65" i="12"/>
  <c r="E37" i="12"/>
  <c r="D62" i="12"/>
  <c r="E53" i="12"/>
  <c r="E63" i="12"/>
  <c r="E41" i="12"/>
  <c r="E60" i="12"/>
  <c r="E38" i="12"/>
  <c r="E64" i="12"/>
  <c r="D47" i="12"/>
  <c r="E59" i="12"/>
  <c r="E56" i="12"/>
  <c r="E65" i="12"/>
  <c r="E40" i="12"/>
  <c r="D37" i="12"/>
  <c r="E46" i="12"/>
  <c r="D46" i="12"/>
  <c r="E44" i="12"/>
  <c r="D44" i="12"/>
  <c r="E50" i="12"/>
  <c r="E39" i="12"/>
  <c r="E45" i="12"/>
  <c r="D66" i="12"/>
  <c r="D59" i="12"/>
  <c r="D56" i="12"/>
  <c r="D40" i="12"/>
  <c r="D63" i="12"/>
  <c r="D34" i="12"/>
  <c r="D50" i="12"/>
  <c r="E42" i="12"/>
  <c r="E51" i="12"/>
  <c r="E35" i="12"/>
  <c r="D53" i="12"/>
  <c r="D39" i="12"/>
  <c r="E43" i="12"/>
  <c r="D61" i="12"/>
  <c r="D35" i="12"/>
  <c r="D43" i="12"/>
  <c r="D57" i="12"/>
  <c r="D55" i="12"/>
  <c r="D41" i="12"/>
  <c r="D42" i="12"/>
  <c r="D60" i="12"/>
  <c r="E47" i="12"/>
  <c r="E57" i="12"/>
  <c r="E66" i="12"/>
  <c r="D45" i="12"/>
  <c r="D64" i="12"/>
  <c r="B17" i="17" l="1"/>
  <c r="H16" i="17"/>
  <c r="B22" i="17"/>
  <c r="H19" i="16"/>
  <c r="D21" i="16"/>
  <c r="E24" i="17"/>
  <c r="C20" i="17"/>
  <c r="B23" i="17"/>
  <c r="F20" i="16"/>
  <c r="F19" i="17"/>
  <c r="D24" i="16"/>
  <c r="G22" i="16"/>
  <c r="B21" i="17"/>
  <c r="G18" i="17"/>
  <c r="F17" i="16"/>
  <c r="D25" i="16"/>
  <c r="B23" i="16"/>
  <c r="F18" i="16"/>
  <c r="D24" i="17"/>
  <c r="H20" i="17"/>
  <c r="E24" i="16"/>
  <c r="B24" i="16"/>
  <c r="D22" i="17"/>
  <c r="C22" i="17"/>
  <c r="E23" i="17"/>
  <c r="C23" i="17"/>
  <c r="C16" i="17"/>
  <c r="D17" i="16"/>
  <c r="E23" i="16"/>
  <c r="C25" i="16"/>
  <c r="E22" i="16"/>
  <c r="B25" i="16"/>
  <c r="B18" i="17"/>
  <c r="E19" i="17"/>
  <c r="C21" i="17"/>
  <c r="F24" i="17"/>
  <c r="F25" i="16"/>
  <c r="E21" i="16"/>
  <c r="C21" i="16"/>
  <c r="E20" i="16"/>
  <c r="C22" i="16"/>
  <c r="B24" i="17"/>
  <c r="C18" i="17"/>
  <c r="H24" i="17"/>
  <c r="D18" i="17"/>
  <c r="B20" i="17"/>
  <c r="E17" i="17"/>
  <c r="C19" i="17"/>
  <c r="F22" i="17"/>
  <c r="F23" i="16"/>
  <c r="E19" i="16"/>
  <c r="B20" i="16"/>
  <c r="E18" i="16"/>
  <c r="H21" i="16"/>
  <c r="E25" i="16"/>
  <c r="D20" i="17"/>
  <c r="B16" i="17"/>
  <c r="C24" i="17"/>
  <c r="G23" i="17"/>
  <c r="G16" i="17"/>
  <c r="C17" i="17"/>
  <c r="F20" i="17"/>
  <c r="F21" i="16"/>
  <c r="B21" i="16"/>
  <c r="H24" i="16"/>
  <c r="D22" i="16"/>
  <c r="E17" i="16"/>
  <c r="F18" i="17"/>
  <c r="B18" i="16"/>
  <c r="H22" i="16"/>
  <c r="G24" i="16"/>
  <c r="G25" i="16"/>
  <c r="E16" i="17"/>
  <c r="F19" i="16"/>
  <c r="E22" i="17"/>
  <c r="B19" i="17"/>
  <c r="G19" i="17"/>
  <c r="D23" i="17"/>
  <c r="H18" i="17"/>
  <c r="G18" i="16"/>
  <c r="F24" i="16"/>
  <c r="D23" i="16"/>
  <c r="H20" i="16"/>
  <c r="F22" i="16"/>
  <c r="G23" i="16"/>
  <c r="F16" i="17"/>
  <c r="G21" i="17"/>
  <c r="E20" i="17"/>
  <c r="H23" i="17"/>
  <c r="G17" i="17"/>
  <c r="D21" i="17"/>
  <c r="D16" i="17"/>
  <c r="H17" i="16"/>
  <c r="D19" i="16"/>
  <c r="H18" i="16"/>
  <c r="D20" i="16"/>
  <c r="G21" i="16"/>
  <c r="H21" i="17"/>
  <c r="G24" i="17"/>
  <c r="B19" i="16"/>
  <c r="C24" i="16"/>
  <c r="G19" i="16"/>
  <c r="C17" i="16"/>
  <c r="F23" i="17"/>
  <c r="F17" i="17"/>
  <c r="G22" i="17"/>
  <c r="G17" i="16"/>
  <c r="C18" i="16"/>
  <c r="C23" i="16"/>
  <c r="B22" i="16"/>
  <c r="H23" i="16"/>
  <c r="E18" i="17"/>
  <c r="D19" i="17"/>
  <c r="D18" i="16"/>
  <c r="H19" i="17"/>
  <c r="D17" i="17"/>
  <c r="H22" i="17"/>
  <c r="H17" i="17"/>
  <c r="E21" i="17"/>
  <c r="F21" i="17"/>
  <c r="G20" i="17"/>
  <c r="C20" i="16"/>
  <c r="H25" i="16"/>
  <c r="C19" i="16"/>
  <c r="B17" i="16"/>
  <c r="G20" i="16"/>
</calcChain>
</file>

<file path=xl/sharedStrings.xml><?xml version="1.0" encoding="utf-8"?>
<sst xmlns="http://schemas.openxmlformats.org/spreadsheetml/2006/main" count="241" uniqueCount="132">
  <si>
    <t>Date</t>
  </si>
  <si>
    <t>Dif DNC vs Prev DNC</t>
  </si>
  <si>
    <t>Active Cases</t>
  </si>
  <si>
    <t>DNC % DNS</t>
  </si>
  <si>
    <t>Week</t>
  </si>
  <si>
    <t>Month</t>
  </si>
  <si>
    <t>Weekday</t>
  </si>
  <si>
    <t>Dif DNS vs Prev DNS</t>
  </si>
  <si>
    <t>Report ID</t>
  </si>
  <si>
    <t>AS (Acc. Suspects)</t>
  </si>
  <si>
    <t>AC (Acc. Confirmed)</t>
  </si>
  <si>
    <t>AR (Acc. Recovered)</t>
  </si>
  <si>
    <t>AD (Acc. Deaths)</t>
  </si>
  <si>
    <t>AN (Acc. Negatives)</t>
  </si>
  <si>
    <t>AH (Acc. Hospital)</t>
  </si>
  <si>
    <t>AI (Acc. ICU)</t>
  </si>
  <si>
    <t>AL (Acc. Pending Lab)</t>
  </si>
  <si>
    <t>AV (Acc. Surveillance)</t>
  </si>
  <si>
    <t>DNS (Daily New Suspects)</t>
  </si>
  <si>
    <t>DNR (Daily New Recovered)</t>
  </si>
  <si>
    <t>DND (Daily New Deaths)</t>
  </si>
  <si>
    <t>DNC (Daily New Confirmed)</t>
  </si>
  <si>
    <t>DNN (Daily New Negatives)</t>
  </si>
  <si>
    <t>DNH (Daily New Hospital)</t>
  </si>
  <si>
    <t>DNI (Daily New ICU)</t>
  </si>
  <si>
    <t>DNL (Daily New Pending Lab)</t>
  </si>
  <si>
    <t>DNV (Daily New Surveillance)</t>
  </si>
  <si>
    <t>DNS / Prev AS</t>
  </si>
  <si>
    <t>DNC / Prev AC</t>
  </si>
  <si>
    <t>DNR / Prev AR</t>
  </si>
  <si>
    <t>DND / Prev AD</t>
  </si>
  <si>
    <t>AC % AS</t>
  </si>
  <si>
    <t>AR % AC</t>
  </si>
  <si>
    <t>AD % AC</t>
  </si>
  <si>
    <t>Values</t>
  </si>
  <si>
    <t>AC % AN</t>
  </si>
  <si>
    <t>DNC % DNN</t>
  </si>
  <si>
    <t>AH % AC</t>
  </si>
  <si>
    <t>AI % AH</t>
  </si>
  <si>
    <t>AL % AS</t>
  </si>
  <si>
    <t>Timeline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</si>
  <si>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</si>
  <si>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</si>
  <si>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</si>
  <si>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</si>
  <si>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</si>
  <si>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</si>
  <si>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</si>
  <si>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</si>
  <si>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</si>
  <si>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</si>
  <si>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</si>
  <si>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</si>
  <si>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FCT0327</t>
  </si>
  <si>
    <t>FCT0328</t>
  </si>
  <si>
    <t>Actuals</t>
  </si>
  <si>
    <t>Mon</t>
  </si>
  <si>
    <t>Tue</t>
  </si>
  <si>
    <t>Wed</t>
  </si>
  <si>
    <t>Thur</t>
  </si>
  <si>
    <t>Fri</t>
  </si>
  <si>
    <t>Sat</t>
  </si>
  <si>
    <t>Sun</t>
  </si>
  <si>
    <t>Weekday % DNC</t>
  </si>
  <si>
    <t>Weekday % DNS</t>
  </si>
  <si>
    <t>Weekday % DNR</t>
  </si>
  <si>
    <t>Weekday % DND</t>
  </si>
  <si>
    <t>Weekday % DNN</t>
  </si>
  <si>
    <t>Weekday % DNH</t>
  </si>
  <si>
    <t>Weekday % DNI</t>
  </si>
  <si>
    <t>Weekday % DNL</t>
  </si>
  <si>
    <t>Weekday % DNV</t>
  </si>
  <si>
    <t>AN % AS</t>
  </si>
  <si>
    <t>FCT0329</t>
  </si>
  <si>
    <t>00-09 M</t>
  </si>
  <si>
    <t>00-09 F</t>
  </si>
  <si>
    <t>10-19 M</t>
  </si>
  <si>
    <t>10-19 F</t>
  </si>
  <si>
    <t>20-29 M</t>
  </si>
  <si>
    <t>20-29 F</t>
  </si>
  <si>
    <t>30-39 M</t>
  </si>
  <si>
    <t>30-39 F</t>
  </si>
  <si>
    <t>40-49 M</t>
  </si>
  <si>
    <t>40-49 F</t>
  </si>
  <si>
    <t>50-59 M</t>
  </si>
  <si>
    <t>50-59 F</t>
  </si>
  <si>
    <t>60-69 F</t>
  </si>
  <si>
    <t>70-79 M</t>
  </si>
  <si>
    <t>70-79 F</t>
  </si>
  <si>
    <t>80+ M</t>
  </si>
  <si>
    <t>80+ F</t>
  </si>
  <si>
    <t>60-69 M</t>
  </si>
  <si>
    <t>Total</t>
  </si>
  <si>
    <t>Fever</t>
  </si>
  <si>
    <t>Cough</t>
  </si>
  <si>
    <t>Breathing Difficulties</t>
  </si>
  <si>
    <t>Cefaleia</t>
  </si>
  <si>
    <t>Muscle Pain</t>
  </si>
  <si>
    <t>Weakness</t>
  </si>
  <si>
    <t>% Cases</t>
  </si>
  <si>
    <t>AC Norte</t>
  </si>
  <si>
    <t>AD Norte</t>
  </si>
  <si>
    <t>AR Norte</t>
  </si>
  <si>
    <t>AC Centro</t>
  </si>
  <si>
    <t>AD Centro</t>
  </si>
  <si>
    <t>AR Centro</t>
  </si>
  <si>
    <t>AC LVT</t>
  </si>
  <si>
    <t>AD LVT</t>
  </si>
  <si>
    <t>AR LVT</t>
  </si>
  <si>
    <t>AC Alentejo</t>
  </si>
  <si>
    <t>AD Alentejo</t>
  </si>
  <si>
    <t>AR Alentejo</t>
  </si>
  <si>
    <t>AC Algarve</t>
  </si>
  <si>
    <t>AD Algarve</t>
  </si>
  <si>
    <t>AR Algarve</t>
  </si>
  <si>
    <t>AC Açores</t>
  </si>
  <si>
    <t>AD Açores</t>
  </si>
  <si>
    <t>AR Açores</t>
  </si>
  <si>
    <t>AC Madeira</t>
  </si>
  <si>
    <t>AD Madeira</t>
  </si>
  <si>
    <t>AR Madeira</t>
  </si>
  <si>
    <t>Total M</t>
  </si>
  <si>
    <t>Total F</t>
  </si>
  <si>
    <t>Total 00-09</t>
  </si>
  <si>
    <t>Total 10-19</t>
  </si>
  <si>
    <t>Total 20-29</t>
  </si>
  <si>
    <t>Total 30-39</t>
  </si>
  <si>
    <t>Total 40-49</t>
  </si>
  <si>
    <t>Total 50-59</t>
  </si>
  <si>
    <t>Total 60-69</t>
  </si>
  <si>
    <t>Total 70-79</t>
  </si>
  <si>
    <t>Total 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</si>
</sst>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CCCCCC"/>
      </right>
      <top style="thin">
        <color theme="1"/>
      </top>
      <bottom style="medium">
        <color rgb="FFCCCCCC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0" borderId="0" xfId="0" applyFont="1"/>
    <xf numFmtId="164" fontId="6" fillId="0" borderId="2" xfId="0" applyNumberFormat="1" applyFont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9" fontId="6" fillId="0" borderId="1" xfId="2" applyFont="1" applyFill="1" applyBorder="1" applyAlignment="1">
      <alignment horizontal="center" wrapText="1"/>
    </xf>
    <xf numFmtId="10" fontId="6" fillId="0" borderId="1" xfId="2" applyNumberFormat="1" applyFont="1" applyFill="1" applyBorder="1" applyAlignment="1">
      <alignment horizontal="center" wrapText="1"/>
    </xf>
    <xf numFmtId="10" fontId="6" fillId="0" borderId="1" xfId="2" applyNumberFormat="1" applyFont="1" applyBorder="1" applyAlignment="1">
      <alignment horizontal="center" wrapText="1"/>
    </xf>
    <xf numFmtId="10" fontId="6" fillId="0" borderId="0" xfId="2" applyNumberFormat="1" applyFont="1" applyBorder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6" fillId="5" borderId="0" xfId="0" applyNumberFormat="1" applyFont="1" applyFill="1" applyAlignment="1">
      <alignment horizontal="center" wrapText="1"/>
    </xf>
    <xf numFmtId="43" fontId="6" fillId="0" borderId="0" xfId="1" applyFont="1" applyBorder="1" applyAlignment="1">
      <alignment horizontal="center" wrapText="1"/>
    </xf>
    <xf numFmtId="9" fontId="6" fillId="0" borderId="0" xfId="2" applyFont="1" applyBorder="1" applyAlignment="1">
      <alignment horizontal="center" wrapText="1"/>
    </xf>
    <xf numFmtId="10" fontId="6" fillId="0" borderId="0" xfId="0" applyNumberFormat="1" applyFont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9" fontId="6" fillId="0" borderId="6" xfId="0" applyNumberFormat="1" applyFont="1" applyFill="1" applyBorder="1" applyAlignment="1">
      <alignment horizontal="center" wrapText="1"/>
    </xf>
    <xf numFmtId="1" fontId="6" fillId="0" borderId="6" xfId="1" applyNumberFormat="1" applyFont="1" applyFill="1" applyBorder="1" applyAlignment="1">
      <alignment horizontal="center" wrapText="1"/>
    </xf>
    <xf numFmtId="1" fontId="6" fillId="0" borderId="6" xfId="0" applyNumberFormat="1" applyFont="1" applyFill="1" applyBorder="1" applyAlignment="1">
      <alignment horizontal="center" wrapText="1"/>
    </xf>
    <xf numFmtId="10" fontId="6" fillId="0" borderId="6" xfId="0" applyNumberFormat="1" applyFont="1" applyBorder="1" applyAlignment="1">
      <alignment horizontal="center" wrapText="1"/>
    </xf>
    <xf numFmtId="0" fontId="5" fillId="3" borderId="0" xfId="0" applyFont="1" applyFill="1"/>
    <xf numFmtId="0" fontId="5" fillId="4" borderId="0" xfId="0" applyFont="1" applyFill="1"/>
    <xf numFmtId="0" fontId="5" fillId="0" borderId="0" xfId="0" applyFont="1" applyFill="1"/>
    <xf numFmtId="1" fontId="5" fillId="0" borderId="0" xfId="1" applyNumberFormat="1" applyFont="1" applyFill="1"/>
    <xf numFmtId="1" fontId="5" fillId="0" borderId="0" xfId="0" applyNumberFormat="1" applyFont="1" applyFill="1"/>
    <xf numFmtId="0" fontId="5" fillId="5" borderId="0" xfId="0" applyFont="1" applyFill="1"/>
    <xf numFmtId="164" fontId="0" fillId="0" borderId="0" xfId="0" applyNumberFormat="1"/>
    <xf numFmtId="4" fontId="0" fillId="0" borderId="0" xfId="0" applyNumberFormat="1"/>
    <xf numFmtId="165" fontId="6" fillId="3" borderId="1" xfId="1" applyNumberFormat="1" applyFont="1" applyFill="1" applyBorder="1" applyAlignment="1">
      <alignment horizontal="center" wrapText="1"/>
    </xf>
    <xf numFmtId="165" fontId="6" fillId="3" borderId="0" xfId="1" applyNumberFormat="1" applyFont="1" applyFill="1" applyAlignment="1">
      <alignment horizontal="center" wrapText="1"/>
    </xf>
    <xf numFmtId="165" fontId="6" fillId="4" borderId="1" xfId="1" applyNumberFormat="1" applyFont="1" applyFill="1" applyBorder="1" applyAlignment="1">
      <alignment horizontal="center" wrapText="1"/>
    </xf>
    <xf numFmtId="165" fontId="6" fillId="4" borderId="3" xfId="1" applyNumberFormat="1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horizontal="center" wrapText="1"/>
    </xf>
    <xf numFmtId="165" fontId="6" fillId="4" borderId="1" xfId="0" applyNumberFormat="1" applyFont="1" applyFill="1" applyBorder="1" applyAlignment="1">
      <alignment horizontal="center" wrapText="1"/>
    </xf>
    <xf numFmtId="165" fontId="6" fillId="4" borderId="3" xfId="0" applyNumberFormat="1" applyFont="1" applyFill="1" applyBorder="1" applyAlignment="1">
      <alignment horizontal="center" wrapText="1"/>
    </xf>
    <xf numFmtId="165" fontId="0" fillId="0" borderId="0" xfId="0" applyNumberFormat="1"/>
    <xf numFmtId="164" fontId="2" fillId="0" borderId="0" xfId="0" applyNumberFormat="1" applyFont="1"/>
    <xf numFmtId="0" fontId="7" fillId="6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2" borderId="7" xfId="1" applyNumberFormat="1" applyFont="1" applyFill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7" xfId="1" applyNumberFormat="1" applyFont="1" applyBorder="1" applyAlignment="1">
      <alignment horizontal="center"/>
    </xf>
    <xf numFmtId="0" fontId="10" fillId="0" borderId="0" xfId="0" applyFont="1"/>
    <xf numFmtId="165" fontId="10" fillId="0" borderId="0" xfId="1" applyNumberFormat="1" applyFont="1"/>
    <xf numFmtId="0" fontId="8" fillId="0" borderId="8" xfId="0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1" applyNumberFormat="1" applyFont="1" applyFill="1" applyBorder="1"/>
    <xf numFmtId="165" fontId="2" fillId="0" borderId="0" xfId="1" applyNumberFormat="1" applyFont="1" applyFill="1" applyBorder="1"/>
    <xf numFmtId="164" fontId="2" fillId="0" borderId="10" xfId="0" applyNumberFormat="1" applyFont="1" applyFill="1" applyBorder="1"/>
    <xf numFmtId="0" fontId="11" fillId="0" borderId="9" xfId="0" applyFont="1" applyFill="1" applyBorder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0" fontId="10" fillId="0" borderId="0" xfId="2" applyNumberFormat="1" applyFont="1"/>
    <xf numFmtId="0" fontId="11" fillId="0" borderId="0" xfId="0" applyFont="1" applyFill="1" applyBorder="1"/>
    <xf numFmtId="0" fontId="7" fillId="6" borderId="0" xfId="0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2" applyFont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164" fontId="6" fillId="7" borderId="2" xfId="0" applyNumberFormat="1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dd/mm/yy;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4" formatCode="0.00%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Acc. Confirmed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'FCT AC'!$B$1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1-4999-8AB6-803137FB11DD}"/>
            </c:ext>
          </c:extLst>
        </c:ser>
        <c:ser>
          <c:idx val="1"/>
          <c:order val="1"/>
          <c:tx>
            <c:strRef>
              <c:f>'FCT AC'!$C$1</c:f>
              <c:strCache>
                <c:ptCount val="1"/>
                <c:pt idx="0">
                  <c:v>FCT0329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AC'!$C$2:$C$66</c:f>
              <c:numCache>
                <c:formatCode>_(* #,##0_);_(* \(#,##0\);_(* "-"??_);_(@_)</c:formatCode>
                <c:ptCount val="65"/>
                <c:pt idx="32">
                  <c:v>5962</c:v>
                </c:pt>
                <c:pt idx="33">
                  <c:v>6809.9784765581808</c:v>
                </c:pt>
                <c:pt idx="34">
                  <c:v>7708.1093843476601</c:v>
                </c:pt>
                <c:pt idx="35">
                  <c:v>8606.2402921371395</c:v>
                </c:pt>
                <c:pt idx="36">
                  <c:v>9504.3711999266179</c:v>
                </c:pt>
                <c:pt idx="37">
                  <c:v>10402.502107716096</c:v>
                </c:pt>
                <c:pt idx="38">
                  <c:v>11300.633015505577</c:v>
                </c:pt>
                <c:pt idx="39">
                  <c:v>12198.763923295057</c:v>
                </c:pt>
                <c:pt idx="40">
                  <c:v>13096.894831084535</c:v>
                </c:pt>
                <c:pt idx="41">
                  <c:v>13995.025738874014</c:v>
                </c:pt>
                <c:pt idx="42">
                  <c:v>14893.156646663494</c:v>
                </c:pt>
                <c:pt idx="43">
                  <c:v>15791.287554452974</c:v>
                </c:pt>
                <c:pt idx="44">
                  <c:v>16689.418462242451</c:v>
                </c:pt>
                <c:pt idx="45">
                  <c:v>17587.549370031931</c:v>
                </c:pt>
                <c:pt idx="46">
                  <c:v>18485.680277821411</c:v>
                </c:pt>
                <c:pt idx="47">
                  <c:v>19383.811185610892</c:v>
                </c:pt>
                <c:pt idx="48">
                  <c:v>20281.942093400368</c:v>
                </c:pt>
                <c:pt idx="49">
                  <c:v>21180.073001189849</c:v>
                </c:pt>
                <c:pt idx="50">
                  <c:v>22078.203908979329</c:v>
                </c:pt>
                <c:pt idx="51">
                  <c:v>22976.334816768809</c:v>
                </c:pt>
                <c:pt idx="52">
                  <c:v>23874.465724558286</c:v>
                </c:pt>
                <c:pt idx="53">
                  <c:v>24772.596632347766</c:v>
                </c:pt>
                <c:pt idx="54">
                  <c:v>25670.727540137246</c:v>
                </c:pt>
                <c:pt idx="55">
                  <c:v>26568.858447926727</c:v>
                </c:pt>
                <c:pt idx="56">
                  <c:v>27466.989355716203</c:v>
                </c:pt>
                <c:pt idx="57">
                  <c:v>28365.120263505683</c:v>
                </c:pt>
                <c:pt idx="58">
                  <c:v>29263.251171295164</c:v>
                </c:pt>
                <c:pt idx="59">
                  <c:v>30161.38207908464</c:v>
                </c:pt>
                <c:pt idx="60">
                  <c:v>31059.512986874121</c:v>
                </c:pt>
                <c:pt idx="61">
                  <c:v>31957.643894663601</c:v>
                </c:pt>
                <c:pt idx="62">
                  <c:v>32855.774802453081</c:v>
                </c:pt>
                <c:pt idx="63">
                  <c:v>33753.905710242558</c:v>
                </c:pt>
                <c:pt idx="64">
                  <c:v>34652.036618032034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1-4999-8AB6-803137FB11DD}"/>
            </c:ext>
          </c:extLst>
        </c:ser>
        <c:ser>
          <c:idx val="2"/>
          <c:order val="2"/>
          <c:tx>
            <c:strRef>
              <c:f>'FCT AC'!$D$1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AC'!$D$2:$D$66</c:f>
              <c:numCache>
                <c:formatCode>_(* #,##0_);_(* \(#,##0\);_(* "-"??_);_(@_)</c:formatCode>
                <c:ptCount val="65"/>
                <c:pt idx="31">
                  <c:v>5170</c:v>
                </c:pt>
                <c:pt idx="32">
                  <c:v>6044.5294341523841</c:v>
                </c:pt>
                <c:pt idx="33">
                  <c:v>6939.8691766441998</c:v>
                </c:pt>
                <c:pt idx="34">
                  <c:v>7835.2089191360155</c:v>
                </c:pt>
                <c:pt idx="35">
                  <c:v>8730.5486616278322</c:v>
                </c:pt>
                <c:pt idx="36">
                  <c:v>9625.888404119647</c:v>
                </c:pt>
                <c:pt idx="37">
                  <c:v>10521.228146611462</c:v>
                </c:pt>
                <c:pt idx="38">
                  <c:v>11416.567889103279</c:v>
                </c:pt>
                <c:pt idx="39">
                  <c:v>12311.907631595095</c:v>
                </c:pt>
                <c:pt idx="40">
                  <c:v>13207.24737408691</c:v>
                </c:pt>
                <c:pt idx="41">
                  <c:v>14102.587116578725</c:v>
                </c:pt>
                <c:pt idx="42">
                  <c:v>14997.926859070543</c:v>
                </c:pt>
                <c:pt idx="43">
                  <c:v>15893.266601562358</c:v>
                </c:pt>
                <c:pt idx="44">
                  <c:v>16788.606344054173</c:v>
                </c:pt>
                <c:pt idx="45">
                  <c:v>17683.946086545988</c:v>
                </c:pt>
                <c:pt idx="46">
                  <c:v>18579.285829037806</c:v>
                </c:pt>
                <c:pt idx="47">
                  <c:v>19474.625571529621</c:v>
                </c:pt>
                <c:pt idx="48">
                  <c:v>20369.965314021436</c:v>
                </c:pt>
                <c:pt idx="49">
                  <c:v>21265.305056513251</c:v>
                </c:pt>
                <c:pt idx="50">
                  <c:v>22160.644799005069</c:v>
                </c:pt>
                <c:pt idx="51">
                  <c:v>23055.984541496884</c:v>
                </c:pt>
                <c:pt idx="52">
                  <c:v>23951.324283988699</c:v>
                </c:pt>
                <c:pt idx="53">
                  <c:v>24846.664026480517</c:v>
                </c:pt>
                <c:pt idx="54">
                  <c:v>25742.003768972332</c:v>
                </c:pt>
                <c:pt idx="55">
                  <c:v>26637.343511464147</c:v>
                </c:pt>
                <c:pt idx="56">
                  <c:v>27532.683253955962</c:v>
                </c:pt>
                <c:pt idx="57">
                  <c:v>28428.022996447777</c:v>
                </c:pt>
                <c:pt idx="58">
                  <c:v>29323.362738939595</c:v>
                </c:pt>
                <c:pt idx="59">
                  <c:v>30218.70248143141</c:v>
                </c:pt>
                <c:pt idx="60">
                  <c:v>31114.042223923225</c:v>
                </c:pt>
                <c:pt idx="61">
                  <c:v>32009.381966415043</c:v>
                </c:pt>
                <c:pt idx="62">
                  <c:v>32904.721708906858</c:v>
                </c:pt>
                <c:pt idx="63">
                  <c:v>33800.061451398673</c:v>
                </c:pt>
                <c:pt idx="64">
                  <c:v>34695.401193890488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1-4999-8AB6-803137FB11DD}"/>
            </c:ext>
          </c:extLst>
        </c:ser>
        <c:ser>
          <c:idx val="3"/>
          <c:order val="3"/>
          <c:tx>
            <c:strRef>
              <c:f>'FCT AC'!$E$1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AC'!$E$2:$E$66</c:f>
              <c:numCache>
                <c:formatCode>_(* #,##0_);_(* \(#,##0\);_(* "-"??_);_(@_)</c:formatCode>
                <c:ptCount val="65"/>
                <c:pt idx="30">
                  <c:v>4268</c:v>
                </c:pt>
                <c:pt idx="31">
                  <c:v>4961.8969166056868</c:v>
                </c:pt>
                <c:pt idx="32">
                  <c:v>5670.1519871260143</c:v>
                </c:pt>
                <c:pt idx="33">
                  <c:v>6378.4070576463428</c:v>
                </c:pt>
                <c:pt idx="34">
                  <c:v>7086.6621281666703</c:v>
                </c:pt>
                <c:pt idx="35">
                  <c:v>7794.9171986869987</c:v>
                </c:pt>
                <c:pt idx="36">
                  <c:v>8503.1722692073272</c:v>
                </c:pt>
                <c:pt idx="37">
                  <c:v>9211.4273397276556</c:v>
                </c:pt>
                <c:pt idx="38">
                  <c:v>9919.6824102479841</c:v>
                </c:pt>
                <c:pt idx="39">
                  <c:v>10627.937480768313</c:v>
                </c:pt>
                <c:pt idx="40">
                  <c:v>11336.192551288639</c:v>
                </c:pt>
                <c:pt idx="41">
                  <c:v>12044.447621808968</c:v>
                </c:pt>
                <c:pt idx="42">
                  <c:v>12752.702692329296</c:v>
                </c:pt>
                <c:pt idx="43">
                  <c:v>13460.957762849624</c:v>
                </c:pt>
                <c:pt idx="44">
                  <c:v>14169.212833369951</c:v>
                </c:pt>
                <c:pt idx="45">
                  <c:v>14877.46790389028</c:v>
                </c:pt>
                <c:pt idx="46">
                  <c:v>15585.722974410608</c:v>
                </c:pt>
                <c:pt idx="47">
                  <c:v>16293.978044930936</c:v>
                </c:pt>
                <c:pt idx="48">
                  <c:v>17002.233115451265</c:v>
                </c:pt>
                <c:pt idx="49">
                  <c:v>17710.48818597159</c:v>
                </c:pt>
                <c:pt idx="50">
                  <c:v>18418.743256491922</c:v>
                </c:pt>
                <c:pt idx="51">
                  <c:v>19126.998327012247</c:v>
                </c:pt>
                <c:pt idx="52">
                  <c:v>19835.253397532579</c:v>
                </c:pt>
                <c:pt idx="53">
                  <c:v>20543.508468052903</c:v>
                </c:pt>
                <c:pt idx="54">
                  <c:v>21251.763538573236</c:v>
                </c:pt>
                <c:pt idx="55">
                  <c:v>21960.01860909356</c:v>
                </c:pt>
                <c:pt idx="56">
                  <c:v>22668.273679613892</c:v>
                </c:pt>
                <c:pt idx="57">
                  <c:v>23376.528750134217</c:v>
                </c:pt>
                <c:pt idx="58">
                  <c:v>24084.783820654542</c:v>
                </c:pt>
                <c:pt idx="59">
                  <c:v>24793.038891174874</c:v>
                </c:pt>
                <c:pt idx="60">
                  <c:v>25501.293961695199</c:v>
                </c:pt>
                <c:pt idx="61">
                  <c:v>26209.549032215531</c:v>
                </c:pt>
                <c:pt idx="62">
                  <c:v>26917.804102735856</c:v>
                </c:pt>
                <c:pt idx="63">
                  <c:v>27626.059173256188</c:v>
                </c:pt>
                <c:pt idx="64">
                  <c:v>28334.314243776513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1-40D3-BE3F-70419D332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46431"/>
        <c:axId val="751193135"/>
      </c:lineChart>
      <c:dateAx>
        <c:axId val="613746431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135"/>
        <c:crosses val="autoZero"/>
        <c:auto val="1"/>
        <c:lblOffset val="100"/>
        <c:baseTimeUnit val="days"/>
      </c:dateAx>
      <c:valAx>
        <c:axId val="751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Data!$V$2:$V$7</c:f>
              <c:strCache>
                <c:ptCount val="6"/>
                <c:pt idx="0">
                  <c:v> -   </c:v>
                </c:pt>
                <c:pt idx="1">
                  <c:v>104%</c:v>
                </c:pt>
                <c:pt idx="2">
                  <c:v>16%</c:v>
                </c:pt>
                <c:pt idx="3">
                  <c:v>19%</c:v>
                </c:pt>
                <c:pt idx="4">
                  <c:v>21%</c:v>
                </c:pt>
                <c:pt idx="5">
                  <c:v>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Data!$A$8:$A$35</c:f>
              <c:numCache>
                <c:formatCode>dd/mm/yy;@</c:formatCode>
                <c:ptCount val="28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</c:numCache>
            </c:numRef>
          </c:cat>
          <c:val>
            <c:numRef>
              <c:f>Data!$V$8:$V$35</c:f>
              <c:numCache>
                <c:formatCode>0%</c:formatCode>
                <c:ptCount val="28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0.44444444444444442</c:v>
                </c:pt>
                <c:pt idx="4">
                  <c:v>0.61538461538461542</c:v>
                </c:pt>
                <c:pt idx="5">
                  <c:v>0.42857142857142855</c:v>
                </c:pt>
                <c:pt idx="6">
                  <c:v>0.3</c:v>
                </c:pt>
                <c:pt idx="7">
                  <c:v>5.128205128205128E-2</c:v>
                </c:pt>
                <c:pt idx="8">
                  <c:v>0.43902439024390244</c:v>
                </c:pt>
                <c:pt idx="9">
                  <c:v>0.32203389830508472</c:v>
                </c:pt>
                <c:pt idx="10">
                  <c:v>0.4358974358974359</c:v>
                </c:pt>
                <c:pt idx="11">
                  <c:v>0.5089285714285714</c:v>
                </c:pt>
                <c:pt idx="12">
                  <c:v>0.44970414201183434</c:v>
                </c:pt>
                <c:pt idx="13">
                  <c:v>0.3510204081632653</c:v>
                </c:pt>
                <c:pt idx="14">
                  <c:v>0.35347432024169184</c:v>
                </c:pt>
                <c:pt idx="15">
                  <c:v>0.4330357142857143</c:v>
                </c:pt>
                <c:pt idx="16">
                  <c:v>0.22274143302180685</c:v>
                </c:pt>
                <c:pt idx="17">
                  <c:v>0.29936305732484075</c:v>
                </c:pt>
                <c:pt idx="18">
                  <c:v>0.25490196078431371</c:v>
                </c:pt>
                <c:pt idx="19">
                  <c:v>0.25</c:v>
                </c:pt>
                <c:pt idx="20">
                  <c:v>0.28749999999999998</c:v>
                </c:pt>
                <c:pt idx="21">
                  <c:v>0.14660194174757282</c:v>
                </c:pt>
                <c:pt idx="22">
                  <c:v>0.26799322607959358</c:v>
                </c:pt>
                <c:pt idx="23">
                  <c:v>0.18330550918196994</c:v>
                </c:pt>
                <c:pt idx="24">
                  <c:v>0.20428893905191872</c:v>
                </c:pt>
                <c:pt idx="25">
                  <c:v>0.21134020618556701</c:v>
                </c:pt>
                <c:pt idx="26">
                  <c:v>0.15319148936170213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196-916A-F42D5C9A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386799"/>
        <c:axId val="791003631"/>
      </c:lineChart>
      <c:dateAx>
        <c:axId val="79138679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3631"/>
        <c:crosses val="autoZero"/>
        <c:auto val="1"/>
        <c:lblOffset val="100"/>
        <c:baseTimeUnit val="days"/>
      </c:dateAx>
      <c:valAx>
        <c:axId val="7910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8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% of AS</a:t>
            </a:r>
            <a:r>
              <a:rPr lang="en-US" baseline="0"/>
              <a:t> (AC, AL &amp; 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AC % 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Data!$A$2:$A$35</c:f>
              <c:numCache>
                <c:formatCode>dd/mm/yy;@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Data!$AA$2:$AA$35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2.3529411764705882E-2</c:v>
                </c:pt>
                <c:pt idx="6">
                  <c:v>3.9603960396039604E-2</c:v>
                </c:pt>
                <c:pt idx="7">
                  <c:v>5.128205128205128E-2</c:v>
                </c:pt>
                <c:pt idx="8">
                  <c:v>6.1224489795918366E-2</c:v>
                </c:pt>
                <c:pt idx="9">
                  <c:v>7.18232044198895E-2</c:v>
                </c:pt>
                <c:pt idx="10">
                  <c:v>9.375E-2</c:v>
                </c:pt>
                <c:pt idx="11">
                  <c:v>0.10676156583629894</c:v>
                </c:pt>
                <c:pt idx="12">
                  <c:v>0.11504424778761062</c:v>
                </c:pt>
                <c:pt idx="13">
                  <c:v>0.10933333333333334</c:v>
                </c:pt>
                <c:pt idx="14">
                  <c:v>0.12526539278131635</c:v>
                </c:pt>
                <c:pt idx="15">
                  <c:v>0.12244897959183673</c:v>
                </c:pt>
                <c:pt idx="16">
                  <c:v>8.5626911314984705E-2</c:v>
                </c:pt>
                <c:pt idx="17">
                  <c:v>9.9178403755868547E-2</c:v>
                </c:pt>
                <c:pt idx="18">
                  <c:v>0.10788199031263761</c:v>
                </c:pt>
                <c:pt idx="19">
                  <c:v>0.11382393397524071</c:v>
                </c:pt>
                <c:pt idx="20">
                  <c:v>0.11116625310173697</c:v>
                </c:pt>
                <c:pt idx="21">
                  <c:v>0.12670219064535229</c:v>
                </c:pt>
                <c:pt idx="22">
                  <c:v>0.12951658142220757</c:v>
                </c:pt>
                <c:pt idx="23">
                  <c:v>0.13191929643041903</c:v>
                </c:pt>
                <c:pt idx="24">
                  <c:v>0.12989648873553886</c:v>
                </c:pt>
                <c:pt idx="25">
                  <c:v>0.13583496052296459</c:v>
                </c:pt>
                <c:pt idx="26">
                  <c:v>0.150650870264736</c:v>
                </c:pt>
                <c:pt idx="27">
                  <c:v>0.1526431433372108</c:v>
                </c:pt>
                <c:pt idx="28">
                  <c:v>0.14157409595840226</c:v>
                </c:pt>
                <c:pt idx="29">
                  <c:v>0.15923080379206542</c:v>
                </c:pt>
                <c:pt idx="30">
                  <c:v>0.16782666823955014</c:v>
                </c:pt>
                <c:pt idx="31">
                  <c:v>0.15784331684679734</c:v>
                </c:pt>
                <c:pt idx="32">
                  <c:v>0.1567215183218548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8-4672-B213-1EA7FF9603CC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AL % 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Data!$A$2:$A$35</c:f>
              <c:numCache>
                <c:formatCode>dd/mm/yy;@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Data!$AG$2:$AG$35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0.16574585635359115</c:v>
                </c:pt>
                <c:pt idx="10">
                  <c:v>0.20982142857142858</c:v>
                </c:pt>
                <c:pt idx="11">
                  <c:v>0.199288256227758</c:v>
                </c:pt>
                <c:pt idx="12">
                  <c:v>0.19764011799410031</c:v>
                </c:pt>
                <c:pt idx="13">
                  <c:v>0.22133333333333333</c:v>
                </c:pt>
                <c:pt idx="14">
                  <c:v>0.17622080679405519</c:v>
                </c:pt>
                <c:pt idx="15">
                  <c:v>0.2087912087912088</c:v>
                </c:pt>
                <c:pt idx="16">
                  <c:v>0.13149847094801223</c:v>
                </c:pt>
                <c:pt idx="17">
                  <c:v>7.3943661971830985E-2</c:v>
                </c:pt>
                <c:pt idx="18">
                  <c:v>0.12373403786878027</c:v>
                </c:pt>
                <c:pt idx="19">
                  <c:v>0.12861072902338377</c:v>
                </c:pt>
                <c:pt idx="20">
                  <c:v>8.0148883374689825E-2</c:v>
                </c:pt>
                <c:pt idx="21">
                  <c:v>6.9271758436944941E-2</c:v>
                </c:pt>
                <c:pt idx="22">
                  <c:v>8.0514766540174892E-2</c:v>
                </c:pt>
                <c:pt idx="23">
                  <c:v>0.10993274702534919</c:v>
                </c:pt>
                <c:pt idx="24">
                  <c:v>0.10746904810229349</c:v>
                </c:pt>
                <c:pt idx="25">
                  <c:v>9.7801171576534507E-2</c:v>
                </c:pt>
                <c:pt idx="26">
                  <c:v>0.10253034956852421</c:v>
                </c:pt>
                <c:pt idx="27">
                  <c:v>0.11522553961483779</c:v>
                </c:pt>
                <c:pt idx="28">
                  <c:v>7.5206806901441742E-2</c:v>
                </c:pt>
                <c:pt idx="29">
                  <c:v>8.9589791975558247E-2</c:v>
                </c:pt>
                <c:pt idx="30">
                  <c:v>0.15709173842947582</c:v>
                </c:pt>
                <c:pt idx="31">
                  <c:v>0.1507602124931306</c:v>
                </c:pt>
                <c:pt idx="32">
                  <c:v>0.14478734030808055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8-4672-B213-1EA7FF9603CC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AN % 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Data!$A$2:$A$35</c:f>
              <c:numCache>
                <c:formatCode>dd/mm/yy;@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Data!$AH$2:$AH$35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0.76882430647291944</c:v>
                </c:pt>
                <c:pt idx="19">
                  <c:v>0.75756533700137552</c:v>
                </c:pt>
                <c:pt idx="20">
                  <c:v>0.80868486352357316</c:v>
                </c:pt>
                <c:pt idx="21">
                  <c:v>0.80402605091770274</c:v>
                </c:pt>
                <c:pt idx="22">
                  <c:v>0.78996865203761757</c:v>
                </c:pt>
                <c:pt idx="23">
                  <c:v>0.75814795654423173</c:v>
                </c:pt>
                <c:pt idx="24">
                  <c:v>0.76263446316216765</c:v>
                </c:pt>
                <c:pt idx="25">
                  <c:v>0.76636386790050093</c:v>
                </c:pt>
                <c:pt idx="26">
                  <c:v>0.74681878016673975</c:v>
                </c:pt>
                <c:pt idx="27">
                  <c:v>0.73213131704795142</c:v>
                </c:pt>
                <c:pt idx="28">
                  <c:v>0.78321909714015603</c:v>
                </c:pt>
                <c:pt idx="29">
                  <c:v>0.7511344745473334</c:v>
                </c:pt>
                <c:pt idx="30">
                  <c:v>0.67508159333097406</c:v>
                </c:pt>
                <c:pt idx="31">
                  <c:v>0.69139647066007204</c:v>
                </c:pt>
                <c:pt idx="32">
                  <c:v>0.69849114137006463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8-4672-B213-1EA7FF96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05248"/>
        <c:axId val="405728960"/>
      </c:barChart>
      <c:dateAx>
        <c:axId val="41120524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28960"/>
        <c:crosses val="autoZero"/>
        <c:auto val="1"/>
        <c:lblOffset val="100"/>
        <c:baseTimeUnit val="days"/>
      </c:dateAx>
      <c:valAx>
        <c:axId val="4057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'FCT AC 28'!$B$1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'FCT AC 28'!$B$2:$B$66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9-41FE-8019-64022B28748C}"/>
            </c:ext>
          </c:extLst>
        </c:ser>
        <c:ser>
          <c:idx val="1"/>
          <c:order val="1"/>
          <c:tx>
            <c:strRef>
              <c:f>'FCT AC 28'!$C$1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AC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28'!$C$2:$C$66</c:f>
              <c:numCache>
                <c:formatCode>General</c:formatCode>
                <c:ptCount val="65"/>
                <c:pt idx="31" formatCode="_(* #,##0_);_(* \(#,##0\);_(* &quot;-&quot;??_);_(@_)">
                  <c:v>5170</c:v>
                </c:pt>
                <c:pt idx="32" formatCode="_(* #,##0_);_(* \(#,##0\);_(* &quot;-&quot;??_);_(@_)">
                  <c:v>6044.5294341523841</c:v>
                </c:pt>
                <c:pt idx="33" formatCode="_(* #,##0_);_(* \(#,##0\);_(* &quot;-&quot;??_);_(@_)">
                  <c:v>6939.8691766441998</c:v>
                </c:pt>
                <c:pt idx="34" formatCode="_(* #,##0_);_(* \(#,##0\);_(* &quot;-&quot;??_);_(@_)">
                  <c:v>7835.2089191360155</c:v>
                </c:pt>
                <c:pt idx="35" formatCode="_(* #,##0_);_(* \(#,##0\);_(* &quot;-&quot;??_);_(@_)">
                  <c:v>8730.5486616278322</c:v>
                </c:pt>
                <c:pt idx="36" formatCode="_(* #,##0_);_(* \(#,##0\);_(* &quot;-&quot;??_);_(@_)">
                  <c:v>9625.888404119647</c:v>
                </c:pt>
                <c:pt idx="37" formatCode="_(* #,##0_);_(* \(#,##0\);_(* &quot;-&quot;??_);_(@_)">
                  <c:v>10521.228146611462</c:v>
                </c:pt>
                <c:pt idx="38" formatCode="_(* #,##0_);_(* \(#,##0\);_(* &quot;-&quot;??_);_(@_)">
                  <c:v>11416.567889103279</c:v>
                </c:pt>
                <c:pt idx="39" formatCode="_(* #,##0_);_(* \(#,##0\);_(* &quot;-&quot;??_);_(@_)">
                  <c:v>12311.907631595095</c:v>
                </c:pt>
                <c:pt idx="40" formatCode="_(* #,##0_);_(* \(#,##0\);_(* &quot;-&quot;??_);_(@_)">
                  <c:v>13207.24737408691</c:v>
                </c:pt>
                <c:pt idx="41" formatCode="_(* #,##0_);_(* \(#,##0\);_(* &quot;-&quot;??_);_(@_)">
                  <c:v>14102.587116578725</c:v>
                </c:pt>
                <c:pt idx="42" formatCode="_(* #,##0_);_(* \(#,##0\);_(* &quot;-&quot;??_);_(@_)">
                  <c:v>14997.926859070543</c:v>
                </c:pt>
                <c:pt idx="43" formatCode="_(* #,##0_);_(* \(#,##0\);_(* &quot;-&quot;??_);_(@_)">
                  <c:v>15893.266601562358</c:v>
                </c:pt>
                <c:pt idx="44" formatCode="_(* #,##0_);_(* \(#,##0\);_(* &quot;-&quot;??_);_(@_)">
                  <c:v>16788.606344054173</c:v>
                </c:pt>
                <c:pt idx="45" formatCode="_(* #,##0_);_(* \(#,##0\);_(* &quot;-&quot;??_);_(@_)">
                  <c:v>17683.946086545988</c:v>
                </c:pt>
                <c:pt idx="46" formatCode="_(* #,##0_);_(* \(#,##0\);_(* &quot;-&quot;??_);_(@_)">
                  <c:v>18579.285829037806</c:v>
                </c:pt>
                <c:pt idx="47" formatCode="_(* #,##0_);_(* \(#,##0\);_(* &quot;-&quot;??_);_(@_)">
                  <c:v>19474.625571529621</c:v>
                </c:pt>
                <c:pt idx="48" formatCode="_(* #,##0_);_(* \(#,##0\);_(* &quot;-&quot;??_);_(@_)">
                  <c:v>20369.965314021436</c:v>
                </c:pt>
                <c:pt idx="49" formatCode="_(* #,##0_);_(* \(#,##0\);_(* &quot;-&quot;??_);_(@_)">
                  <c:v>21265.305056513251</c:v>
                </c:pt>
                <c:pt idx="50" formatCode="_(* #,##0_);_(* \(#,##0\);_(* &quot;-&quot;??_);_(@_)">
                  <c:v>22160.644799005069</c:v>
                </c:pt>
                <c:pt idx="51" formatCode="_(* #,##0_);_(* \(#,##0\);_(* &quot;-&quot;??_);_(@_)">
                  <c:v>23055.984541496884</c:v>
                </c:pt>
                <c:pt idx="52" formatCode="_(* #,##0_);_(* \(#,##0\);_(* &quot;-&quot;??_);_(@_)">
                  <c:v>23951.324283988699</c:v>
                </c:pt>
                <c:pt idx="53" formatCode="_(* #,##0_);_(* \(#,##0\);_(* &quot;-&quot;??_);_(@_)">
                  <c:v>24846.664026480517</c:v>
                </c:pt>
                <c:pt idx="54" formatCode="_(* #,##0_);_(* \(#,##0\);_(* &quot;-&quot;??_);_(@_)">
                  <c:v>25742.003768972332</c:v>
                </c:pt>
                <c:pt idx="55" formatCode="_(* #,##0_);_(* \(#,##0\);_(* &quot;-&quot;??_);_(@_)">
                  <c:v>26637.343511464147</c:v>
                </c:pt>
                <c:pt idx="56" formatCode="_(* #,##0_);_(* \(#,##0\);_(* &quot;-&quot;??_);_(@_)">
                  <c:v>27532.683253955962</c:v>
                </c:pt>
                <c:pt idx="57" formatCode="_(* #,##0_);_(* \(#,##0\);_(* &quot;-&quot;??_);_(@_)">
                  <c:v>28428.022996447777</c:v>
                </c:pt>
                <c:pt idx="58" formatCode="_(* #,##0_);_(* \(#,##0\);_(* &quot;-&quot;??_);_(@_)">
                  <c:v>29323.362738939595</c:v>
                </c:pt>
                <c:pt idx="59" formatCode="_(* #,##0_);_(* \(#,##0\);_(* &quot;-&quot;??_);_(@_)">
                  <c:v>30218.70248143141</c:v>
                </c:pt>
                <c:pt idx="60" formatCode="_(* #,##0_);_(* \(#,##0\);_(* &quot;-&quot;??_);_(@_)">
                  <c:v>31114.042223923225</c:v>
                </c:pt>
                <c:pt idx="61" formatCode="_(* #,##0_);_(* \(#,##0\);_(* &quot;-&quot;??_);_(@_)">
                  <c:v>32009.381966415043</c:v>
                </c:pt>
                <c:pt idx="62" formatCode="_(* #,##0_);_(* \(#,##0\);_(* &quot;-&quot;??_);_(@_)">
                  <c:v>32904.721708906858</c:v>
                </c:pt>
                <c:pt idx="63" formatCode="_(* #,##0_);_(* \(#,##0\);_(* &quot;-&quot;??_);_(@_)">
                  <c:v>33800.061451398673</c:v>
                </c:pt>
                <c:pt idx="64" formatCode="_(* #,##0_);_(* \(#,##0\);_(* &quot;-&quot;??_);_(@_)">
                  <c:v>34695.401193890488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9-41FE-8019-64022B28748C}"/>
            </c:ext>
          </c:extLst>
        </c:ser>
        <c:ser>
          <c:idx val="2"/>
          <c:order val="2"/>
          <c:tx>
            <c:strRef>
              <c:f>'FCT AC 28'!$D$1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AC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28'!$D$2:$D$66</c:f>
              <c:numCache>
                <c:formatCode>General</c:formatCode>
                <c:ptCount val="65"/>
                <c:pt idx="31" formatCode="_(* #,##0_);_(* \(#,##0\);_(* &quot;-&quot;??_);_(@_)">
                  <c:v>5170</c:v>
                </c:pt>
                <c:pt idx="32" formatCode="_(* #,##0_);_(* \(#,##0\);_(* &quot;-&quot;??_);_(@_)">
                  <c:v>5880.3168065350264</c:v>
                </c:pt>
                <c:pt idx="33" formatCode="_(* #,##0_);_(* \(#,##0\);_(* &quot;-&quot;??_);_(@_)">
                  <c:v>6601.8782192135523</c:v>
                </c:pt>
                <c:pt idx="34" formatCode="_(* #,##0_);_(* \(#,##0\);_(* &quot;-&quot;??_);_(@_)">
                  <c:v>7277.9591076504694</c:v>
                </c:pt>
                <c:pt idx="35" formatCode="_(* #,##0_);_(* \(#,##0\);_(* &quot;-&quot;??_);_(@_)">
                  <c:v>7918.5007969632734</c:v>
                </c:pt>
                <c:pt idx="36" formatCode="_(* #,##0_);_(* \(#,##0\);_(* &quot;-&quot;??_);_(@_)">
                  <c:v>8528.3873399873301</c:v>
                </c:pt>
                <c:pt idx="37" formatCode="_(* #,##0_);_(* \(#,##0\);_(* &quot;-&quot;??_);_(@_)">
                  <c:v>9110.7759289357018</c:v>
                </c:pt>
                <c:pt idx="38" formatCode="_(* #,##0_);_(* \(#,##0\);_(* &quot;-&quot;??_);_(@_)">
                  <c:v>9667.9656174643351</c:v>
                </c:pt>
                <c:pt idx="39" formatCode="_(* #,##0_);_(* \(#,##0\);_(* &quot;-&quot;??_);_(@_)">
                  <c:v>10201.741885492509</c:v>
                </c:pt>
                <c:pt idx="40" formatCode="_(* #,##0_);_(* \(#,##0\);_(* &quot;-&quot;??_);_(@_)">
                  <c:v>10713.548971026146</c:v>
                </c:pt>
                <c:pt idx="41" formatCode="_(* #,##0_);_(* \(#,##0\);_(* &quot;-&quot;??_);_(@_)">
                  <c:v>11204.588806582644</c:v>
                </c:pt>
                <c:pt idx="42" formatCode="_(* #,##0_);_(* \(#,##0\);_(* &quot;-&quot;??_);_(@_)">
                  <c:v>11675.883140798374</c:v>
                </c:pt>
                <c:pt idx="43" formatCode="_(* #,##0_);_(* \(#,##0\);_(* &quot;-&quot;??_);_(@_)">
                  <c:v>12128.315066457024</c:v>
                </c:pt>
                <c:pt idx="44" formatCode="_(* #,##0_);_(* \(#,##0\);_(* &quot;-&quot;??_);_(@_)">
                  <c:v>12562.65810210523</c:v>
                </c:pt>
                <c:pt idx="45" formatCode="_(* #,##0_);_(* \(#,##0\);_(* &quot;-&quot;??_);_(@_)">
                  <c:v>12979.597304399884</c:v>
                </c:pt>
                <c:pt idx="46" formatCode="_(* #,##0_);_(* \(#,##0\);_(* &quot;-&quot;??_);_(@_)">
                  <c:v>13379.745044008188</c:v>
                </c:pt>
                <c:pt idx="47" formatCode="_(* #,##0_);_(* \(#,##0\);_(* &quot;-&quot;??_);_(@_)">
                  <c:v>13763.653077365259</c:v>
                </c:pt>
                <c:pt idx="48" formatCode="_(* #,##0_);_(* \(#,##0\);_(* &quot;-&quot;??_);_(@_)">
                  <c:v>14131.821970207036</c:v>
                </c:pt>
                <c:pt idx="49" formatCode="_(* #,##0_);_(* \(#,##0\);_(* &quot;-&quot;??_);_(@_)">
                  <c:v>14484.708580246705</c:v>
                </c:pt>
                <c:pt idx="50" formatCode="_(* #,##0_);_(* \(#,##0\);_(* &quot;-&quot;??_);_(@_)">
                  <c:v>14822.732086986816</c:v>
                </c:pt>
                <c:pt idx="51" formatCode="_(* #,##0_);_(* \(#,##0\);_(* &quot;-&quot;??_);_(@_)">
                  <c:v>15146.278913861428</c:v>
                </c:pt>
                <c:pt idx="52" formatCode="_(* #,##0_);_(* \(#,##0\);_(* &quot;-&quot;??_);_(@_)">
                  <c:v>15455.706792243027</c:v>
                </c:pt>
                <c:pt idx="53" formatCode="_(* #,##0_);_(* \(#,##0\);_(* &quot;-&quot;??_);_(@_)">
                  <c:v>15751.348151153805</c:v>
                </c:pt>
                <c:pt idx="54" formatCode="_(* #,##0_);_(* \(#,##0\);_(* &quot;-&quot;??_);_(@_)">
                  <c:v>16033.512970411357</c:v>
                </c:pt>
                <c:pt idx="55" formatCode="_(* #,##0_);_(* \(#,##0\);_(* &quot;-&quot;??_);_(@_)">
                  <c:v>16302.491201947387</c:v>
                </c:pt>
                <c:pt idx="56" formatCode="_(* #,##0_);_(* \(#,##0\);_(* &quot;-&quot;??_);_(@_)">
                  <c:v>16558.554840024291</c:v>
                </c:pt>
                <c:pt idx="57" formatCode="_(* #,##0_);_(* \(#,##0\);_(* &quot;-&quot;??_);_(@_)">
                  <c:v>16801.959703324494</c:v>
                </c:pt>
                <c:pt idx="58" formatCode="_(* #,##0_);_(* \(#,##0\);_(* &quot;-&quot;??_);_(@_)">
                  <c:v>17032.946978583386</c:v>
                </c:pt>
                <c:pt idx="59" formatCode="_(* #,##0_);_(* \(#,##0\);_(* &quot;-&quot;??_);_(@_)">
                  <c:v>17251.744565338544</c:v>
                </c:pt>
                <c:pt idx="60" formatCode="_(* #,##0_);_(* \(#,##0\);_(* &quot;-&quot;??_);_(@_)">
                  <c:v>17458.568253614034</c:v>
                </c:pt>
                <c:pt idx="61" formatCode="_(* #,##0_);_(* \(#,##0\);_(* &quot;-&quot;??_);_(@_)">
                  <c:v>17653.622760341423</c:v>
                </c:pt>
                <c:pt idx="62" formatCode="_(* #,##0_);_(* \(#,##0\);_(* &quot;-&quot;??_);_(@_)">
                  <c:v>17837.102645604245</c:v>
                </c:pt>
                <c:pt idx="63" formatCode="_(* #,##0_);_(* \(#,##0\);_(* &quot;-&quot;??_);_(@_)">
                  <c:v>18009.193126064565</c:v>
                </c:pt>
                <c:pt idx="64" formatCode="_(* #,##0_);_(* \(#,##0\);_(* &quot;-&quot;??_);_(@_)">
                  <c:v>18170.070799957764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9-41FE-8019-64022B28748C}"/>
            </c:ext>
          </c:extLst>
        </c:ser>
        <c:ser>
          <c:idx val="3"/>
          <c:order val="3"/>
          <c:tx>
            <c:strRef>
              <c:f>'FCT AC 28'!$E$1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AC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28'!$E$2:$E$66</c:f>
              <c:numCache>
                <c:formatCode>General</c:formatCode>
                <c:ptCount val="65"/>
                <c:pt idx="31" formatCode="_(* #,##0_);_(* \(#,##0\);_(* &quot;-&quot;??_);_(@_)">
                  <c:v>5170</c:v>
                </c:pt>
                <c:pt idx="32" formatCode="_(* #,##0_);_(* \(#,##0\);_(* &quot;-&quot;??_);_(@_)">
                  <c:v>6208.7420617697417</c:v>
                </c:pt>
                <c:pt idx="33" formatCode="_(* #,##0_);_(* \(#,##0\);_(* &quot;-&quot;??_);_(@_)">
                  <c:v>7277.8601340748473</c:v>
                </c:pt>
                <c:pt idx="34" formatCode="_(* #,##0_);_(* \(#,##0\);_(* &quot;-&quot;??_);_(@_)">
                  <c:v>8392.4587306215617</c:v>
                </c:pt>
                <c:pt idx="35" formatCode="_(* #,##0_);_(* \(#,##0\);_(* &quot;-&quot;??_);_(@_)">
                  <c:v>9542.596526292391</c:v>
                </c:pt>
                <c:pt idx="36" formatCode="_(* #,##0_);_(* \(#,##0\);_(* &quot;-&quot;??_);_(@_)">
                  <c:v>10723.389468251964</c:v>
                </c:pt>
                <c:pt idx="37" formatCode="_(* #,##0_);_(* \(#,##0\);_(* &quot;-&quot;??_);_(@_)">
                  <c:v>11931.680364287222</c:v>
                </c:pt>
                <c:pt idx="38" formatCode="_(* #,##0_);_(* \(#,##0\);_(* &quot;-&quot;??_);_(@_)">
                  <c:v>13165.170160742222</c:v>
                </c:pt>
                <c:pt idx="39" formatCode="_(* #,##0_);_(* \(#,##0\);_(* &quot;-&quot;??_);_(@_)">
                  <c:v>14422.073377697681</c:v>
                </c:pt>
                <c:pt idx="40" formatCode="_(* #,##0_);_(* \(#,##0\);_(* &quot;-&quot;??_);_(@_)">
                  <c:v>15700.945777147674</c:v>
                </c:pt>
                <c:pt idx="41" formatCode="_(* #,##0_);_(* \(#,##0\);_(* &quot;-&quot;??_);_(@_)">
                  <c:v>17000.585426574806</c:v>
                </c:pt>
                <c:pt idx="42" formatCode="_(* #,##0_);_(* \(#,##0\);_(* &quot;-&quot;??_);_(@_)">
                  <c:v>18319.970577342712</c:v>
                </c:pt>
                <c:pt idx="43" formatCode="_(* #,##0_);_(* \(#,##0\);_(* &quot;-&quot;??_);_(@_)">
                  <c:v>19658.218136667692</c:v>
                </c:pt>
                <c:pt idx="44" formatCode="_(* #,##0_);_(* \(#,##0\);_(* &quot;-&quot;??_);_(@_)">
                  <c:v>21014.554586003116</c:v>
                </c:pt>
                <c:pt idx="45" formatCode="_(* #,##0_);_(* \(#,##0\);_(* &quot;-&quot;??_);_(@_)">
                  <c:v>22388.294868692094</c:v>
                </c:pt>
                <c:pt idx="46" formatCode="_(* #,##0_);_(* \(#,##0\);_(* &quot;-&quot;??_);_(@_)">
                  <c:v>23778.826614067424</c:v>
                </c:pt>
                <c:pt idx="47" formatCode="_(* #,##0_);_(* \(#,##0\);_(* &quot;-&quot;??_);_(@_)">
                  <c:v>25185.598065693983</c:v>
                </c:pt>
                <c:pt idx="48" formatCode="_(* #,##0_);_(* \(#,##0\);_(* &quot;-&quot;??_);_(@_)">
                  <c:v>26608.108657835837</c:v>
                </c:pt>
                <c:pt idx="49" formatCode="_(* #,##0_);_(* \(#,##0\);_(* &quot;-&quot;??_);_(@_)">
                  <c:v>28045.901532779797</c:v>
                </c:pt>
                <c:pt idx="50" formatCode="_(* #,##0_);_(* \(#,##0\);_(* &quot;-&quot;??_);_(@_)">
                  <c:v>29498.557511023322</c:v>
                </c:pt>
                <c:pt idx="51" formatCode="_(* #,##0_);_(* \(#,##0\);_(* &quot;-&quot;??_);_(@_)">
                  <c:v>30965.69016913234</c:v>
                </c:pt>
                <c:pt idx="52" formatCode="_(* #,##0_);_(* \(#,##0\);_(* &quot;-&quot;??_);_(@_)">
                  <c:v>32446.941775734369</c:v>
                </c:pt>
                <c:pt idx="53" formatCode="_(* #,##0_);_(* \(#,##0\);_(* &quot;-&quot;??_);_(@_)">
                  <c:v>33941.97990180723</c:v>
                </c:pt>
                <c:pt idx="54" formatCode="_(* #,##0_);_(* \(#,##0\);_(* &quot;-&quot;??_);_(@_)">
                  <c:v>35450.494567533307</c:v>
                </c:pt>
                <c:pt idx="55" formatCode="_(* #,##0_);_(* \(#,##0\);_(* &quot;-&quot;??_);_(@_)">
                  <c:v>36972.195820980909</c:v>
                </c:pt>
                <c:pt idx="56" formatCode="_(* #,##0_);_(* \(#,##0\);_(* &quot;-&quot;??_);_(@_)">
                  <c:v>38506.811667887632</c:v>
                </c:pt>
                <c:pt idx="57" formatCode="_(* #,##0_);_(* \(#,##0\);_(* &quot;-&quot;??_);_(@_)">
                  <c:v>40054.08628957106</c:v>
                </c:pt>
                <c:pt idx="58" formatCode="_(* #,##0_);_(* \(#,##0\);_(* &quot;-&quot;??_);_(@_)">
                  <c:v>41613.778499295804</c:v>
                </c:pt>
                <c:pt idx="59" formatCode="_(* #,##0_);_(* \(#,##0\);_(* &quot;-&quot;??_);_(@_)">
                  <c:v>43185.660397524276</c:v>
                </c:pt>
                <c:pt idx="60" formatCode="_(* #,##0_);_(* \(#,##0\);_(* &quot;-&quot;??_);_(@_)">
                  <c:v>44769.516194232419</c:v>
                </c:pt>
                <c:pt idx="61" formatCode="_(* #,##0_);_(* \(#,##0\);_(* &quot;-&quot;??_);_(@_)">
                  <c:v>46365.141172488664</c:v>
                </c:pt>
                <c:pt idx="62" formatCode="_(* #,##0_);_(* \(#,##0\);_(* &quot;-&quot;??_);_(@_)">
                  <c:v>47972.340772209471</c:v>
                </c:pt>
                <c:pt idx="63" formatCode="_(* #,##0_);_(* \(#,##0\);_(* &quot;-&quot;??_);_(@_)">
                  <c:v>49590.929776732781</c:v>
                </c:pt>
                <c:pt idx="64" formatCode="_(* #,##0_);_(* \(#,##0\);_(* &quot;-&quot;??_);_(@_)">
                  <c:v>51220.731587823211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9-41FE-8019-64022B287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13055"/>
        <c:axId val="1079047295"/>
      </c:lineChart>
      <c:catAx>
        <c:axId val="9860130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47295"/>
        <c:crosses val="autoZero"/>
        <c:auto val="1"/>
        <c:lblAlgn val="ctr"/>
        <c:lblOffset val="100"/>
        <c:noMultiLvlLbl val="0"/>
      </c:catAx>
      <c:valAx>
        <c:axId val="10790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1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'FCT AC 29'!$B$1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'FCT AC 29'!$B$2:$B$66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A-4E45-9703-4E2CCDA12885}"/>
            </c:ext>
          </c:extLst>
        </c:ser>
        <c:ser>
          <c:idx val="1"/>
          <c:order val="1"/>
          <c:tx>
            <c:strRef>
              <c:f>'FCT AC 29'!$C$1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AC 29'!$A$2:$A$66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29'!$C$2:$C$66</c:f>
              <c:numCache>
                <c:formatCode>General</c:formatCode>
                <c:ptCount val="65"/>
                <c:pt idx="32" formatCode="_(* #,##0_);_(* \(#,##0\);_(* &quot;-&quot;??_);_(@_)">
                  <c:v>5962</c:v>
                </c:pt>
                <c:pt idx="33" formatCode="_(* #,##0_);_(* \(#,##0\);_(* &quot;-&quot;??_);_(@_)">
                  <c:v>6809.9784765581808</c:v>
                </c:pt>
                <c:pt idx="34" formatCode="_(* #,##0_);_(* \(#,##0\);_(* &quot;-&quot;??_);_(@_)">
                  <c:v>7708.1093843476601</c:v>
                </c:pt>
                <c:pt idx="35" formatCode="_(* #,##0_);_(* \(#,##0\);_(* &quot;-&quot;??_);_(@_)">
                  <c:v>8606.2402921371395</c:v>
                </c:pt>
                <c:pt idx="36" formatCode="_(* #,##0_);_(* \(#,##0\);_(* &quot;-&quot;??_);_(@_)">
                  <c:v>9504.3711999266179</c:v>
                </c:pt>
                <c:pt idx="37" formatCode="_(* #,##0_);_(* \(#,##0\);_(* &quot;-&quot;??_);_(@_)">
                  <c:v>10402.502107716096</c:v>
                </c:pt>
                <c:pt idx="38" formatCode="_(* #,##0_);_(* \(#,##0\);_(* &quot;-&quot;??_);_(@_)">
                  <c:v>11300.633015505577</c:v>
                </c:pt>
                <c:pt idx="39" formatCode="_(* #,##0_);_(* \(#,##0\);_(* &quot;-&quot;??_);_(@_)">
                  <c:v>12198.763923295057</c:v>
                </c:pt>
                <c:pt idx="40" formatCode="_(* #,##0_);_(* \(#,##0\);_(* &quot;-&quot;??_);_(@_)">
                  <c:v>13096.894831084535</c:v>
                </c:pt>
                <c:pt idx="41" formatCode="_(* #,##0_);_(* \(#,##0\);_(* &quot;-&quot;??_);_(@_)">
                  <c:v>13995.025738874014</c:v>
                </c:pt>
                <c:pt idx="42" formatCode="_(* #,##0_);_(* \(#,##0\);_(* &quot;-&quot;??_);_(@_)">
                  <c:v>14893.156646663494</c:v>
                </c:pt>
                <c:pt idx="43" formatCode="_(* #,##0_);_(* \(#,##0\);_(* &quot;-&quot;??_);_(@_)">
                  <c:v>15791.287554452974</c:v>
                </c:pt>
                <c:pt idx="44" formatCode="_(* #,##0_);_(* \(#,##0\);_(* &quot;-&quot;??_);_(@_)">
                  <c:v>16689.418462242451</c:v>
                </c:pt>
                <c:pt idx="45" formatCode="_(* #,##0_);_(* \(#,##0\);_(* &quot;-&quot;??_);_(@_)">
                  <c:v>17587.549370031931</c:v>
                </c:pt>
                <c:pt idx="46" formatCode="_(* #,##0_);_(* \(#,##0\);_(* &quot;-&quot;??_);_(@_)">
                  <c:v>18485.680277821411</c:v>
                </c:pt>
                <c:pt idx="47" formatCode="_(* #,##0_);_(* \(#,##0\);_(* &quot;-&quot;??_);_(@_)">
                  <c:v>19383.811185610892</c:v>
                </c:pt>
                <c:pt idx="48" formatCode="_(* #,##0_);_(* \(#,##0\);_(* &quot;-&quot;??_);_(@_)">
                  <c:v>20281.942093400368</c:v>
                </c:pt>
                <c:pt idx="49" formatCode="_(* #,##0_);_(* \(#,##0\);_(* &quot;-&quot;??_);_(@_)">
                  <c:v>21180.073001189849</c:v>
                </c:pt>
                <c:pt idx="50" formatCode="_(* #,##0_);_(* \(#,##0\);_(* &quot;-&quot;??_);_(@_)">
                  <c:v>22078.203908979329</c:v>
                </c:pt>
                <c:pt idx="51" formatCode="_(* #,##0_);_(* \(#,##0\);_(* &quot;-&quot;??_);_(@_)">
                  <c:v>22976.334816768809</c:v>
                </c:pt>
                <c:pt idx="52" formatCode="_(* #,##0_);_(* \(#,##0\);_(* &quot;-&quot;??_);_(@_)">
                  <c:v>23874.465724558286</c:v>
                </c:pt>
                <c:pt idx="53" formatCode="_(* #,##0_);_(* \(#,##0\);_(* &quot;-&quot;??_);_(@_)">
                  <c:v>24772.596632347766</c:v>
                </c:pt>
                <c:pt idx="54" formatCode="_(* #,##0_);_(* \(#,##0\);_(* &quot;-&quot;??_);_(@_)">
                  <c:v>25670.727540137246</c:v>
                </c:pt>
                <c:pt idx="55" formatCode="_(* #,##0_);_(* \(#,##0\);_(* &quot;-&quot;??_);_(@_)">
                  <c:v>26568.858447926727</c:v>
                </c:pt>
                <c:pt idx="56" formatCode="_(* #,##0_);_(* \(#,##0\);_(* &quot;-&quot;??_);_(@_)">
                  <c:v>27466.989355716203</c:v>
                </c:pt>
                <c:pt idx="57" formatCode="_(* #,##0_);_(* \(#,##0\);_(* &quot;-&quot;??_);_(@_)">
                  <c:v>28365.120263505683</c:v>
                </c:pt>
                <c:pt idx="58" formatCode="_(* #,##0_);_(* \(#,##0\);_(* &quot;-&quot;??_);_(@_)">
                  <c:v>29263.251171295164</c:v>
                </c:pt>
                <c:pt idx="59" formatCode="_(* #,##0_);_(* \(#,##0\);_(* &quot;-&quot;??_);_(@_)">
                  <c:v>30161.38207908464</c:v>
                </c:pt>
                <c:pt idx="60" formatCode="_(* #,##0_);_(* \(#,##0\);_(* &quot;-&quot;??_);_(@_)">
                  <c:v>31059.512986874121</c:v>
                </c:pt>
                <c:pt idx="61" formatCode="_(* #,##0_);_(* \(#,##0\);_(* &quot;-&quot;??_);_(@_)">
                  <c:v>31957.643894663601</c:v>
                </c:pt>
                <c:pt idx="62" formatCode="_(* #,##0_);_(* \(#,##0\);_(* &quot;-&quot;??_);_(@_)">
                  <c:v>32855.774802453081</c:v>
                </c:pt>
                <c:pt idx="63" formatCode="_(* #,##0_);_(* \(#,##0\);_(* &quot;-&quot;??_);_(@_)">
                  <c:v>33753.905710242558</c:v>
                </c:pt>
                <c:pt idx="64" formatCode="_(* #,##0_);_(* \(#,##0\);_(* &quot;-&quot;??_);_(@_)">
                  <c:v>34652.036618032034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A-4E45-9703-4E2CCDA12885}"/>
            </c:ext>
          </c:extLst>
        </c:ser>
        <c:ser>
          <c:idx val="2"/>
          <c:order val="2"/>
          <c:tx>
            <c:strRef>
              <c:f>'FCT AC 29'!$D$1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AC 29'!$A$2:$A$66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29'!$D$2:$D$66</c:f>
              <c:numCache>
                <c:formatCode>General</c:formatCode>
                <c:ptCount val="65"/>
                <c:pt idx="32" formatCode="_(* #,##0_);_(* \(#,##0\);_(* &quot;-&quot;??_);_(@_)">
                  <c:v>5962</c:v>
                </c:pt>
                <c:pt idx="33" formatCode="_(* #,##0_);_(* \(#,##0\);_(* &quot;-&quot;??_);_(@_)">
                  <c:v>6608.63783325843</c:v>
                </c:pt>
                <c:pt idx="34" formatCode="_(* #,##0_);_(* \(#,##0\);_(* &quot;-&quot;??_);_(@_)">
                  <c:v>7423.5130496602978</c:v>
                </c:pt>
                <c:pt idx="35" formatCode="_(* #,##0_);_(* \(#,##0\);_(* &quot;-&quot;??_);_(@_)">
                  <c:v>8191.556520460892</c:v>
                </c:pt>
                <c:pt idx="36" formatCode="_(* #,##0_);_(* \(#,##0\);_(* &quot;-&quot;??_);_(@_)">
                  <c:v>8926.7651427770852</c:v>
                </c:pt>
                <c:pt idx="37" formatCode="_(* #,##0_);_(* \(#,##0\);_(* &quot;-&quot;??_);_(@_)">
                  <c:v>9636.8772085003966</c:v>
                </c:pt>
                <c:pt idx="38" formatCode="_(* #,##0_);_(* \(#,##0\);_(* &quot;-&quot;??_);_(@_)">
                  <c:v>10326.051643884764</c:v>
                </c:pt>
                <c:pt idx="39" formatCode="_(* #,##0_);_(* \(#,##0\);_(* &quot;-&quot;??_);_(@_)">
                  <c:v>10996.807651054427</c:v>
                </c:pt>
                <c:pt idx="40" formatCode="_(* #,##0_);_(* \(#,##0\);_(* &quot;-&quot;??_);_(@_)">
                  <c:v>11650.852089671645</c:v>
                </c:pt>
                <c:pt idx="41" formatCode="_(* #,##0_);_(* \(#,##0\);_(* &quot;-&quot;??_);_(@_)">
                  <c:v>12289.441067553867</c:v>
                </c:pt>
                <c:pt idx="42" formatCode="_(* #,##0_);_(* \(#,##0\);_(* &quot;-&quot;??_);_(@_)">
                  <c:v>12913.55433917453</c:v>
                </c:pt>
                <c:pt idx="43" formatCode="_(* #,##0_);_(* \(#,##0\);_(* &quot;-&quot;??_);_(@_)">
                  <c:v>13523.988210166466</c:v>
                </c:pt>
                <c:pt idx="44" formatCode="_(* #,##0_);_(* \(#,##0\);_(* &quot;-&quot;??_);_(@_)">
                  <c:v>14121.409473611286</c:v>
                </c:pt>
                <c:pt idx="45" formatCode="_(* #,##0_);_(* \(#,##0\);_(* &quot;-&quot;??_);_(@_)">
                  <c:v>14706.389035137339</c:v>
                </c:pt>
                <c:pt idx="46" formatCode="_(* #,##0_);_(* \(#,##0\);_(* &quot;-&quot;??_);_(@_)">
                  <c:v>15279.424131171645</c:v>
                </c:pt>
                <c:pt idx="47" formatCode="_(* #,##0_);_(* \(#,##0\);_(* &quot;-&quot;??_);_(@_)">
                  <c:v>15840.953722254806</c:v>
                </c:pt>
                <c:pt idx="48" formatCode="_(* #,##0_);_(* \(#,##0\);_(* &quot;-&quot;??_);_(@_)">
                  <c:v>16391.369578866746</c:v>
                </c:pt>
                <c:pt idx="49" formatCode="_(* #,##0_);_(* \(#,##0\);_(* &quot;-&quot;??_);_(@_)">
                  <c:v>16931.024523497694</c:v>
                </c:pt>
                <c:pt idx="50" formatCode="_(* #,##0_);_(* \(#,##0\);_(* &quot;-&quot;??_);_(@_)">
                  <c:v>17460.238722585258</c:v>
                </c:pt>
                <c:pt idx="51" formatCode="_(* #,##0_);_(* \(#,##0\);_(* &quot;-&quot;??_);_(@_)">
                  <c:v>17979.304597324241</c:v>
                </c:pt>
                <c:pt idx="52" formatCode="_(* #,##0_);_(* \(#,##0\);_(* &quot;-&quot;??_);_(@_)">
                  <c:v>18488.490729076886</c:v>
                </c:pt>
                <c:pt idx="53" formatCode="_(* #,##0_);_(* \(#,##0\);_(* &quot;-&quot;??_);_(@_)">
                  <c:v>18988.045015432024</c:v>
                </c:pt>
                <c:pt idx="54" formatCode="_(* #,##0_);_(* \(#,##0\);_(* &quot;-&quot;??_);_(@_)">
                  <c:v>19478.197256257627</c:v>
                </c:pt>
                <c:pt idx="55" formatCode="_(* #,##0_);_(* \(#,##0\);_(* &quot;-&quot;??_);_(@_)">
                  <c:v>19959.161298415951</c:v>
                </c:pt>
                <c:pt idx="56" formatCode="_(* #,##0_);_(* \(#,##0\);_(* &quot;-&quot;??_);_(@_)">
                  <c:v>20431.136833419732</c:v>
                </c:pt>
                <c:pt idx="57" formatCode="_(* #,##0_);_(* \(#,##0\);_(* &quot;-&quot;??_);_(@_)">
                  <c:v>20894.310918406631</c:v>
                </c:pt>
                <c:pt idx="58" formatCode="_(* #,##0_);_(* \(#,##0\);_(* &quot;-&quot;??_);_(@_)">
                  <c:v>21348.859273841445</c:v>
                </c:pt>
                <c:pt idx="59" formatCode="_(* #,##0_);_(* \(#,##0\);_(* &quot;-&quot;??_);_(@_)">
                  <c:v>21794.947399080265</c:v>
                </c:pt>
                <c:pt idx="60" formatCode="_(* #,##0_);_(* \(#,##0\);_(* &quot;-&quot;??_);_(@_)">
                  <c:v>22232.731537897111</c:v>
                </c:pt>
                <c:pt idx="61" formatCode="_(* #,##0_);_(* \(#,##0\);_(* &quot;-&quot;??_);_(@_)">
                  <c:v>22662.359519323356</c:v>
                </c:pt>
                <c:pt idx="62" formatCode="_(* #,##0_);_(* \(#,##0\);_(* &quot;-&quot;??_);_(@_)">
                  <c:v>23083.971494036137</c:v>
                </c:pt>
                <c:pt idx="63" formatCode="_(* #,##0_);_(* \(#,##0\);_(* &quot;-&quot;??_);_(@_)">
                  <c:v>23497.70058260762</c:v>
                </c:pt>
                <c:pt idx="64" formatCode="_(* #,##0_);_(* \(#,##0\);_(* &quot;-&quot;??_);_(@_)">
                  <c:v>23903.673448881855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A-4E45-9703-4E2CCDA12885}"/>
            </c:ext>
          </c:extLst>
        </c:ser>
        <c:ser>
          <c:idx val="3"/>
          <c:order val="3"/>
          <c:tx>
            <c:strRef>
              <c:f>'FCT AC 29'!$E$1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AC 29'!$A$2:$A$66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29'!$E$2:$E$66</c:f>
              <c:numCache>
                <c:formatCode>General</c:formatCode>
                <c:ptCount val="65"/>
                <c:pt idx="32" formatCode="_(* #,##0_);_(* \(#,##0\);_(* &quot;-&quot;??_);_(@_)">
                  <c:v>5962</c:v>
                </c:pt>
                <c:pt idx="33" formatCode="_(* #,##0_);_(* \(#,##0\);_(* &quot;-&quot;??_);_(@_)">
                  <c:v>7011.3191198579316</c:v>
                </c:pt>
                <c:pt idx="34" formatCode="_(* #,##0_);_(* \(#,##0\);_(* &quot;-&quot;??_);_(@_)">
                  <c:v>7992.7057190350224</c:v>
                </c:pt>
                <c:pt idx="35" formatCode="_(* #,##0_);_(* \(#,##0\);_(* &quot;-&quot;??_);_(@_)">
                  <c:v>9020.924063813387</c:v>
                </c:pt>
                <c:pt idx="36" formatCode="_(* #,##0_);_(* \(#,##0\);_(* &quot;-&quot;??_);_(@_)">
                  <c:v>10081.977257076151</c:v>
                </c:pt>
                <c:pt idx="37" formatCode="_(* #,##0_);_(* \(#,##0\);_(* &quot;-&quot;??_);_(@_)">
                  <c:v>11168.127006931796</c:v>
                </c:pt>
                <c:pt idx="38" formatCode="_(* #,##0_);_(* \(#,##0\);_(* &quot;-&quot;??_);_(@_)">
                  <c:v>12275.214387126389</c:v>
                </c:pt>
                <c:pt idx="39" formatCode="_(* #,##0_);_(* \(#,##0\);_(* &quot;-&quot;??_);_(@_)">
                  <c:v>13400.720195535687</c:v>
                </c:pt>
                <c:pt idx="40" formatCode="_(* #,##0_);_(* \(#,##0\);_(* &quot;-&quot;??_);_(@_)">
                  <c:v>14542.937572497425</c:v>
                </c:pt>
                <c:pt idx="41" formatCode="_(* #,##0_);_(* \(#,##0\);_(* &quot;-&quot;??_);_(@_)">
                  <c:v>15700.61041019416</c:v>
                </c:pt>
                <c:pt idx="42" formatCode="_(* #,##0_);_(* \(#,##0\);_(* &quot;-&quot;??_);_(@_)">
                  <c:v>16872.758954152458</c:v>
                </c:pt>
                <c:pt idx="43" formatCode="_(* #,##0_);_(* \(#,##0\);_(* &quot;-&quot;??_);_(@_)">
                  <c:v>18058.586898739482</c:v>
                </c:pt>
                <c:pt idx="44" formatCode="_(* #,##0_);_(* \(#,##0\);_(* &quot;-&quot;??_);_(@_)">
                  <c:v>19257.427450873616</c:v>
                </c:pt>
                <c:pt idx="45" formatCode="_(* #,##0_);_(* \(#,##0\);_(* &quot;-&quot;??_);_(@_)">
                  <c:v>20468.709704926525</c:v>
                </c:pt>
                <c:pt idx="46" formatCode="_(* #,##0_);_(* \(#,##0\);_(* &quot;-&quot;??_);_(@_)">
                  <c:v>21691.936424471176</c:v>
                </c:pt>
                <c:pt idx="47" formatCode="_(* #,##0_);_(* \(#,##0\);_(* &quot;-&quot;??_);_(@_)">
                  <c:v>22926.668648966977</c:v>
                </c:pt>
                <c:pt idx="48" formatCode="_(* #,##0_);_(* \(#,##0\);_(* &quot;-&quot;??_);_(@_)">
                  <c:v>24172.51460793399</c:v>
                </c:pt>
                <c:pt idx="49" formatCode="_(* #,##0_);_(* \(#,##0\);_(* &quot;-&quot;??_);_(@_)">
                  <c:v>25429.121478882003</c:v>
                </c:pt>
                <c:pt idx="50" formatCode="_(* #,##0_);_(* \(#,##0\);_(* &quot;-&quot;??_);_(@_)">
                  <c:v>26696.1690953734</c:v>
                </c:pt>
                <c:pt idx="51" formatCode="_(* #,##0_);_(* \(#,##0\);_(* &quot;-&quot;??_);_(@_)">
                  <c:v>27973.365036213378</c:v>
                </c:pt>
                <c:pt idx="52" formatCode="_(* #,##0_);_(* \(#,##0\);_(* &quot;-&quot;??_);_(@_)">
                  <c:v>29260.440720039685</c:v>
                </c:pt>
                <c:pt idx="53" formatCode="_(* #,##0_);_(* \(#,##0\);_(* &quot;-&quot;??_);_(@_)">
                  <c:v>30557.148249263508</c:v>
                </c:pt>
                <c:pt idx="54" formatCode="_(* #,##0_);_(* \(#,##0\);_(* &quot;-&quot;??_);_(@_)">
                  <c:v>31863.257824016866</c:v>
                </c:pt>
                <c:pt idx="55" formatCode="_(* #,##0_);_(* \(#,##0\);_(* &quot;-&quot;??_);_(@_)">
                  <c:v>33178.555597437502</c:v>
                </c:pt>
                <c:pt idx="56" formatCode="_(* #,##0_);_(* \(#,##0\);_(* &quot;-&quot;??_);_(@_)">
                  <c:v>34502.841878012674</c:v>
                </c:pt>
                <c:pt idx="57" formatCode="_(* #,##0_);_(* \(#,##0\);_(* &quot;-&quot;??_);_(@_)">
                  <c:v>35835.92960860474</c:v>
                </c:pt>
                <c:pt idx="58" formatCode="_(* #,##0_);_(* \(#,##0\);_(* &quot;-&quot;??_);_(@_)">
                  <c:v>37177.643068748883</c:v>
                </c:pt>
                <c:pt idx="59" formatCode="_(* #,##0_);_(* \(#,##0\);_(* &quot;-&quot;??_);_(@_)">
                  <c:v>38527.816759089015</c:v>
                </c:pt>
                <c:pt idx="60" formatCode="_(* #,##0_);_(* \(#,##0\);_(* &quot;-&quot;??_);_(@_)">
                  <c:v>39886.29443585113</c:v>
                </c:pt>
                <c:pt idx="61" formatCode="_(* #,##0_);_(* \(#,##0\);_(* &quot;-&quot;??_);_(@_)">
                  <c:v>41252.928270003846</c:v>
                </c:pt>
                <c:pt idx="62" formatCode="_(* #,##0_);_(* \(#,##0\);_(* &quot;-&quot;??_);_(@_)">
                  <c:v>42627.578110870025</c:v>
                </c:pt>
                <c:pt idx="63" formatCode="_(* #,##0_);_(* \(#,##0\);_(* &quot;-&quot;??_);_(@_)">
                  <c:v>44010.110837877495</c:v>
                </c:pt>
                <c:pt idx="64" formatCode="_(* #,##0_);_(* \(#,##0\);_(* &quot;-&quot;??_);_(@_)">
                  <c:v>45400.399787182214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BA-4E45-9703-4E2CCDA12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470879"/>
        <c:axId val="791012367"/>
      </c:lineChart>
      <c:catAx>
        <c:axId val="7874708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12367"/>
        <c:crosses val="autoZero"/>
        <c:auto val="1"/>
        <c:lblAlgn val="ctr"/>
        <c:lblOffset val="100"/>
        <c:noMultiLvlLbl val="0"/>
      </c:catAx>
      <c:valAx>
        <c:axId val="7910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7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Daily</a:t>
            </a:r>
            <a:r>
              <a:rPr lang="en-US" baseline="0"/>
              <a:t> New Confirmed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'FCT DNC'!$B$1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0-4D3F-81B8-922E321DE222}"/>
            </c:ext>
          </c:extLst>
        </c:ser>
        <c:ser>
          <c:idx val="1"/>
          <c:order val="1"/>
          <c:tx>
            <c:strRef>
              <c:f>'FCT DNC'!$C$1</c:f>
              <c:strCache>
                <c:ptCount val="1"/>
                <c:pt idx="0">
                  <c:v>FCT0329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DNC'!$C$2:$C$66</c:f>
              <c:numCache>
                <c:formatCode>_(* #,##0_);_(* \(#,##0\);_(* "-"??_);_(@_)</c:formatCode>
                <c:ptCount val="65"/>
                <c:pt idx="32">
                  <c:v>792</c:v>
                </c:pt>
                <c:pt idx="33">
                  <c:v>918.73466937219087</c:v>
                </c:pt>
                <c:pt idx="34">
                  <c:v>1018.2671096525905</c:v>
                </c:pt>
                <c:pt idx="35">
                  <c:v>1117.79954993299</c:v>
                </c:pt>
                <c:pt idx="36">
                  <c:v>1217.3319902133896</c:v>
                </c:pt>
                <c:pt idx="37">
                  <c:v>1316.8644304937893</c:v>
                </c:pt>
                <c:pt idx="38">
                  <c:v>1416.3968707741888</c:v>
                </c:pt>
                <c:pt idx="39">
                  <c:v>1515.9293110545887</c:v>
                </c:pt>
                <c:pt idx="40">
                  <c:v>1615.4617513349881</c:v>
                </c:pt>
                <c:pt idx="41">
                  <c:v>1714.9941916153875</c:v>
                </c:pt>
                <c:pt idx="42">
                  <c:v>1814.5266318957874</c:v>
                </c:pt>
                <c:pt idx="43">
                  <c:v>1914.0590721761869</c:v>
                </c:pt>
                <c:pt idx="44">
                  <c:v>2013.5915124565863</c:v>
                </c:pt>
                <c:pt idx="45">
                  <c:v>2113.1239527369862</c:v>
                </c:pt>
                <c:pt idx="46">
                  <c:v>2212.6563930173857</c:v>
                </c:pt>
                <c:pt idx="47">
                  <c:v>2312.1888332977851</c:v>
                </c:pt>
                <c:pt idx="48">
                  <c:v>2411.721273578185</c:v>
                </c:pt>
                <c:pt idx="49">
                  <c:v>2511.2537138585844</c:v>
                </c:pt>
                <c:pt idx="50">
                  <c:v>2610.7861541389839</c:v>
                </c:pt>
                <c:pt idx="51">
                  <c:v>2710.3185944193838</c:v>
                </c:pt>
                <c:pt idx="52">
                  <c:v>2809.8510346997832</c:v>
                </c:pt>
                <c:pt idx="53">
                  <c:v>2909.3834749801827</c:v>
                </c:pt>
                <c:pt idx="54">
                  <c:v>3008.9159152605826</c:v>
                </c:pt>
                <c:pt idx="55">
                  <c:v>3108.448355540982</c:v>
                </c:pt>
                <c:pt idx="56">
                  <c:v>3207.9807958213814</c:v>
                </c:pt>
                <c:pt idx="57">
                  <c:v>3307.5132361017813</c:v>
                </c:pt>
                <c:pt idx="58">
                  <c:v>3407.0456763821808</c:v>
                </c:pt>
                <c:pt idx="59">
                  <c:v>3506.5781166625802</c:v>
                </c:pt>
                <c:pt idx="60">
                  <c:v>3606.1105569429801</c:v>
                </c:pt>
                <c:pt idx="61">
                  <c:v>3705.6429972233796</c:v>
                </c:pt>
                <c:pt idx="62">
                  <c:v>3805.175437503779</c:v>
                </c:pt>
                <c:pt idx="63">
                  <c:v>3904.7078777841789</c:v>
                </c:pt>
                <c:pt idx="64">
                  <c:v>4004.2403180645783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0-4D3F-81B8-922E321DE222}"/>
            </c:ext>
          </c:extLst>
        </c:ser>
        <c:ser>
          <c:idx val="2"/>
          <c:order val="2"/>
          <c:tx>
            <c:strRef>
              <c:f>'FCT DNC'!$D$1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DNC'!$D$2:$D$66</c:f>
              <c:numCache>
                <c:formatCode>_(* #,##0_);_(* \(#,##0\);_(* "-"??_);_(@_)</c:formatCode>
                <c:ptCount val="65"/>
                <c:pt idx="31">
                  <c:v>902</c:v>
                </c:pt>
                <c:pt idx="32">
                  <c:v>1019.0673635534285</c:v>
                </c:pt>
                <c:pt idx="33">
                  <c:v>1170.2353978857382</c:v>
                </c:pt>
                <c:pt idx="34">
                  <c:v>1321.4034322180478</c:v>
                </c:pt>
                <c:pt idx="35">
                  <c:v>1472.5714665503574</c:v>
                </c:pt>
                <c:pt idx="36">
                  <c:v>1623.739500882667</c:v>
                </c:pt>
                <c:pt idx="37">
                  <c:v>1774.9075352149766</c:v>
                </c:pt>
                <c:pt idx="38">
                  <c:v>1926.0755695472862</c:v>
                </c:pt>
                <c:pt idx="39">
                  <c:v>2077.2436038795959</c:v>
                </c:pt>
                <c:pt idx="40">
                  <c:v>2228.4116382119055</c:v>
                </c:pt>
                <c:pt idx="41">
                  <c:v>2379.5796725442151</c:v>
                </c:pt>
                <c:pt idx="42">
                  <c:v>2530.7477068765247</c:v>
                </c:pt>
                <c:pt idx="43">
                  <c:v>2681.9157412088343</c:v>
                </c:pt>
                <c:pt idx="44">
                  <c:v>2833.083775541144</c:v>
                </c:pt>
                <c:pt idx="45">
                  <c:v>2984.2518098734536</c:v>
                </c:pt>
                <c:pt idx="46">
                  <c:v>3135.4198442057632</c:v>
                </c:pt>
                <c:pt idx="47">
                  <c:v>3286.5878785380728</c:v>
                </c:pt>
                <c:pt idx="48">
                  <c:v>3437.7559128703824</c:v>
                </c:pt>
                <c:pt idx="49">
                  <c:v>3588.923947202692</c:v>
                </c:pt>
                <c:pt idx="50">
                  <c:v>3740.0919815350017</c:v>
                </c:pt>
                <c:pt idx="51">
                  <c:v>3891.2600158673113</c:v>
                </c:pt>
                <c:pt idx="52">
                  <c:v>4042.4280501996209</c:v>
                </c:pt>
                <c:pt idx="53">
                  <c:v>4193.5960845319305</c:v>
                </c:pt>
                <c:pt idx="54">
                  <c:v>4344.7641188642401</c:v>
                </c:pt>
                <c:pt idx="55">
                  <c:v>4495.9321531965497</c:v>
                </c:pt>
                <c:pt idx="56">
                  <c:v>4647.1001875288594</c:v>
                </c:pt>
                <c:pt idx="57">
                  <c:v>4798.268221861169</c:v>
                </c:pt>
                <c:pt idx="58">
                  <c:v>4949.4362561934786</c:v>
                </c:pt>
                <c:pt idx="59">
                  <c:v>5100.6042905257882</c:v>
                </c:pt>
                <c:pt idx="60">
                  <c:v>5251.7723248580978</c:v>
                </c:pt>
                <c:pt idx="61">
                  <c:v>5402.9403591904074</c:v>
                </c:pt>
                <c:pt idx="62">
                  <c:v>5554.1083935227171</c:v>
                </c:pt>
                <c:pt idx="63">
                  <c:v>5705.2764278550267</c:v>
                </c:pt>
                <c:pt idx="64">
                  <c:v>5856.4444621873363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0-4D3F-81B8-922E321DE222}"/>
            </c:ext>
          </c:extLst>
        </c:ser>
        <c:ser>
          <c:idx val="3"/>
          <c:order val="3"/>
          <c:tx>
            <c:strRef>
              <c:f>'FCT DNC'!$E$1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DNC'!$E$2:$E$66</c:f>
              <c:numCache>
                <c:formatCode>_(* #,##0_);_(* \(#,##0\);_(* "-"??_);_(@_)</c:formatCode>
                <c:ptCount val="65"/>
                <c:pt idx="30">
                  <c:v>724</c:v>
                </c:pt>
                <c:pt idx="31">
                  <c:v>742.59879032258038</c:v>
                </c:pt>
                <c:pt idx="32">
                  <c:v>761.19758064516134</c:v>
                </c:pt>
                <c:pt idx="33">
                  <c:v>779.79637096774172</c:v>
                </c:pt>
                <c:pt idx="34">
                  <c:v>798.39516129032256</c:v>
                </c:pt>
                <c:pt idx="35">
                  <c:v>816.99395161290295</c:v>
                </c:pt>
                <c:pt idx="36">
                  <c:v>835.5927419354839</c:v>
                </c:pt>
                <c:pt idx="37">
                  <c:v>854.19153225806429</c:v>
                </c:pt>
                <c:pt idx="38">
                  <c:v>872.79032258064512</c:v>
                </c:pt>
                <c:pt idx="39">
                  <c:v>891.38911290322551</c:v>
                </c:pt>
                <c:pt idx="40">
                  <c:v>909.98790322580646</c:v>
                </c:pt>
                <c:pt idx="41">
                  <c:v>928.58669354838685</c:v>
                </c:pt>
                <c:pt idx="42">
                  <c:v>947.18548387096769</c:v>
                </c:pt>
                <c:pt idx="43">
                  <c:v>965.78427419354819</c:v>
                </c:pt>
                <c:pt idx="44">
                  <c:v>984.38306451612902</c:v>
                </c:pt>
                <c:pt idx="45">
                  <c:v>1002.9818548387094</c:v>
                </c:pt>
                <c:pt idx="46">
                  <c:v>1021.5806451612904</c:v>
                </c:pt>
                <c:pt idx="47">
                  <c:v>1040.1794354838705</c:v>
                </c:pt>
                <c:pt idx="48">
                  <c:v>1058.7782258064517</c:v>
                </c:pt>
                <c:pt idx="49">
                  <c:v>1077.377016129032</c:v>
                </c:pt>
                <c:pt idx="50">
                  <c:v>1095.9758064516129</c:v>
                </c:pt>
                <c:pt idx="51">
                  <c:v>1114.5745967741932</c:v>
                </c:pt>
                <c:pt idx="52">
                  <c:v>1133.1733870967744</c:v>
                </c:pt>
                <c:pt idx="53">
                  <c:v>1151.7721774193544</c:v>
                </c:pt>
                <c:pt idx="54">
                  <c:v>1170.3709677419356</c:v>
                </c:pt>
                <c:pt idx="55">
                  <c:v>1188.9697580645159</c:v>
                </c:pt>
                <c:pt idx="56">
                  <c:v>1207.5685483870968</c:v>
                </c:pt>
                <c:pt idx="57">
                  <c:v>1226.1673387096771</c:v>
                </c:pt>
                <c:pt idx="58">
                  <c:v>1244.7661290322583</c:v>
                </c:pt>
                <c:pt idx="59">
                  <c:v>1263.3649193548383</c:v>
                </c:pt>
                <c:pt idx="60">
                  <c:v>1281.9637096774193</c:v>
                </c:pt>
                <c:pt idx="61">
                  <c:v>1300.5624999999998</c:v>
                </c:pt>
                <c:pt idx="62">
                  <c:v>1319.1612903225807</c:v>
                </c:pt>
                <c:pt idx="63">
                  <c:v>1337.7600806451608</c:v>
                </c:pt>
                <c:pt idx="64">
                  <c:v>1356.3588709677422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3-4A6A-870A-E6EA7662A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63359"/>
        <c:axId val="751193967"/>
      </c:lineChart>
      <c:dateAx>
        <c:axId val="75396335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967"/>
        <c:crosses val="autoZero"/>
        <c:auto val="1"/>
        <c:lblOffset val="100"/>
        <c:baseTimeUnit val="days"/>
      </c:dateAx>
      <c:valAx>
        <c:axId val="7511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02329600104335E-2"/>
          <c:y val="5.627705627705628E-2"/>
          <c:w val="0.88620237687680348"/>
          <c:h val="0.65195486927770396"/>
        </c:manualLayout>
      </c:layout>
      <c:lineChart>
        <c:grouping val="standard"/>
        <c:varyColors val="0"/>
        <c:ser>
          <c:idx val="0"/>
          <c:order val="0"/>
          <c:tx>
            <c:strRef>
              <c:f>'FCT DNC 28'!$B$1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'FCT DNC 28'!$B$2:$B$66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4-473E-A04A-D3938E518484}"/>
            </c:ext>
          </c:extLst>
        </c:ser>
        <c:ser>
          <c:idx val="1"/>
          <c:order val="1"/>
          <c:tx>
            <c:strRef>
              <c:f>'FCT DNC 28'!$C$1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DNC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28'!$C$2:$C$66</c:f>
              <c:numCache>
                <c:formatCode>General</c:formatCode>
                <c:ptCount val="65"/>
                <c:pt idx="31" formatCode="_(* #,##0_);_(* \(#,##0\);_(* &quot;-&quot;??_);_(@_)">
                  <c:v>902</c:v>
                </c:pt>
                <c:pt idx="32" formatCode="_(* #,##0_);_(* \(#,##0\);_(* &quot;-&quot;??_);_(@_)">
                  <c:v>1019.0673635534285</c:v>
                </c:pt>
                <c:pt idx="33" formatCode="_(* #,##0_);_(* \(#,##0\);_(* &quot;-&quot;??_);_(@_)">
                  <c:v>1170.2353978857382</c:v>
                </c:pt>
                <c:pt idx="34" formatCode="_(* #,##0_);_(* \(#,##0\);_(* &quot;-&quot;??_);_(@_)">
                  <c:v>1321.4034322180478</c:v>
                </c:pt>
                <c:pt idx="35" formatCode="_(* #,##0_);_(* \(#,##0\);_(* &quot;-&quot;??_);_(@_)">
                  <c:v>1472.5714665503574</c:v>
                </c:pt>
                <c:pt idx="36" formatCode="_(* #,##0_);_(* \(#,##0\);_(* &quot;-&quot;??_);_(@_)">
                  <c:v>1623.739500882667</c:v>
                </c:pt>
                <c:pt idx="37" formatCode="_(* #,##0_);_(* \(#,##0\);_(* &quot;-&quot;??_);_(@_)">
                  <c:v>1774.9075352149766</c:v>
                </c:pt>
                <c:pt idx="38" formatCode="_(* #,##0_);_(* \(#,##0\);_(* &quot;-&quot;??_);_(@_)">
                  <c:v>1926.0755695472862</c:v>
                </c:pt>
                <c:pt idx="39" formatCode="_(* #,##0_);_(* \(#,##0\);_(* &quot;-&quot;??_);_(@_)">
                  <c:v>2077.2436038795959</c:v>
                </c:pt>
                <c:pt idx="40" formatCode="_(* #,##0_);_(* \(#,##0\);_(* &quot;-&quot;??_);_(@_)">
                  <c:v>2228.4116382119055</c:v>
                </c:pt>
                <c:pt idx="41" formatCode="_(* #,##0_);_(* \(#,##0\);_(* &quot;-&quot;??_);_(@_)">
                  <c:v>2379.5796725442151</c:v>
                </c:pt>
                <c:pt idx="42" formatCode="_(* #,##0_);_(* \(#,##0\);_(* &quot;-&quot;??_);_(@_)">
                  <c:v>2530.7477068765247</c:v>
                </c:pt>
                <c:pt idx="43" formatCode="_(* #,##0_);_(* \(#,##0\);_(* &quot;-&quot;??_);_(@_)">
                  <c:v>2681.9157412088343</c:v>
                </c:pt>
                <c:pt idx="44" formatCode="_(* #,##0_);_(* \(#,##0\);_(* &quot;-&quot;??_);_(@_)">
                  <c:v>2833.083775541144</c:v>
                </c:pt>
                <c:pt idx="45" formatCode="_(* #,##0_);_(* \(#,##0\);_(* &quot;-&quot;??_);_(@_)">
                  <c:v>2984.2518098734536</c:v>
                </c:pt>
                <c:pt idx="46" formatCode="_(* #,##0_);_(* \(#,##0\);_(* &quot;-&quot;??_);_(@_)">
                  <c:v>3135.4198442057632</c:v>
                </c:pt>
                <c:pt idx="47" formatCode="_(* #,##0_);_(* \(#,##0\);_(* &quot;-&quot;??_);_(@_)">
                  <c:v>3286.5878785380728</c:v>
                </c:pt>
                <c:pt idx="48" formatCode="_(* #,##0_);_(* \(#,##0\);_(* &quot;-&quot;??_);_(@_)">
                  <c:v>3437.7559128703824</c:v>
                </c:pt>
                <c:pt idx="49" formatCode="_(* #,##0_);_(* \(#,##0\);_(* &quot;-&quot;??_);_(@_)">
                  <c:v>3588.923947202692</c:v>
                </c:pt>
                <c:pt idx="50" formatCode="_(* #,##0_);_(* \(#,##0\);_(* &quot;-&quot;??_);_(@_)">
                  <c:v>3740.0919815350017</c:v>
                </c:pt>
                <c:pt idx="51" formatCode="_(* #,##0_);_(* \(#,##0\);_(* &quot;-&quot;??_);_(@_)">
                  <c:v>3891.2600158673113</c:v>
                </c:pt>
                <c:pt idx="52" formatCode="_(* #,##0_);_(* \(#,##0\);_(* &quot;-&quot;??_);_(@_)">
                  <c:v>4042.4280501996209</c:v>
                </c:pt>
                <c:pt idx="53" formatCode="_(* #,##0_);_(* \(#,##0\);_(* &quot;-&quot;??_);_(@_)">
                  <c:v>4193.5960845319305</c:v>
                </c:pt>
                <c:pt idx="54" formatCode="_(* #,##0_);_(* \(#,##0\);_(* &quot;-&quot;??_);_(@_)">
                  <c:v>4344.7641188642401</c:v>
                </c:pt>
                <c:pt idx="55" formatCode="_(* #,##0_);_(* \(#,##0\);_(* &quot;-&quot;??_);_(@_)">
                  <c:v>4495.9321531965497</c:v>
                </c:pt>
                <c:pt idx="56" formatCode="_(* #,##0_);_(* \(#,##0\);_(* &quot;-&quot;??_);_(@_)">
                  <c:v>4647.1001875288594</c:v>
                </c:pt>
                <c:pt idx="57" formatCode="_(* #,##0_);_(* \(#,##0\);_(* &quot;-&quot;??_);_(@_)">
                  <c:v>4798.268221861169</c:v>
                </c:pt>
                <c:pt idx="58" formatCode="_(* #,##0_);_(* \(#,##0\);_(* &quot;-&quot;??_);_(@_)">
                  <c:v>4949.4362561934786</c:v>
                </c:pt>
                <c:pt idx="59" formatCode="_(* #,##0_);_(* \(#,##0\);_(* &quot;-&quot;??_);_(@_)">
                  <c:v>5100.6042905257882</c:v>
                </c:pt>
                <c:pt idx="60" formatCode="_(* #,##0_);_(* \(#,##0\);_(* &quot;-&quot;??_);_(@_)">
                  <c:v>5251.7723248580978</c:v>
                </c:pt>
                <c:pt idx="61" formatCode="_(* #,##0_);_(* \(#,##0\);_(* &quot;-&quot;??_);_(@_)">
                  <c:v>5402.9403591904074</c:v>
                </c:pt>
                <c:pt idx="62" formatCode="_(* #,##0_);_(* \(#,##0\);_(* &quot;-&quot;??_);_(@_)">
                  <c:v>5554.1083935227171</c:v>
                </c:pt>
                <c:pt idx="63" formatCode="_(* #,##0_);_(* \(#,##0\);_(* &quot;-&quot;??_);_(@_)">
                  <c:v>5705.2764278550267</c:v>
                </c:pt>
                <c:pt idx="64" formatCode="_(* #,##0_);_(* \(#,##0\);_(* &quot;-&quot;??_);_(@_)">
                  <c:v>5856.4444621873363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4-473E-A04A-D3938E518484}"/>
            </c:ext>
          </c:extLst>
        </c:ser>
        <c:ser>
          <c:idx val="2"/>
          <c:order val="2"/>
          <c:tx>
            <c:strRef>
              <c:f>'FCT DNC 28'!$D$1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DNC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28'!$D$2:$D$66</c:f>
              <c:numCache>
                <c:formatCode>General</c:formatCode>
                <c:ptCount val="65"/>
                <c:pt idx="31" formatCode="_(* #,##0_);_(* \(#,##0\);_(* &quot;-&quot;??_);_(@_)">
                  <c:v>902</c:v>
                </c:pt>
                <c:pt idx="32" formatCode="_(* #,##0_);_(* \(#,##0\);_(* &quot;-&quot;??_);_(@_)">
                  <c:v>873.22378317047355</c:v>
                </c:pt>
                <c:pt idx="33" formatCode="_(* #,##0_);_(* \(#,##0\);_(* &quot;-&quot;??_);_(@_)">
                  <c:v>946.13346544959836</c:v>
                </c:pt>
                <c:pt idx="34" formatCode="_(* #,##0_);_(* \(#,##0\);_(* &quot;-&quot;??_);_(@_)">
                  <c:v>990.78884521193277</c:v>
                </c:pt>
                <c:pt idx="35" formatCode="_(* #,##0_);_(* \(#,##0\);_(* &quot;-&quot;??_);_(@_)">
                  <c:v>1015.2329573832254</c:v>
                </c:pt>
                <c:pt idx="36" formatCode="_(* #,##0_);_(* \(#,##0\);_(* &quot;-&quot;??_);_(@_)">
                  <c:v>1023.3942905502747</c:v>
                </c:pt>
                <c:pt idx="37" formatCode="_(* #,##0_);_(* \(#,##0\);_(* &quot;-&quot;??_);_(@_)">
                  <c:v>1017.4718884989192</c:v>
                </c:pt>
                <c:pt idx="38" formatCode="_(* #,##0_);_(* \(#,##0\);_(* &quot;-&quot;??_);_(@_)">
                  <c:v>998.88796772225203</c:v>
                </c:pt>
                <c:pt idx="39" formatCode="_(* #,##0_);_(* \(#,##0\);_(* &quot;-&quot;??_);_(@_)">
                  <c:v>968.66170941975861</c:v>
                </c:pt>
                <c:pt idx="40" formatCode="_(* #,##0_);_(* \(#,##0\);_(* &quot;-&quot;??_);_(@_)">
                  <c:v>927.57543133421268</c:v>
                </c:pt>
                <c:pt idx="41" formatCode="_(* #,##0_);_(* \(#,##0\);_(* &quot;-&quot;??_);_(@_)">
                  <c:v>876.2583212866532</c:v>
                </c:pt>
                <c:pt idx="42" formatCode="_(* #,##0_);_(* \(#,##0\);_(* &quot;-&quot;??_);_(@_)">
                  <c:v>815.23328380618</c:v>
                </c:pt>
                <c:pt idx="43" formatCode="_(* #,##0_);_(* \(#,##0\);_(* &quot;-&quot;??_);_(@_)">
                  <c:v>744.94543582468873</c:v>
                </c:pt>
                <c:pt idx="44" formatCode="_(* #,##0_);_(* \(#,##0\);_(* &quot;-&quot;??_);_(@_)">
                  <c:v>665.78062539139182</c:v>
                </c:pt>
                <c:pt idx="45" formatCode="_(* #,##0_);_(* \(#,##0\);_(* &quot;-&quot;??_);_(@_)">
                  <c:v>578.0781143853028</c:v>
                </c:pt>
                <c:pt idx="46" formatCode="_(* #,##0_);_(* \(#,##0\);_(* &quot;-&quot;??_);_(@_)">
                  <c:v>482.13963594663483</c:v>
                </c:pt>
                <c:pt idx="47" formatCode="_(* #,##0_);_(* \(#,##0\);_(* &quot;-&quot;??_);_(@_)">
                  <c:v>378.23608557010357</c:v>
                </c:pt>
                <c:pt idx="48" formatCode="_(* #,##0_);_(* \(#,##0\);_(* &quot;-&quot;??_);_(@_)">
                  <c:v>266.61260292840598</c:v>
                </c:pt>
                <c:pt idx="49" formatCode="_(* #,##0_);_(* \(#,##0\);_(* &quot;-&quot;??_);_(@_)">
                  <c:v>147.49252116812386</c:v>
                </c:pt>
                <c:pt idx="50" formatCode="_(* #,##0_);_(* \(#,##0\);_(* &quot;-&quot;??_);_(@_)">
                  <c:v>21.080495890575548</c:v>
                </c:pt>
                <c:pt idx="51" formatCode="_(* #,##0_);_(* \(#,##0\);_(* &quot;-&quot;??_);_(@_)">
                  <c:v>-112.43497475444383</c:v>
                </c:pt>
                <c:pt idx="52" formatCode="_(* #,##0_);_(* \(#,##0\);_(* &quot;-&quot;??_);_(@_)">
                  <c:v>-252.87949150114855</c:v>
                </c:pt>
                <c:pt idx="53" formatCode="_(* #,##0_);_(* \(#,##0\);_(* &quot;-&quot;??_);_(@_)">
                  <c:v>-400.09105162677133</c:v>
                </c:pt>
                <c:pt idx="54" formatCode="_(* #,##0_);_(* \(#,##0\);_(* &quot;-&quot;??_);_(@_)">
                  <c:v>-553.91862594119175</c:v>
                </c:pt>
                <c:pt idx="55" formatCode="_(* #,##0_);_(* \(#,##0\);_(* &quot;-&quot;??_);_(@_)">
                  <c:v>-714.22095787366106</c:v>
                </c:pt>
                <c:pt idx="56" formatCode="_(* #,##0_);_(* \(#,##0\);_(* &quot;-&quot;??_);_(@_)">
                  <c:v>-880.8655413355782</c:v>
                </c:pt>
                <c:pt idx="57" formatCode="_(* #,##0_);_(* \(#,##0\);_(* &quot;-&quot;??_);_(@_)">
                  <c:v>-1053.727744075527</c:v>
                </c:pt>
                <c:pt idx="58" formatCode="_(* #,##0_);_(* \(#,##0\);_(* &quot;-&quot;??_);_(@_)">
                  <c:v>-1232.6900506109178</c:v>
                </c:pt>
                <c:pt idx="59" formatCode="_(* #,##0_);_(* \(#,##0\);_(* &quot;-&quot;??_);_(@_)">
                  <c:v>-1417.641404314194</c:v>
                </c:pt>
                <c:pt idx="60" formatCode="_(* #,##0_);_(* \(#,##0\);_(* &quot;-&quot;??_);_(@_)">
                  <c:v>-1608.4766323853519</c:v>
                </c:pt>
                <c:pt idx="61" formatCode="_(* #,##0_);_(* \(#,##0\);_(* &quot;-&quot;??_);_(@_)">
                  <c:v>-1805.0959406232978</c:v>
                </c:pt>
                <c:pt idx="62" formatCode="_(* #,##0_);_(* \(#,##0\);_(* &quot;-&quot;??_);_(@_)">
                  <c:v>-2007.4044673726503</c:v>
                </c:pt>
                <c:pt idx="63" formatCode="_(* #,##0_);_(* \(#,##0\);_(* &quot;-&quot;??_);_(@_)">
                  <c:v>-2215.3118879515259</c:v>
                </c:pt>
                <c:pt idx="64" formatCode="_(* #,##0_);_(* \(#,##0\);_(* &quot;-&quot;??_);_(@_)">
                  <c:v>-2428.7320623905953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4-473E-A04A-D3938E518484}"/>
            </c:ext>
          </c:extLst>
        </c:ser>
        <c:ser>
          <c:idx val="3"/>
          <c:order val="3"/>
          <c:tx>
            <c:strRef>
              <c:f>'FCT DNC 28'!$E$1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DNC 28'!$A$2:$A$66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28'!$E$2:$E$66</c:f>
              <c:numCache>
                <c:formatCode>General</c:formatCode>
                <c:ptCount val="65"/>
                <c:pt idx="31" formatCode="_(* #,##0_);_(* \(#,##0\);_(* &quot;-&quot;??_);_(@_)">
                  <c:v>902</c:v>
                </c:pt>
                <c:pt idx="32" formatCode="_(* #,##0_);_(* \(#,##0\);_(* &quot;-&quot;??_);_(@_)">
                  <c:v>1164.9109439363835</c:v>
                </c:pt>
                <c:pt idx="33" formatCode="_(* #,##0_);_(* \(#,##0\);_(* &quot;-&quot;??_);_(@_)">
                  <c:v>1394.337330321878</c:v>
                </c:pt>
                <c:pt idx="34" formatCode="_(* #,##0_);_(* \(#,##0\);_(* &quot;-&quot;??_);_(@_)">
                  <c:v>1652.0180192241628</c:v>
                </c:pt>
                <c:pt idx="35" formatCode="_(* #,##0_);_(* \(#,##0\);_(* &quot;-&quot;??_);_(@_)">
                  <c:v>1929.9099757174895</c:v>
                </c:pt>
                <c:pt idx="36" formatCode="_(* #,##0_);_(* \(#,##0\);_(* &quot;-&quot;??_);_(@_)">
                  <c:v>2224.0847112150595</c:v>
                </c:pt>
                <c:pt idx="37" formatCode="_(* #,##0_);_(* \(#,##0\);_(* &quot;-&quot;??_);_(@_)">
                  <c:v>2532.343181931034</c:v>
                </c:pt>
                <c:pt idx="38" formatCode="_(* #,##0_);_(* \(#,##0\);_(* &quot;-&quot;??_);_(@_)">
                  <c:v>2853.2631713723204</c:v>
                </c:pt>
                <c:pt idx="39" formatCode="_(* #,##0_);_(* \(#,##0\);_(* &quot;-&quot;??_);_(@_)">
                  <c:v>3185.8254983394331</c:v>
                </c:pt>
                <c:pt idx="40" formatCode="_(* #,##0_);_(* \(#,##0\);_(* &quot;-&quot;??_);_(@_)">
                  <c:v>3529.2478450895983</c:v>
                </c:pt>
                <c:pt idx="41" formatCode="_(* #,##0_);_(* \(#,##0\);_(* &quot;-&quot;??_);_(@_)">
                  <c:v>3882.9010238017772</c:v>
                </c:pt>
                <c:pt idx="42" formatCode="_(* #,##0_);_(* \(#,##0\);_(* &quot;-&quot;??_);_(@_)">
                  <c:v>4246.2621299468692</c:v>
                </c:pt>
                <c:pt idx="43" formatCode="_(* #,##0_);_(* \(#,##0\);_(* &quot;-&quot;??_);_(@_)">
                  <c:v>4618.8860465929802</c:v>
                </c:pt>
                <c:pt idx="44" formatCode="_(* #,##0_);_(* \(#,##0\);_(* &quot;-&quot;??_);_(@_)">
                  <c:v>5000.3869256908965</c:v>
                </c:pt>
                <c:pt idx="45" formatCode="_(* #,##0_);_(* \(#,##0\);_(* &quot;-&quot;??_);_(@_)">
                  <c:v>5390.4255053616043</c:v>
                </c:pt>
                <c:pt idx="46" formatCode="_(* #,##0_);_(* \(#,##0\);_(* &quot;-&quot;??_);_(@_)">
                  <c:v>5788.700052464892</c:v>
                </c:pt>
                <c:pt idx="47" formatCode="_(* #,##0_);_(* \(#,##0\);_(* &quot;-&quot;??_);_(@_)">
                  <c:v>6194.939671506042</c:v>
                </c:pt>
                <c:pt idx="48" formatCode="_(* #,##0_);_(* \(#,##0\);_(* &quot;-&quot;??_);_(@_)">
                  <c:v>6608.8992228123589</c:v>
                </c:pt>
                <c:pt idx="49" formatCode="_(* #,##0_);_(* \(#,##0\);_(* &quot;-&quot;??_);_(@_)">
                  <c:v>7030.3553732372602</c:v>
                </c:pt>
                <c:pt idx="50" formatCode="_(* #,##0_);_(* \(#,##0\);_(* &quot;-&quot;??_);_(@_)">
                  <c:v>7459.1034671794278</c:v>
                </c:pt>
                <c:pt idx="51" formatCode="_(* #,##0_);_(* \(#,##0\);_(* &quot;-&quot;??_);_(@_)">
                  <c:v>7894.9550064890664</c:v>
                </c:pt>
                <c:pt idx="52" formatCode="_(* #,##0_);_(* \(#,##0\);_(* &quot;-&quot;??_);_(@_)">
                  <c:v>8337.7355919003894</c:v>
                </c:pt>
                <c:pt idx="53" formatCode="_(* #,##0_);_(* \(#,##0\);_(* &quot;-&quot;??_);_(@_)">
                  <c:v>8787.2832206906314</c:v>
                </c:pt>
                <c:pt idx="54" formatCode="_(* #,##0_);_(* \(#,##0\);_(* &quot;-&quot;??_);_(@_)">
                  <c:v>9243.4468636696729</c:v>
                </c:pt>
                <c:pt idx="55" formatCode="_(* #,##0_);_(* \(#,##0\);_(* &quot;-&quot;??_);_(@_)">
                  <c:v>9706.0852642667596</c:v>
                </c:pt>
                <c:pt idx="56" formatCode="_(* #,##0_);_(* \(#,##0\);_(* &quot;-&quot;??_);_(@_)">
                  <c:v>10175.065916393298</c:v>
                </c:pt>
                <c:pt idx="57" formatCode="_(* #,##0_);_(* \(#,##0\);_(* &quot;-&quot;??_);_(@_)">
                  <c:v>10650.264187797864</c:v>
                </c:pt>
                <c:pt idx="58" formatCode="_(* #,##0_);_(* \(#,##0\);_(* &quot;-&quot;??_);_(@_)">
                  <c:v>11131.562562997875</c:v>
                </c:pt>
                <c:pt idx="59" formatCode="_(* #,##0_);_(* \(#,##0\);_(* &quot;-&quot;??_);_(@_)">
                  <c:v>11618.84998536577</c:v>
                </c:pt>
                <c:pt idx="60" formatCode="_(* #,##0_);_(* \(#,##0\);_(* &quot;-&quot;??_);_(@_)">
                  <c:v>12112.021282101548</c:v>
                </c:pt>
                <c:pt idx="61" formatCode="_(* #,##0_);_(* \(#,##0\);_(* &quot;-&quot;??_);_(@_)">
                  <c:v>12610.976659004113</c:v>
                </c:pt>
                <c:pt idx="62" formatCode="_(* #,##0_);_(* \(#,##0\);_(* &quot;-&quot;??_);_(@_)">
                  <c:v>13115.621254418085</c:v>
                </c:pt>
                <c:pt idx="63" formatCode="_(* #,##0_);_(* \(#,##0\);_(* &quot;-&quot;??_);_(@_)">
                  <c:v>13625.864743661579</c:v>
                </c:pt>
                <c:pt idx="64" formatCode="_(* #,##0_);_(* \(#,##0\);_(* &quot;-&quot;??_);_(@_)">
                  <c:v>14141.620986765269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4-473E-A04A-D3938E51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354431"/>
        <c:axId val="966400783"/>
      </c:lineChart>
      <c:catAx>
        <c:axId val="9293544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00783"/>
        <c:crosses val="autoZero"/>
        <c:auto val="1"/>
        <c:lblAlgn val="ctr"/>
        <c:lblOffset val="100"/>
        <c:noMultiLvlLbl val="0"/>
      </c:catAx>
      <c:valAx>
        <c:axId val="9664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5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'FCT DNC 29'!$B$1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'FCT DNC 29'!$B$2:$B$66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3-4E5E-950C-950F1B4ADA23}"/>
            </c:ext>
          </c:extLst>
        </c:ser>
        <c:ser>
          <c:idx val="1"/>
          <c:order val="1"/>
          <c:tx>
            <c:strRef>
              <c:f>'FCT DNC 29'!$C$1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DNC 29'!$A$2:$A$66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29'!$C$2:$C$66</c:f>
              <c:numCache>
                <c:formatCode>General</c:formatCode>
                <c:ptCount val="65"/>
                <c:pt idx="32" formatCode="_(* #,##0_);_(* \(#,##0\);_(* &quot;-&quot;??_);_(@_)">
                  <c:v>792</c:v>
                </c:pt>
                <c:pt idx="33" formatCode="_(* #,##0_);_(* \(#,##0\);_(* &quot;-&quot;??_);_(@_)">
                  <c:v>918.73466937219087</c:v>
                </c:pt>
                <c:pt idx="34" formatCode="_(* #,##0_);_(* \(#,##0\);_(* &quot;-&quot;??_);_(@_)">
                  <c:v>1018.2671096525905</c:v>
                </c:pt>
                <c:pt idx="35" formatCode="_(* #,##0_);_(* \(#,##0\);_(* &quot;-&quot;??_);_(@_)">
                  <c:v>1117.79954993299</c:v>
                </c:pt>
                <c:pt idx="36" formatCode="_(* #,##0_);_(* \(#,##0\);_(* &quot;-&quot;??_);_(@_)">
                  <c:v>1217.3319902133896</c:v>
                </c:pt>
                <c:pt idx="37" formatCode="_(* #,##0_);_(* \(#,##0\);_(* &quot;-&quot;??_);_(@_)">
                  <c:v>1316.8644304937893</c:v>
                </c:pt>
                <c:pt idx="38" formatCode="_(* #,##0_);_(* \(#,##0\);_(* &quot;-&quot;??_);_(@_)">
                  <c:v>1416.3968707741888</c:v>
                </c:pt>
                <c:pt idx="39" formatCode="_(* #,##0_);_(* \(#,##0\);_(* &quot;-&quot;??_);_(@_)">
                  <c:v>1515.9293110545887</c:v>
                </c:pt>
                <c:pt idx="40" formatCode="_(* #,##0_);_(* \(#,##0\);_(* &quot;-&quot;??_);_(@_)">
                  <c:v>1615.4617513349881</c:v>
                </c:pt>
                <c:pt idx="41" formatCode="_(* #,##0_);_(* \(#,##0\);_(* &quot;-&quot;??_);_(@_)">
                  <c:v>1714.9941916153875</c:v>
                </c:pt>
                <c:pt idx="42" formatCode="_(* #,##0_);_(* \(#,##0\);_(* &quot;-&quot;??_);_(@_)">
                  <c:v>1814.5266318957874</c:v>
                </c:pt>
                <c:pt idx="43" formatCode="_(* #,##0_);_(* \(#,##0\);_(* &quot;-&quot;??_);_(@_)">
                  <c:v>1914.0590721761869</c:v>
                </c:pt>
                <c:pt idx="44" formatCode="_(* #,##0_);_(* \(#,##0\);_(* &quot;-&quot;??_);_(@_)">
                  <c:v>2013.5915124565863</c:v>
                </c:pt>
                <c:pt idx="45" formatCode="_(* #,##0_);_(* \(#,##0\);_(* &quot;-&quot;??_);_(@_)">
                  <c:v>2113.1239527369862</c:v>
                </c:pt>
                <c:pt idx="46" formatCode="_(* #,##0_);_(* \(#,##0\);_(* &quot;-&quot;??_);_(@_)">
                  <c:v>2212.6563930173857</c:v>
                </c:pt>
                <c:pt idx="47" formatCode="_(* #,##0_);_(* \(#,##0\);_(* &quot;-&quot;??_);_(@_)">
                  <c:v>2312.1888332977851</c:v>
                </c:pt>
                <c:pt idx="48" formatCode="_(* #,##0_);_(* \(#,##0\);_(* &quot;-&quot;??_);_(@_)">
                  <c:v>2411.721273578185</c:v>
                </c:pt>
                <c:pt idx="49" formatCode="_(* #,##0_);_(* \(#,##0\);_(* &quot;-&quot;??_);_(@_)">
                  <c:v>2511.2537138585844</c:v>
                </c:pt>
                <c:pt idx="50" formatCode="_(* #,##0_);_(* \(#,##0\);_(* &quot;-&quot;??_);_(@_)">
                  <c:v>2610.7861541389839</c:v>
                </c:pt>
                <c:pt idx="51" formatCode="_(* #,##0_);_(* \(#,##0\);_(* &quot;-&quot;??_);_(@_)">
                  <c:v>2710.3185944193838</c:v>
                </c:pt>
                <c:pt idx="52" formatCode="_(* #,##0_);_(* \(#,##0\);_(* &quot;-&quot;??_);_(@_)">
                  <c:v>2809.8510346997832</c:v>
                </c:pt>
                <c:pt idx="53" formatCode="_(* #,##0_);_(* \(#,##0\);_(* &quot;-&quot;??_);_(@_)">
                  <c:v>2909.3834749801827</c:v>
                </c:pt>
                <c:pt idx="54" formatCode="_(* #,##0_);_(* \(#,##0\);_(* &quot;-&quot;??_);_(@_)">
                  <c:v>3008.9159152605826</c:v>
                </c:pt>
                <c:pt idx="55" formatCode="_(* #,##0_);_(* \(#,##0\);_(* &quot;-&quot;??_);_(@_)">
                  <c:v>3108.448355540982</c:v>
                </c:pt>
                <c:pt idx="56" formatCode="_(* #,##0_);_(* \(#,##0\);_(* &quot;-&quot;??_);_(@_)">
                  <c:v>3207.9807958213814</c:v>
                </c:pt>
                <c:pt idx="57" formatCode="_(* #,##0_);_(* \(#,##0\);_(* &quot;-&quot;??_);_(@_)">
                  <c:v>3307.5132361017813</c:v>
                </c:pt>
                <c:pt idx="58" formatCode="_(* #,##0_);_(* \(#,##0\);_(* &quot;-&quot;??_);_(@_)">
                  <c:v>3407.0456763821808</c:v>
                </c:pt>
                <c:pt idx="59" formatCode="_(* #,##0_);_(* \(#,##0\);_(* &quot;-&quot;??_);_(@_)">
                  <c:v>3506.5781166625802</c:v>
                </c:pt>
                <c:pt idx="60" formatCode="_(* #,##0_);_(* \(#,##0\);_(* &quot;-&quot;??_);_(@_)">
                  <c:v>3606.1105569429801</c:v>
                </c:pt>
                <c:pt idx="61" formatCode="_(* #,##0_);_(* \(#,##0\);_(* &quot;-&quot;??_);_(@_)">
                  <c:v>3705.6429972233796</c:v>
                </c:pt>
                <c:pt idx="62" formatCode="_(* #,##0_);_(* \(#,##0\);_(* &quot;-&quot;??_);_(@_)">
                  <c:v>3805.175437503779</c:v>
                </c:pt>
                <c:pt idx="63" formatCode="_(* #,##0_);_(* \(#,##0\);_(* &quot;-&quot;??_);_(@_)">
                  <c:v>3904.7078777841789</c:v>
                </c:pt>
                <c:pt idx="64" formatCode="_(* #,##0_);_(* \(#,##0\);_(* &quot;-&quot;??_);_(@_)">
                  <c:v>4004.2403180645783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3-4E5E-950C-950F1B4ADA23}"/>
            </c:ext>
          </c:extLst>
        </c:ser>
        <c:ser>
          <c:idx val="2"/>
          <c:order val="2"/>
          <c:tx>
            <c:strRef>
              <c:f>'FCT DNC 29'!$D$1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DNC 29'!$A$2:$A$66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29'!$D$2:$D$66</c:f>
              <c:numCache>
                <c:formatCode>General</c:formatCode>
                <c:ptCount val="65"/>
                <c:pt idx="32" formatCode="_(* #,##0_);_(* \(#,##0\);_(* &quot;-&quot;??_);_(@_)">
                  <c:v>792</c:v>
                </c:pt>
                <c:pt idx="33" formatCode="_(* #,##0_);_(* \(#,##0\);_(* &quot;-&quot;??_);_(@_)">
                  <c:v>779.48536380043083</c:v>
                </c:pt>
                <c:pt idx="34" formatCode="_(* #,##0_);_(* \(#,##0\);_(* &quot;-&quot;??_);_(@_)">
                  <c:v>876.28736775595826</c:v>
                </c:pt>
                <c:pt idx="35" formatCode="_(* #,##0_);_(* \(#,##0\);_(* &quot;-&quot;??_);_(@_)">
                  <c:v>969.88001286371832</c:v>
                </c:pt>
                <c:pt idx="36" formatCode="_(* #,##0_);_(* \(#,##0\);_(* &quot;-&quot;??_);_(@_)">
                  <c:v>1059.4197166859053</c:v>
                </c:pt>
                <c:pt idx="37" formatCode="_(* #,##0_);_(* \(#,##0\);_(* &quot;-&quot;??_);_(@_)">
                  <c:v>1144.5083247833443</c:v>
                </c:pt>
                <c:pt idx="38" formatCode="_(* #,##0_);_(* \(#,##0\);_(* &quot;-&quot;??_);_(@_)">
                  <c:v>1225.1606226487806</c:v>
                </c:pt>
                <c:pt idx="39" formatCode="_(* #,##0_);_(* \(#,##0\);_(* &quot;-&quot;??_);_(@_)">
                  <c:v>1301.6621824277313</c:v>
                </c:pt>
                <c:pt idx="40" formatCode="_(* #,##0_);_(* \(#,##0\);_(* &quot;-&quot;??_);_(@_)">
                  <c:v>1374.4140037214529</c:v>
                </c:pt>
                <c:pt idx="41" formatCode="_(* #,##0_);_(* \(#,##0\);_(* &quot;-&quot;??_);_(@_)">
                  <c:v>1443.8259131038601</c:v>
                </c:pt>
                <c:pt idx="42" formatCode="_(* #,##0_);_(* \(#,##0\);_(* &quot;-&quot;??_);_(@_)">
                  <c:v>1510.2649873377195</c:v>
                </c:pt>
                <c:pt idx="43" formatCode="_(* #,##0_);_(* \(#,##0\);_(* &quot;-&quot;??_);_(@_)">
                  <c:v>1574.0401817016655</c:v>
                </c:pt>
                <c:pt idx="44" formatCode="_(* #,##0_);_(* \(#,##0\);_(* &quot;-&quot;??_);_(@_)">
                  <c:v>1635.4044980350432</c:v>
                </c:pt>
                <c:pt idx="45" formatCode="_(* #,##0_);_(* \(#,##0\);_(* &quot;-&quot;??_);_(@_)">
                  <c:v>1694.5633784386064</c:v>
                </c:pt>
                <c:pt idx="46" formatCode="_(* #,##0_);_(* \(#,##0\);_(* &quot;-&quot;??_);_(@_)">
                  <c:v>1751.6840019413114</c:v>
                </c:pt>
                <c:pt idx="47" formatCode="_(* #,##0_);_(* \(#,##0\);_(* &quot;-&quot;??_);_(@_)">
                  <c:v>1806.9034873550859</c:v>
                </c:pt>
                <c:pt idx="48" formatCode="_(* #,##0_);_(* \(#,##0\);_(* &quot;-&quot;??_);_(@_)">
                  <c:v>1860.3355185552145</c:v>
                </c:pt>
                <c:pt idx="49" formatCode="_(* #,##0_);_(* \(#,##0\);_(* &quot;-&quot;??_);_(@_)">
                  <c:v>1912.0754887844507</c:v>
                </c:pt>
                <c:pt idx="50" formatCode="_(* #,##0_);_(* \(#,##0\);_(* &quot;-&quot;??_);_(@_)">
                  <c:v>1962.2044287397953</c:v>
                </c:pt>
                <c:pt idx="51" formatCode="_(* #,##0_);_(* \(#,##0\);_(* &quot;-&quot;??_);_(@_)">
                  <c:v>2010.7919914843769</c:v>
                </c:pt>
                <c:pt idx="52" formatCode="_(* #,##0_);_(* \(#,##0\);_(* &quot;-&quot;??_);_(@_)">
                  <c:v>2057.8987247132141</c:v>
                </c:pt>
                <c:pt idx="53" formatCode="_(* #,##0_);_(* \(#,##0\);_(* &quot;-&quot;??_);_(@_)">
                  <c:v>2103.5778102086006</c:v>
                </c:pt>
                <c:pt idx="54" formatCode="_(* #,##0_);_(* \(#,##0\);_(* &quot;-&quot;??_);_(@_)">
                  <c:v>2147.8764057835597</c:v>
                </c:pt>
                <c:pt idx="55" formatCode="_(* #,##0_);_(* \(#,##0\);_(* &quot;-&quot;??_);_(@_)">
                  <c:v>2190.836689847556</c:v>
                </c:pt>
                <c:pt idx="56" formatCode="_(* #,##0_);_(* \(#,##0\);_(* &quot;-&quot;??_);_(@_)">
                  <c:v>2232.4966822645247</c:v>
                </c:pt>
                <c:pt idx="57" formatCode="_(* #,##0_);_(* \(#,##0\);_(* &quot;-&quot;??_);_(@_)">
                  <c:v>2272.8908957036037</c:v>
                </c:pt>
                <c:pt idx="58" formatCode="_(* #,##0_);_(* \(#,##0\);_(* &quot;-&quot;??_);_(@_)">
                  <c:v>2312.0508574997384</c:v>
                </c:pt>
                <c:pt idx="59" formatCode="_(* #,##0_);_(* \(#,##0\);_(* &quot;-&quot;??_);_(@_)">
                  <c:v>2350.005531736706</c:v>
                </c:pt>
                <c:pt idx="60" formatCode="_(* #,##0_);_(* \(#,##0\);_(* &quot;-&quot;??_);_(@_)">
                  <c:v>2386.7816637667693</c:v>
                </c:pt>
                <c:pt idx="61" formatCode="_(* #,##0_);_(* \(#,##0\);_(* &quot;-&quot;??_);_(@_)">
                  <c:v>2422.404063902251</c:v>
                </c:pt>
                <c:pt idx="62" formatCode="_(* #,##0_);_(* \(#,##0\);_(* &quot;-&quot;??_);_(@_)">
                  <c:v>2456.8958429879626</c:v>
                </c:pt>
                <c:pt idx="63" formatCode="_(* #,##0_);_(* \(#,##0\);_(* &quot;-&quot;??_);_(@_)">
                  <c:v>2490.2786095847318</c:v>
                </c:pt>
                <c:pt idx="64" formatCode="_(* #,##0_);_(* \(#,##0\);_(* &quot;-&quot;??_);_(@_)">
                  <c:v>2522.5726362746445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3-4E5E-950C-950F1B4ADA23}"/>
            </c:ext>
          </c:extLst>
        </c:ser>
        <c:ser>
          <c:idx val="3"/>
          <c:order val="3"/>
          <c:tx>
            <c:strRef>
              <c:f>'FCT DNC 29'!$E$1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DNC 29'!$A$2:$A$66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29'!$E$2:$E$66</c:f>
              <c:numCache>
                <c:formatCode>General</c:formatCode>
                <c:ptCount val="65"/>
                <c:pt idx="32" formatCode="_(* #,##0_);_(* \(#,##0\);_(* &quot;-&quot;??_);_(@_)">
                  <c:v>792</c:v>
                </c:pt>
                <c:pt idx="33" formatCode="_(* #,##0_);_(* \(#,##0\);_(* &quot;-&quot;??_);_(@_)">
                  <c:v>1057.9839749439509</c:v>
                </c:pt>
                <c:pt idx="34" formatCode="_(* #,##0_);_(* \(#,##0\);_(* &quot;-&quot;??_);_(@_)">
                  <c:v>1160.2468515492228</c:v>
                </c:pt>
                <c:pt idx="35" formatCode="_(* #,##0_);_(* \(#,##0\);_(* &quot;-&quot;??_);_(@_)">
                  <c:v>1265.7190870022616</c:v>
                </c:pt>
                <c:pt idx="36" formatCode="_(* #,##0_);_(* \(#,##0\);_(* &quot;-&quot;??_);_(@_)">
                  <c:v>1375.244263740874</c:v>
                </c:pt>
                <c:pt idx="37" formatCode="_(* #,##0_);_(* \(#,##0\);_(* &quot;-&quot;??_);_(@_)">
                  <c:v>1489.2205362042343</c:v>
                </c:pt>
                <c:pt idx="38" formatCode="_(* #,##0_);_(* \(#,##0\);_(* &quot;-&quot;??_);_(@_)">
                  <c:v>1607.6331188995969</c:v>
                </c:pt>
                <c:pt idx="39" formatCode="_(* #,##0_);_(* \(#,##0\);_(* &quot;-&quot;??_);_(@_)">
                  <c:v>1730.196439681446</c:v>
                </c:pt>
                <c:pt idx="40" formatCode="_(* #,##0_);_(* \(#,##0\);_(* &quot;-&quot;??_);_(@_)">
                  <c:v>1856.5094989485233</c:v>
                </c:pt>
                <c:pt idx="41" formatCode="_(* #,##0_);_(* \(#,##0\);_(* &quot;-&quot;??_);_(@_)">
                  <c:v>1986.162470126915</c:v>
                </c:pt>
                <c:pt idx="42" formatCode="_(* #,##0_);_(* \(#,##0\);_(* &quot;-&quot;??_);_(@_)">
                  <c:v>2118.7882764538554</c:v>
                </c:pt>
                <c:pt idx="43" formatCode="_(* #,##0_);_(* \(#,##0\);_(* &quot;-&quot;??_);_(@_)">
                  <c:v>2254.0779626507083</c:v>
                </c:pt>
                <c:pt idx="44" formatCode="_(* #,##0_);_(* \(#,##0\);_(* &quot;-&quot;??_);_(@_)">
                  <c:v>2391.7785268781295</c:v>
                </c:pt>
                <c:pt idx="45" formatCode="_(* #,##0_);_(* \(#,##0\);_(* &quot;-&quot;??_);_(@_)">
                  <c:v>2531.684527035366</c:v>
                </c:pt>
                <c:pt idx="46" formatCode="_(* #,##0_);_(* \(#,##0\);_(* &quot;-&quot;??_);_(@_)">
                  <c:v>2673.6287840934597</c:v>
                </c:pt>
                <c:pt idx="47" formatCode="_(* #,##0_);_(* \(#,##0\);_(* &quot;-&quot;??_);_(@_)">
                  <c:v>2817.4741792404843</c:v>
                </c:pt>
                <c:pt idx="48" formatCode="_(* #,##0_);_(* \(#,##0\);_(* &quot;-&quot;??_);_(@_)">
                  <c:v>2963.1070286011554</c:v>
                </c:pt>
                <c:pt idx="49" formatCode="_(* #,##0_);_(* \(#,##0\);_(* &quot;-&quot;??_);_(@_)">
                  <c:v>3110.4319389327184</c:v>
                </c:pt>
                <c:pt idx="50" formatCode="_(* #,##0_);_(* \(#,##0\);_(* &quot;-&quot;??_);_(@_)">
                  <c:v>3259.3678795381725</c:v>
                </c:pt>
                <c:pt idx="51" formatCode="_(* #,##0_);_(* \(#,##0\);_(* &quot;-&quot;??_);_(@_)">
                  <c:v>3409.8451973543906</c:v>
                </c:pt>
                <c:pt idx="52" formatCode="_(* #,##0_);_(* \(#,##0\);_(* &quot;-&quot;??_);_(@_)">
                  <c:v>3561.8033446863524</c:v>
                </c:pt>
                <c:pt idx="53" formatCode="_(* #,##0_);_(* \(#,##0\);_(* &quot;-&quot;??_);_(@_)">
                  <c:v>3715.1891397517647</c:v>
                </c:pt>
                <c:pt idx="54" formatCode="_(* #,##0_);_(* \(#,##0\);_(* &quot;-&quot;??_);_(@_)">
                  <c:v>3869.9554247376054</c:v>
                </c:pt>
                <c:pt idx="55" formatCode="_(* #,##0_);_(* \(#,##0\);_(* &quot;-&quot;??_);_(@_)">
                  <c:v>4026.0600212344079</c:v>
                </c:pt>
                <c:pt idx="56" formatCode="_(* #,##0_);_(* \(#,##0\);_(* &quot;-&quot;??_);_(@_)">
                  <c:v>4183.4649093782382</c:v>
                </c:pt>
                <c:pt idx="57" formatCode="_(* #,##0_);_(* \(#,##0\);_(* &quot;-&quot;??_);_(@_)">
                  <c:v>4342.1355764999589</c:v>
                </c:pt>
                <c:pt idx="58" formatCode="_(* #,##0_);_(* \(#,##0\);_(* &quot;-&quot;??_);_(@_)">
                  <c:v>4502.0404952646231</c:v>
                </c:pt>
                <c:pt idx="59" formatCode="_(* #,##0_);_(* \(#,##0\);_(* &quot;-&quot;??_);_(@_)">
                  <c:v>4663.1507015884545</c:v>
                </c:pt>
                <c:pt idx="60" formatCode="_(* #,##0_);_(* \(#,##0\);_(* &quot;-&quot;??_);_(@_)">
                  <c:v>4825.439450119191</c:v>
                </c:pt>
                <c:pt idx="61" formatCode="_(* #,##0_);_(* \(#,##0\);_(* &quot;-&quot;??_);_(@_)">
                  <c:v>4988.8819305445086</c:v>
                </c:pt>
                <c:pt idx="62" formatCode="_(* #,##0_);_(* \(#,##0\);_(* &quot;-&quot;??_);_(@_)">
                  <c:v>5153.4550320195958</c:v>
                </c:pt>
                <c:pt idx="63" formatCode="_(* #,##0_);_(* \(#,##0\);_(* &quot;-&quot;??_);_(@_)">
                  <c:v>5319.1371459836264</c:v>
                </c:pt>
                <c:pt idx="64" formatCode="_(* #,##0_);_(* \(#,##0\);_(* &quot;-&quot;??_);_(@_)">
                  <c:v>5485.9079998545121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3-4E5E-950C-950F1B4A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637631"/>
        <c:axId val="791009039"/>
      </c:lineChart>
      <c:catAx>
        <c:axId val="15516376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9039"/>
        <c:crosses val="autoZero"/>
        <c:auto val="1"/>
        <c:lblAlgn val="ctr"/>
        <c:lblOffset val="100"/>
        <c:noMultiLvlLbl val="0"/>
      </c:catAx>
      <c:valAx>
        <c:axId val="7910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DNC (Daily New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DNC (Daily New Confirmed)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Data!$A$1:$A$35</c15:sqref>
                  </c15:fullRef>
                </c:ext>
              </c:extLst>
              <c:f>Data!$A$2:$A$35</c:f>
              <c:strCache>
                <c:ptCount val="34"/>
                <c:pt idx="0">
                  <c:v>26/02/20</c:v>
                </c:pt>
                <c:pt idx="1">
                  <c:v>27/02/20</c:v>
                </c:pt>
                <c:pt idx="2">
                  <c:v>28/02/20</c:v>
                </c:pt>
                <c:pt idx="3">
                  <c:v>29/02/20</c:v>
                </c:pt>
                <c:pt idx="4">
                  <c:v>01/03/20</c:v>
                </c:pt>
                <c:pt idx="5">
                  <c:v>02/03/20</c:v>
                </c:pt>
                <c:pt idx="6">
                  <c:v>03/03/20</c:v>
                </c:pt>
                <c:pt idx="7">
                  <c:v>04/03/20</c:v>
                </c:pt>
                <c:pt idx="8">
                  <c:v>05/03/20</c:v>
                </c:pt>
                <c:pt idx="9">
                  <c:v>06/03/20</c:v>
                </c:pt>
                <c:pt idx="10">
                  <c:v>07/03/20</c:v>
                </c:pt>
                <c:pt idx="11">
                  <c:v>08/03/20</c:v>
                </c:pt>
                <c:pt idx="12">
                  <c:v>09/03/20</c:v>
                </c:pt>
                <c:pt idx="13">
                  <c:v>10/03/20</c:v>
                </c:pt>
                <c:pt idx="14">
                  <c:v>11/03/20</c:v>
                </c:pt>
                <c:pt idx="15">
                  <c:v>12/03/20</c:v>
                </c:pt>
                <c:pt idx="16">
                  <c:v>13/03/20</c:v>
                </c:pt>
                <c:pt idx="17">
                  <c:v>14/03/20</c:v>
                </c:pt>
                <c:pt idx="18">
                  <c:v>15/03/20</c:v>
                </c:pt>
                <c:pt idx="19">
                  <c:v>16/03/20</c:v>
                </c:pt>
                <c:pt idx="20">
                  <c:v>17/03/20</c:v>
                </c:pt>
                <c:pt idx="21">
                  <c:v>18/03/20</c:v>
                </c:pt>
                <c:pt idx="22">
                  <c:v>19/03/20</c:v>
                </c:pt>
                <c:pt idx="23">
                  <c:v>20/03/20</c:v>
                </c:pt>
                <c:pt idx="24">
                  <c:v>21/03/20</c:v>
                </c:pt>
                <c:pt idx="25">
                  <c:v>22/03/20</c:v>
                </c:pt>
                <c:pt idx="26">
                  <c:v>23/03/20</c:v>
                </c:pt>
                <c:pt idx="27">
                  <c:v>24/03/20</c:v>
                </c:pt>
                <c:pt idx="28">
                  <c:v>25/03/20</c:v>
                </c:pt>
                <c:pt idx="29">
                  <c:v>26/03/20</c:v>
                </c:pt>
                <c:pt idx="30">
                  <c:v>27/03/20</c:v>
                </c:pt>
                <c:pt idx="31">
                  <c:v>28/03/20</c:v>
                </c:pt>
                <c:pt idx="32">
                  <c:v>29/03/20</c:v>
                </c:pt>
                <c:pt idx="33">
                  <c:v>30/03/20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Data!$L$2:$L$35</c15:sqref>
                  </c15:fullRef>
                </c:ext>
              </c:extLst>
              <c:f>Data!$L$3:$L$35</c:f>
              <c:numCache>
                <c:formatCode>_(* #,##0_);_(* \(#,##0\);_(* "-"??_);_(@_)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2</c:v>
                </c:pt>
                <c:pt idx="13">
                  <c:v>18</c:v>
                </c:pt>
                <c:pt idx="14">
                  <c:v>19</c:v>
                </c:pt>
                <c:pt idx="15">
                  <c:v>34</c:v>
                </c:pt>
                <c:pt idx="16">
                  <c:v>57</c:v>
                </c:pt>
                <c:pt idx="17">
                  <c:v>76</c:v>
                </c:pt>
                <c:pt idx="18">
                  <c:v>86</c:v>
                </c:pt>
                <c:pt idx="19">
                  <c:v>117</c:v>
                </c:pt>
                <c:pt idx="20">
                  <c:v>194</c:v>
                </c:pt>
                <c:pt idx="21">
                  <c:v>143</c:v>
                </c:pt>
                <c:pt idx="22">
                  <c:v>235</c:v>
                </c:pt>
                <c:pt idx="23">
                  <c:v>260</c:v>
                </c:pt>
                <c:pt idx="24">
                  <c:v>320</c:v>
                </c:pt>
                <c:pt idx="25">
                  <c:v>460</c:v>
                </c:pt>
                <c:pt idx="26">
                  <c:v>302</c:v>
                </c:pt>
                <c:pt idx="27">
                  <c:v>633</c:v>
                </c:pt>
                <c:pt idx="28">
                  <c:v>549</c:v>
                </c:pt>
                <c:pt idx="29">
                  <c:v>724</c:v>
                </c:pt>
                <c:pt idx="30">
                  <c:v>902</c:v>
                </c:pt>
                <c:pt idx="31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7-4329-B4A2-70C54537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67279"/>
        <c:axId val="589919231"/>
      </c:barChart>
      <c:dateAx>
        <c:axId val="804367279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19231"/>
        <c:crosses val="autoZero"/>
        <c:auto val="1"/>
        <c:lblOffset val="100"/>
        <c:baseTimeUnit val="days"/>
      </c:dateAx>
      <c:valAx>
        <c:axId val="5899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6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AC (Acc.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 (Acc. Confirmed)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Data!$A$2:$A$35</c:f>
              <c:numCache>
                <c:formatCode>dd/mm/yy;@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Data!$C$2:$C$35</c:f>
              <c:numCache>
                <c:formatCode>_(* #,##0_);_(* \(#,##0\);_(* "-"??_);_(@_)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D-41C0-A789-E96EADDE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350831"/>
        <c:axId val="793970319"/>
      </c:lineChart>
      <c:dateAx>
        <c:axId val="929350831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70319"/>
        <c:crosses val="autoZero"/>
        <c:auto val="1"/>
        <c:lblOffset val="100"/>
        <c:baseTimeUnit val="days"/>
      </c:dateAx>
      <c:valAx>
        <c:axId val="7939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DNS / Prev 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Data!$A$23:$A$34</c:f>
              <c:numCache>
                <c:formatCode>dd/mm/yy;@</c:formatCode>
                <c:ptCount val="1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</c:numCache>
            </c:numRef>
          </c:cat>
          <c:val>
            <c:numRef>
              <c:f>Data!$U$23:$U$34</c:f>
              <c:numCache>
                <c:formatCode>0%</c:formatCode>
                <c:ptCount val="12"/>
                <c:pt idx="0">
                  <c:v>0.25732009925558313</c:v>
                </c:pt>
                <c:pt idx="1">
                  <c:v>0.19617130451943951</c:v>
                </c:pt>
                <c:pt idx="2">
                  <c:v>0.27569707968982016</c:v>
                </c:pt>
                <c:pt idx="3">
                  <c:v>0.27444386963269529</c:v>
                </c:pt>
                <c:pt idx="4">
                  <c:v>0.1953521412624315</c:v>
                </c:pt>
                <c:pt idx="5">
                  <c:v>0.16087953136938621</c:v>
                </c:pt>
                <c:pt idx="6">
                  <c:v>0.13163668275559456</c:v>
                </c:pt>
                <c:pt idx="7">
                  <c:v>0.36713196329326614</c:v>
                </c:pt>
                <c:pt idx="8">
                  <c:v>5.2091704088867881E-2</c:v>
                </c:pt>
                <c:pt idx="9">
                  <c:v>0.14260682032618952</c:v>
                </c:pt>
                <c:pt idx="10">
                  <c:v>0.2879556446856199</c:v>
                </c:pt>
                <c:pt idx="11">
                  <c:v>0.16144593026805887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69-4375-BB96-B7298DF54630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DNC / Prev 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Data!$A$23:$A$34</c:f>
              <c:numCache>
                <c:formatCode>dd/mm/yy;@</c:formatCode>
                <c:ptCount val="1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</c:numCache>
            </c:numRef>
          </c:cat>
          <c:val>
            <c:numRef>
              <c:f>Data!$V$23:$V$34</c:f>
              <c:numCache>
                <c:formatCode>0%</c:formatCode>
                <c:ptCount val="12"/>
                <c:pt idx="0">
                  <c:v>0.4330357142857143</c:v>
                </c:pt>
                <c:pt idx="1">
                  <c:v>0.22274143302180685</c:v>
                </c:pt>
                <c:pt idx="2">
                  <c:v>0.29936305732484075</c:v>
                </c:pt>
                <c:pt idx="3">
                  <c:v>0.25490196078431371</c:v>
                </c:pt>
                <c:pt idx="4">
                  <c:v>0.25</c:v>
                </c:pt>
                <c:pt idx="5">
                  <c:v>0.28749999999999998</c:v>
                </c:pt>
                <c:pt idx="6">
                  <c:v>0.14660194174757282</c:v>
                </c:pt>
                <c:pt idx="7">
                  <c:v>0.26799322607959358</c:v>
                </c:pt>
                <c:pt idx="8">
                  <c:v>0.18330550918196994</c:v>
                </c:pt>
                <c:pt idx="9">
                  <c:v>0.20428893905191872</c:v>
                </c:pt>
                <c:pt idx="10">
                  <c:v>0.21134020618556701</c:v>
                </c:pt>
                <c:pt idx="11">
                  <c:v>0.15319148936170213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69-4375-BB96-B7298DF54630}"/>
            </c:ext>
          </c:extLst>
        </c:ser>
        <c:ser>
          <c:idx val="2"/>
          <c:order val="2"/>
          <c:tx>
            <c:strRef>
              <c:f>Data!$W$1</c:f>
              <c:strCache>
                <c:ptCount val="1"/>
                <c:pt idx="0">
                  <c:v>DNR / Prev 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Data!$A$23:$A$34</c:f>
              <c:numCache>
                <c:formatCode>dd/mm/yy;@</c:formatCode>
                <c:ptCount val="1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</c:numCache>
            </c:numRef>
          </c:cat>
          <c:val>
            <c:numRef>
              <c:f>Data!$W$23:$W$34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1.8</c:v>
                </c:pt>
                <c:pt idx="6">
                  <c:v>0.5714285714285714</c:v>
                </c:pt>
                <c:pt idx="7">
                  <c:v>0</c:v>
                </c:pt>
                <c:pt idx="8">
                  <c:v>0.95454545454545459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269-4375-BB96-B7298DF54630}"/>
            </c:ext>
          </c:extLst>
        </c:ser>
        <c:ser>
          <c:idx val="3"/>
          <c:order val="3"/>
          <c:tx>
            <c:strRef>
              <c:f>Data!$X$1</c:f>
              <c:strCache>
                <c:ptCount val="1"/>
                <c:pt idx="0">
                  <c:v>DND / Prev 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Data!$A$23:$A$34</c:f>
              <c:numCache>
                <c:formatCode>dd/mm/yy;@</c:formatCode>
                <c:ptCount val="1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</c:numCache>
            </c:numRef>
          </c:cat>
          <c:val>
            <c:numRef>
              <c:f>Data!$X$23:$X$34</c:f>
              <c:numCache>
                <c:formatCode>0%</c:formatCode>
                <c:ptCount val="12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0.16666666666666666</c:v>
                </c:pt>
                <c:pt idx="5">
                  <c:v>0.6428571428571429</c:v>
                </c:pt>
                <c:pt idx="6">
                  <c:v>0.43478260869565216</c:v>
                </c:pt>
                <c:pt idx="7">
                  <c:v>0.30303030303030304</c:v>
                </c:pt>
                <c:pt idx="8">
                  <c:v>0.39534883720930231</c:v>
                </c:pt>
                <c:pt idx="9">
                  <c:v>0.26666666666666666</c:v>
                </c:pt>
                <c:pt idx="10">
                  <c:v>0.31578947368421051</c:v>
                </c:pt>
                <c:pt idx="11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69-4375-BB96-B7298DF5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035775"/>
        <c:axId val="1064393439"/>
      </c:lineChart>
      <c:dateAx>
        <c:axId val="1063035775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93439"/>
        <c:crosses val="autoZero"/>
        <c:auto val="1"/>
        <c:lblOffset val="100"/>
        <c:baseTimeUnit val="days"/>
      </c:dateAx>
      <c:valAx>
        <c:axId val="10643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30</xdr:row>
      <xdr:rowOff>123825</xdr:rowOff>
    </xdr:from>
    <xdr:to>
      <xdr:col>22</xdr:col>
      <xdr:colOff>438150</xdr:colOff>
      <xdr:row>65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52B6D-D931-44BB-BC9A-0E295914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11</xdr:row>
      <xdr:rowOff>66675</xdr:rowOff>
    </xdr:from>
    <xdr:to>
      <xdr:col>22</xdr:col>
      <xdr:colOff>28575</xdr:colOff>
      <xdr:row>35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73B89-8DCD-44C4-B1E4-233848CF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B3F4D-E7CA-4143-B0EC-C5D07FF16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2</xdr:row>
      <xdr:rowOff>142874</xdr:rowOff>
    </xdr:from>
    <xdr:to>
      <xdr:col>23</xdr:col>
      <xdr:colOff>352425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44635-2923-4DC4-B3DE-BBDD17AC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4</xdr:row>
      <xdr:rowOff>19050</xdr:rowOff>
    </xdr:from>
    <xdr:to>
      <xdr:col>19</xdr:col>
      <xdr:colOff>142875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10904-A0BE-41B6-BB3C-4EE629784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1243012</xdr:colOff>
      <xdr:row>12</xdr:row>
      <xdr:rowOff>161924</xdr:rowOff>
    </xdr:from>
    <xdr:to>
      <xdr:col>18</xdr:col>
      <xdr:colOff>504825</xdr:colOff>
      <xdr:row>35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C0105-753C-4C2B-97C3-E0ED3F46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104775</xdr:rowOff>
    </xdr:from>
    <xdr:to>
      <xdr:col>11</xdr:col>
      <xdr:colOff>371475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8A690-BAF9-444F-A8E9-955AB8EE2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371474</xdr:colOff>
      <xdr:row>15</xdr:row>
      <xdr:rowOff>95249</xdr:rowOff>
    </xdr:from>
    <xdr:to>
      <xdr:col>11</xdr:col>
      <xdr:colOff>38099</xdr:colOff>
      <xdr:row>33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02642-8A20-451E-82C5-7908924D4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9525</xdr:rowOff>
    </xdr:from>
    <xdr:to>
      <xdr:col>15</xdr:col>
      <xdr:colOff>438150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8DE16-B656-44C2-B95B-197B6CEF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1</xdr:row>
      <xdr:rowOff>142875</xdr:rowOff>
    </xdr:from>
    <xdr:to>
      <xdr:col>23</xdr:col>
      <xdr:colOff>333375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22F68-80E2-497B-BAFF-773BB3384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123825</xdr:rowOff>
    </xdr:from>
    <xdr:to>
      <xdr:col>22</xdr:col>
      <xdr:colOff>504825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B1C0B-F9B8-4988-9F07-AC2803F63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4BB9A-8C89-49AE-8A26-574C17DED61A}" name="Data" displayName="Data" ref="A1:AN35" totalsRowShown="0" headerRowDxfId="179" dataDxfId="177" headerRowBorderDxfId="178" tableBorderDxfId="176" totalsRowBorderDxfId="175">
  <autoFilter ref="A1:AN35" xr:uid="{4B85C8C0-D087-4D48-9E65-AF70C439B36D}"/>
  <tableColumns count="40">
    <tableColumn id="1" xr3:uid="{537F76B1-0773-408D-AD11-67AD04BFF52D}" name="Date" dataDxfId="174"/>
    <tableColumn id="2" xr3:uid="{0008A3F2-641C-4618-8519-1BB2BB8CD8F1}" name="AS (Acc. Suspects)" dataDxfId="173"/>
    <tableColumn id="33" xr3:uid="{B1F41BDB-6F83-45BD-886D-945164699B24}" name="AC (Acc. Confirmed)" dataDxfId="172"/>
    <tableColumn id="35" xr3:uid="{D8AF82E6-615D-4268-9F5D-45734AB5BB49}" name="AR (Acc. Recovered)" dataDxfId="171"/>
    <tableColumn id="34" xr3:uid="{27A2DFCD-0B9B-4F48-B9EF-2777BE72D531}" name="AD (Acc. Deaths)" dataDxfId="170"/>
    <tableColumn id="39" xr3:uid="{A6FE9DB6-7EF5-4D96-B970-1E4084DE08C6}" name="AN (Acc. Negatives)" dataDxfId="169"/>
    <tableColumn id="38" xr3:uid="{F3572767-B889-4E30-A84E-C02E3F871279}" name="AH (Acc. Hospital)" dataDxfId="168"/>
    <tableColumn id="40" xr3:uid="{904CA045-71CF-4120-9C54-29CFD3B51156}" name="AI (Acc. ICU)" dataDxfId="167"/>
    <tableColumn id="37" xr3:uid="{1713B47D-516C-43E5-BB78-70FCE1C56DFC}" name="AL (Acc. Pending Lab)" dataDxfId="166"/>
    <tableColumn id="36" xr3:uid="{14A03D4F-82FF-430E-B0F4-6CB3B0E8AFA8}" name="AV (Acc. Surveillance)" dataDxfId="165"/>
    <tableColumn id="3" xr3:uid="{B05831DB-9EFA-484C-8251-3E968EF874D8}" name="DNS (Daily New Suspects)" dataDxfId="164"/>
    <tableColumn id="44" xr3:uid="{77353AAF-2FDA-4BBD-8786-4C210674B1BF}" name="DNC (Daily New Confirmed)" dataDxfId="163"/>
    <tableColumn id="45" xr3:uid="{C6181719-CC5E-4E1A-AC6B-2A5D74E2B3E8}" name="DNR (Daily New Recovered)" dataDxfId="162"/>
    <tableColumn id="46" xr3:uid="{51A594EE-5359-44DA-B689-56648C363749}" name="DND (Daily New Deaths)" dataDxfId="161"/>
    <tableColumn id="47" xr3:uid="{B7648E74-EBC4-484E-88B3-0045CEEB410F}" name="DNN (Daily New Negatives)" dataDxfId="160">
      <calculatedColumnFormula>Data[[#This Row],[AN (Acc. Negatives)]]-F1</calculatedColumnFormula>
    </tableColumn>
    <tableColumn id="42" xr3:uid="{737786A2-9F98-4CD5-AECE-E2E2D3BADFF1}" name="DNH (Daily New Hospital)" dataDxfId="159">
      <calculatedColumnFormula>Data[[#This Row],[AH (Acc. Hospital)]]-G1</calculatedColumnFormula>
    </tableColumn>
    <tableColumn id="43" xr3:uid="{BFCA8C58-56C5-48D8-B0D3-B4B44031A59A}" name="DNI (Daily New ICU)" dataDxfId="158">
      <calculatedColumnFormula>Data[[#This Row],[AI (Acc. ICU)]]-H1</calculatedColumnFormula>
    </tableColumn>
    <tableColumn id="48" xr3:uid="{6CACEBF4-593A-46BC-A478-6480A9259D84}" name="DNL (Daily New Pending Lab)" dataDxfId="157">
      <calculatedColumnFormula>Data[[#This Row],[AL (Acc. Pending Lab)]]-I1</calculatedColumnFormula>
    </tableColumn>
    <tableColumn id="41" xr3:uid="{ABA14777-C6C0-4F6C-BC57-D83D38487AE9}" name="DNV (Daily New Surveillance)" dataDxfId="156">
      <calculatedColumnFormula>Data[[#This Row],[AV (Acc. Surveillance)]]-J1</calculatedColumnFormula>
    </tableColumn>
    <tableColumn id="49" xr3:uid="{DE0E97D8-28EF-47F0-8805-8CD1C1585AC7}" name="Active Cases" dataDxfId="155">
      <calculatedColumnFormula>(Data[[#This Row],[AC (Acc. Confirmed)]])-(Data[[#This Row],[AR (Acc. Recovered)]]+Data[[#This Row],[AD (Acc. Deaths)]])</calculatedColumnFormula>
    </tableColumn>
    <tableColumn id="53" xr3:uid="{9C475E65-DFCB-436A-AD23-8D3E4AD41443}" name="DNS / Prev AS" dataDxfId="154">
      <calculatedColumnFormula>Data[[#This Row],[DNS (Daily New Suspects)]]/B1</calculatedColumnFormula>
    </tableColumn>
    <tableColumn id="50" xr3:uid="{F83577D1-CD7F-4B76-8269-2AAC4EE28699}" name="DNC / Prev AC" dataDxfId="153">
      <calculatedColumnFormula>Data[[#This Row],[DNC (Daily New Confirmed)]]/C1</calculatedColumnFormula>
    </tableColumn>
    <tableColumn id="56" xr3:uid="{9C72D354-7A51-4C64-8E4D-6DD3F10A82AE}" name="DNR / Prev AR" dataDxfId="152" dataCellStyle="Percent">
      <calculatedColumnFormula>Data[[#This Row],[DNR (Daily New Recovered)]]/D1</calculatedColumnFormula>
    </tableColumn>
    <tableColumn id="57" xr3:uid="{C219B621-113A-4218-B8D9-7CBAFE2631DD}" name="DND / Prev AD" dataDxfId="151" dataCellStyle="Percent">
      <calculatedColumnFormula>Data[[#This Row],[DND (Daily New Deaths)]]/E1</calculatedColumnFormula>
    </tableColumn>
    <tableColumn id="58" xr3:uid="{00EF6CA8-850A-4528-96CE-B66FA03F79D4}" name="Dif DNS vs Prev DNS" dataDxfId="150" dataCellStyle="Comma">
      <calculatedColumnFormula>Data[[#This Row],[DNS (Daily New Suspects)]]-K1</calculatedColumnFormula>
    </tableColumn>
    <tableColumn id="54" xr3:uid="{73F5E75A-2729-485C-9F78-BC5C00CF8374}" name="Dif DNC vs Prev DNC" dataDxfId="149" dataCellStyle="Percent">
      <calculatedColumnFormula>Data[[#This Row],[DNC (Daily New Confirmed)]]-L1</calculatedColumnFormula>
    </tableColumn>
    <tableColumn id="60" xr3:uid="{A41CC914-5342-480D-A1C2-03187BEF256A}" name="AC % AS" dataDxfId="148" dataCellStyle="Percent">
      <calculatedColumnFormula>Data[[#This Row],[AC (Acc. Confirmed)]]/Data[[#This Row],[AS (Acc. Suspects)]]</calculatedColumnFormula>
    </tableColumn>
    <tableColumn id="61" xr3:uid="{33847944-B458-4C0F-84FD-F9F641CE2A31}" name="AR % AC" dataDxfId="147" dataCellStyle="Percent">
      <calculatedColumnFormula>Data[[#This Row],[AR (Acc. Recovered)]]/Data[[#This Row],[AS (Acc. Suspects)]]</calculatedColumnFormula>
    </tableColumn>
    <tableColumn id="55" xr3:uid="{5EE34295-D892-40E8-B845-3100DD1F58B6}" name="AD % AC" dataDxfId="146" dataCellStyle="Percent">
      <calculatedColumnFormula>Data[[#This Row],[AD (Acc. Deaths)]]/Data[[#This Row],[AS (Acc. Suspects)]]</calculatedColumnFormula>
    </tableColumn>
    <tableColumn id="51" xr3:uid="{E97E275F-04DE-439A-8ACF-32433CE3A541}" name="AC % AN" dataDxfId="145">
      <calculatedColumnFormula>Data[[#This Row],[AC (Acc. Confirmed)]]/Data[[#This Row],[AN (Acc. Negatives)]]</calculatedColumnFormula>
    </tableColumn>
    <tableColumn id="66" xr3:uid="{C4A93212-B0D1-4EDC-BBB7-434A9E69C6D7}" name="AH % AC" dataDxfId="144">
      <calculatedColumnFormula>Data[[#This Row],[AH (Acc. Hospital)]]/Data[[#This Row],[AC (Acc. Confirmed)]]</calculatedColumnFormula>
    </tableColumn>
    <tableColumn id="67" xr3:uid="{FF08FDE4-B4F4-4855-A23B-2D2C917DBED6}" name="AI % AH" dataDxfId="143">
      <calculatedColumnFormula>Data[[#This Row],[AI (Acc. ICU)]]/Data[[#This Row],[AH (Acc. Hospital)]]</calculatedColumnFormula>
    </tableColumn>
    <tableColumn id="65" xr3:uid="{05B1C735-9629-4AE5-9401-D9B2E627C503}" name="AL % AS" dataDxfId="142">
      <calculatedColumnFormula>Data[[#This Row],[AL (Acc. Pending Lab)]]/Data[[#This Row],[AS (Acc. Suspects)]]</calculatedColumnFormula>
    </tableColumn>
    <tableColumn id="6" xr3:uid="{4BDCE953-A35F-4789-86A5-F98C4AA344AF}" name="AN % AS" dataDxfId="141" dataCellStyle="Percent">
      <calculatedColumnFormula>Data[[#This Row],[AN (Acc. Negatives)]]/Data[[#This Row],[AS (Acc. Suspects)]]</calculatedColumnFormula>
    </tableColumn>
    <tableColumn id="20" xr3:uid="{91D01986-5984-4F08-AC6D-83F70AB781EE}" name="DNC % DNS" dataDxfId="140">
      <calculatedColumnFormula>Data[[#This Row],[DNC (Daily New Confirmed)]]/Data[[#This Row],[DNS (Daily New Suspects)]]</calculatedColumnFormula>
    </tableColumn>
    <tableColumn id="64" xr3:uid="{A40F9A6C-FD69-41C8-BF89-8A30C5CA176D}" name="DNC % DNN" dataDxfId="139">
      <calculatedColumnFormula>Data[[#This Row],[DNC (Daily New Confirmed)]]/Data[[#This Row],[DNN (Daily New Negatives)]]</calculatedColumnFormula>
    </tableColumn>
    <tableColumn id="25" xr3:uid="{0951DA88-EDD7-4580-89E9-23D53B670CAC}" name="Report ID" dataDxfId="138"/>
    <tableColumn id="21" xr3:uid="{F7DAFDBF-582E-46C5-A32A-B945C74E2942}" name="Week" dataDxfId="137">
      <calculatedColumnFormula>WEEKNUM(Data[[#This Row],[Date]])</calculatedColumnFormula>
    </tableColumn>
    <tableColumn id="22" xr3:uid="{75E95CD2-5E14-44E8-AC6C-3D702007373D}" name="Month" dataDxfId="136">
      <calculatedColumnFormula>MONTH(Data[[#This Row],[Date]])</calculatedColumnFormula>
    </tableColumn>
    <tableColumn id="23" xr3:uid="{17EBFFFD-C3E6-4217-8A7D-0CC76F549881}" name="Weekday" dataDxfId="135">
      <calculatedColumnFormula>WEEKDAY(Data[[#This Row],[Date]])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C39AFD-3144-476C-B3B9-2FDF8FEE8B98}" name="Table6" displayName="Table6" ref="G1:H8" totalsRowShown="0">
  <autoFilter ref="G1:H8" xr:uid="{66E41041-43F6-42DA-A22E-3EF884E7F1EB}"/>
  <tableColumns count="2">
    <tableColumn id="1" xr3:uid="{854BB1E6-CD8B-43BE-A581-9E04301C956B}" name="Statistic"/>
    <tableColumn id="2" xr3:uid="{D5E6C5B9-F4D5-4BD1-888A-7BDC603B1A3E}" name="Value" dataDxfId="10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4145EB7-FBE8-4E3C-BA3F-75F6EB17DE4B}" name="Table14" displayName="Table14" ref="A1:E66" totalsRowShown="0" headerRowDxfId="122">
  <autoFilter ref="A1:E66" xr:uid="{55C7C5FF-BF58-4905-B69E-C7F94EE3A837}"/>
  <tableColumns count="5">
    <tableColumn id="1" xr3:uid="{517BE8E7-591D-46F8-B234-3EF76B78A8F9}" name="Timeline" dataDxfId="121"/>
    <tableColumn id="2" xr3:uid="{1AE710DC-7759-41C5-A500-5EF63D1BA08E}" name="Actuals" dataDxfId="120" dataCellStyle="Comma"/>
    <tableColumn id="4" xr3:uid="{7D5DDC68-F773-4B80-AE69-2070101A7700}" name="FCT0329" dataDxfId="101" dataCellStyle="Comma"/>
    <tableColumn id="5" xr3:uid="{378540BE-10CE-4A1C-9BD2-ECA3074D046B}" name="FCT0328" dataDxfId="119" dataCellStyle="Comma"/>
    <tableColumn id="3" xr3:uid="{E9BC202A-278C-4191-A924-F7FD31E1146E}" name="FCT0327" dataDxfId="118" dataCellStyle="Comma">
      <calculatedColumnFormula>_xlfn.FORECAST.ETS(A2,$B$2:$B$32,$A$2:$A$32,1,1)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4E325E-9B44-4284-9987-040E42758C27}" name="Table12" displayName="Table12" ref="A1:E66" totalsRowShown="0">
  <autoFilter ref="A1:E66" xr:uid="{D0C0E5A0-150E-4BC3-9A54-36FD983DE47B}"/>
  <tableColumns count="5">
    <tableColumn id="1" xr3:uid="{C9B50D03-8250-4543-95CD-EED0624019CD}" name="Timeline" dataDxfId="117"/>
    <tableColumn id="2" xr3:uid="{B5B0FC7D-9517-44D6-9EFA-E23CB1F07F14}" name="Values"/>
    <tableColumn id="3" xr3:uid="{690E0446-C719-4EFF-8C54-EDED600BC934}" name="Forecast" dataDxfId="116">
      <calculatedColumnFormula>_xlfn.FORECAST.ETS(A2,$B$2:$B$33,$A$2:$A$33,1,1)</calculatedColumnFormula>
    </tableColumn>
    <tableColumn id="4" xr3:uid="{302C5B06-359C-48AD-96B4-88516234CA9D}" name="Lower Confidence Bound" dataDxfId="115">
      <calculatedColumnFormula>C2-_xlfn.FORECAST.ETS.CONFINT(A2,$B$2:$B$33,$A$2:$A$33,0.95,1,1)</calculatedColumnFormula>
    </tableColumn>
    <tableColumn id="5" xr3:uid="{B1AF5A24-6EE5-4688-B674-AFA90988AD46}" name="Upper Confidence Bound" dataDxfId="114">
      <calculatedColumnFormula>C2+_xlfn.FORECAST.ETS.CONFINT(A2,$B$2:$B$33,$A$2:$A$33,0.95,1,1)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54158E1-B1EA-4ABB-B92E-F527194F7C32}" name="Table13" displayName="Table13" ref="G1:H8" totalsRowShown="0">
  <autoFilter ref="G1:H8" xr:uid="{E86A0924-9A27-4453-9FD7-C3E173E2122A}"/>
  <tableColumns count="2">
    <tableColumn id="1" xr3:uid="{87A794F4-5475-4B4D-932F-D4BAE1311704}" name="Statistic"/>
    <tableColumn id="2" xr3:uid="{0F5AF389-9B84-4B90-9338-C87DA3DC7DE5}" name="Value" dataDxfId="11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C716EB-189C-4BF6-998E-1D2CF8E02C60}" name="Table7" displayName="Table7" ref="A1:E66" totalsRowShown="0">
  <autoFilter ref="A1:E66" xr:uid="{1D716033-3E8F-41D7-9CA6-6B8D5334E625}"/>
  <tableColumns count="5">
    <tableColumn id="1" xr3:uid="{B7753375-F392-4412-B7B7-44E0CDBD6BC4}" name="Timeline" dataDxfId="106"/>
    <tableColumn id="2" xr3:uid="{AF7E08EC-900B-48C6-899B-D3435B9033F7}" name="Values"/>
    <tableColumn id="3" xr3:uid="{62C871DF-C231-421B-A8D5-519506B9798F}" name="Forecast" dataDxfId="105">
      <calculatedColumnFormula>_xlfn.FORECAST.ETS(A2,$B$2:$B$34,$A$2:$A$34,1,1)</calculatedColumnFormula>
    </tableColumn>
    <tableColumn id="4" xr3:uid="{96B2D1D1-E12D-4F3B-80AD-656D8440F63D}" name="Lower Confidence Bound" dataDxfId="104">
      <calculatedColumnFormula>C2-_xlfn.FORECAST.ETS.CONFINT(A2,$B$2:$B$34,$A$2:$A$34,0.95,1,1)</calculatedColumnFormula>
    </tableColumn>
    <tableColumn id="5" xr3:uid="{45E91D9B-B680-4259-AFF5-4304EBA04186}" name="Upper Confidence Bound" dataDxfId="103">
      <calculatedColumnFormula>C2+_xlfn.FORECAST.ETS.CONFINT(A2,$B$2:$B$34,$A$2:$A$34,0.95,1,1)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F695BC-A762-40B9-B592-7F4F16F6BDD9}" name="Table8" displayName="Table8" ref="G1:H8" totalsRowShown="0">
  <autoFilter ref="G1:H8" xr:uid="{2BA13796-2AB9-4A8B-9D6C-E0262E7073CF}"/>
  <tableColumns count="2">
    <tableColumn id="1" xr3:uid="{FD3A5A77-85DC-4530-B11A-B5CBCFC6A375}" name="Statistic"/>
    <tableColumn id="2" xr3:uid="{6CF8893A-E9C3-40CC-8F5B-2AF95DAEC2CB}" name="Value" dataDxfId="10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717DE98-B972-4C85-A3EE-9AD6570D6775}" name="Table16" displayName="Table16" ref="A1:V35" totalsRowShown="0" headerRowDxfId="44" dataDxfId="45" tableBorderDxfId="68">
  <autoFilter ref="A1:V35" xr:uid="{716D28C0-68F1-4C1C-B6EF-EFA31419B3FF}"/>
  <tableColumns count="22">
    <tableColumn id="1" xr3:uid="{CC312805-C04E-435F-BA24-914049467069}" name="Date" dataDxfId="67"/>
    <tableColumn id="2" xr3:uid="{F34A53F9-9834-4D04-A6E3-9C0E752F5DA2}" name="AC Norte" dataDxfId="66"/>
    <tableColumn id="3" xr3:uid="{7B3810AB-4DDF-4FC0-B031-B2DB14FCEDD0}" name="AD Norte" dataDxfId="65"/>
    <tableColumn id="4" xr3:uid="{9CDB8A2D-A353-4030-8ECA-162E3816C67C}" name="AR Norte" dataDxfId="64"/>
    <tableColumn id="5" xr3:uid="{36BCF0D9-72A6-4E78-8DDB-14EEDA107F2C}" name="AC Centro" dataDxfId="63"/>
    <tableColumn id="6" xr3:uid="{EE2C00D5-9C8A-4033-A061-691D5927E71F}" name="AD Centro" dataDxfId="62"/>
    <tableColumn id="7" xr3:uid="{7EE275A1-41B2-4817-91F0-8F0888F5812E}" name="AR Centro" dataDxfId="61"/>
    <tableColumn id="8" xr3:uid="{C5A6E775-87FA-47CA-AB7C-9ADF1E24BB28}" name="AC LVT" dataDxfId="60"/>
    <tableColumn id="9" xr3:uid="{191C6701-B51F-44F9-90F7-545DAD124133}" name="AD LVT" dataDxfId="59"/>
    <tableColumn id="10" xr3:uid="{2F528A8A-6118-4A03-9B76-68660FFEA791}" name="AR LVT" dataDxfId="58"/>
    <tableColumn id="11" xr3:uid="{F523C3C2-54B8-4B6E-B97B-A2E81BD7D6EB}" name="AC Alentejo" dataDxfId="57"/>
    <tableColumn id="12" xr3:uid="{B9F8FFBA-31A4-4754-A693-6C4BBB0A78CB}" name="AD Alentejo" dataDxfId="56"/>
    <tableColumn id="13" xr3:uid="{8FCACCF3-03AD-4891-94BD-26B7D81FC234}" name="AR Alentejo" dataDxfId="55"/>
    <tableColumn id="14" xr3:uid="{E8CB9EF7-EE2A-4030-AC64-28DB1C6B53B2}" name="AC Algarve" dataDxfId="54"/>
    <tableColumn id="15" xr3:uid="{B05E5CC3-8487-47EB-BBA8-C150F71C51AD}" name="AD Algarve" dataDxfId="53"/>
    <tableColumn id="16" xr3:uid="{75D4ABCA-D534-4F74-95C5-B6C8C5D2A4E2}" name="AR Algarve" dataDxfId="52"/>
    <tableColumn id="17" xr3:uid="{E7CED1AF-CB51-44E8-9A33-1D32F56886BA}" name="AC Açores" dataDxfId="51"/>
    <tableColumn id="18" xr3:uid="{AF019EE5-A0E2-4862-8253-2833AD481C3F}" name="AD Açores" dataDxfId="50"/>
    <tableColumn id="19" xr3:uid="{E2D43AA8-8B24-4CCB-9D65-D8687AE6DF7D}" name="AR Açores" dataDxfId="49"/>
    <tableColumn id="20" xr3:uid="{724EA442-91C0-4629-A3AB-3326ADF33032}" name="AC Madeira" dataDxfId="48"/>
    <tableColumn id="21" xr3:uid="{D330CD24-8A6B-49A0-AEE0-25C9694CA2E1}" name="AD Madeira" dataDxfId="47"/>
    <tableColumn id="22" xr3:uid="{14769248-796C-452F-AE9A-6857EA27C42C}" name="AR Madeira" dataDxfId="4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2DA5E9B-6785-4C19-BB56-14E62BDB5F1B}" name="Table17" displayName="Table17" ref="A1:AE35" totalsRowShown="0" headerRowDxfId="11" dataDxfId="12">
  <autoFilter ref="A1:AE35" xr:uid="{02C0ADC7-512F-4BCE-B0EB-B87864B3F40F}"/>
  <tableColumns count="31">
    <tableColumn id="1" xr3:uid="{7050856C-DAD5-46C1-94CB-F88CE63D6337}" name="Date" dataDxfId="43"/>
    <tableColumn id="2" xr3:uid="{F1E19F5D-9B72-4546-8A78-A473DBEE8D9E}" name="00-09 M" dataDxfId="42"/>
    <tableColumn id="3" xr3:uid="{9FB683CA-0E87-4D77-AC57-F197191806E1}" name="00-09 F" dataDxfId="41"/>
    <tableColumn id="4" xr3:uid="{7E989C5A-1393-43FE-948F-995B243B53F1}" name="10-19 M" dataDxfId="40"/>
    <tableColumn id="5" xr3:uid="{DE3B0931-F62E-4572-9C56-56A738B55734}" name="10-19 F" dataDxfId="39"/>
    <tableColumn id="6" xr3:uid="{3678CB35-3E5E-4FE2-B6AA-B10D51826EF6}" name="20-29 M" dataDxfId="38"/>
    <tableColumn id="7" xr3:uid="{942A829D-A0A2-4614-8344-DB2CDC75D905}" name="20-29 F" dataDxfId="37"/>
    <tableColumn id="8" xr3:uid="{61818E1C-4FB0-47DB-B5A1-92CA0C27518E}" name="30-39 M" dataDxfId="36"/>
    <tableColumn id="9" xr3:uid="{B8D82C18-77EF-47BB-8912-A31E7103B768}" name="30-39 F" dataDxfId="35"/>
    <tableColumn id="10" xr3:uid="{46744610-3A23-4696-B5AD-E67D24EAA336}" name="40-49 M" dataDxfId="34"/>
    <tableColumn id="11" xr3:uid="{04FF77FC-7E26-475D-BD0D-60DBA85BCD81}" name="40-49 F" dataDxfId="33"/>
    <tableColumn id="12" xr3:uid="{D04A60E5-DE7D-4062-9245-6C3FEFB46A07}" name="50-59 M" dataDxfId="32"/>
    <tableColumn id="13" xr3:uid="{E5079768-93E3-4EF8-93FB-57071EEF3DC9}" name="50-59 F" dataDxfId="31"/>
    <tableColumn id="14" xr3:uid="{5B5F27A7-CF66-43F7-A51E-E8BB0BCC75BD}" name="60-69 M" dataDxfId="30"/>
    <tableColumn id="15" xr3:uid="{90514E53-00C7-4279-B156-7ABBE6A75591}" name="60-69 F" dataDxfId="29"/>
    <tableColumn id="16" xr3:uid="{BAA1495B-4924-47BB-BCD7-6B756CBAFB90}" name="70-79 M" dataDxfId="28"/>
    <tableColumn id="17" xr3:uid="{E368277F-631F-491D-907E-235696352712}" name="70-79 F" dataDxfId="27"/>
    <tableColumn id="18" xr3:uid="{2C9246C7-8738-46F3-B09E-510CAE05F203}" name="80+ M" dataDxfId="26"/>
    <tableColumn id="19" xr3:uid="{05127985-2E2C-4651-B044-0430F0F6F52C}" name="80+ F" dataDxfId="25"/>
    <tableColumn id="20" xr3:uid="{00F3BFA4-247C-4328-BC13-3E31980DF422}" name="Total" dataDxfId="24"/>
    <tableColumn id="21" xr3:uid="{639D2BFD-7297-42C0-A805-58CFDA90E37C}" name="Total M" dataDxfId="23"/>
    <tableColumn id="22" xr3:uid="{5B392D7C-BC0B-4C15-8637-161453AC7C2D}" name="Total F" dataDxfId="22"/>
    <tableColumn id="23" xr3:uid="{AF50D3C7-AD1F-469F-B0C9-DCA651EB1EC4}" name="Total 00-09" dataDxfId="21"/>
    <tableColumn id="24" xr3:uid="{D05910C3-FE3E-49B6-90F0-0D0BE865F5EB}" name="Total 10-19" dataDxfId="20"/>
    <tableColumn id="25" xr3:uid="{D252DEF6-43BC-407F-A5A6-575482DD293A}" name="Total 20-29" dataDxfId="19"/>
    <tableColumn id="26" xr3:uid="{16D7547D-3043-4114-AB74-C13D6DBCE3A7}" name="Total 30-39" dataDxfId="18"/>
    <tableColumn id="27" xr3:uid="{CEEC366B-4A9B-4434-A64D-E2B46464D1A0}" name="Total 40-49" dataDxfId="17"/>
    <tableColumn id="28" xr3:uid="{093D6877-36F1-4707-A4FC-3F965935E74B}" name="Total 50-59" dataDxfId="16"/>
    <tableColumn id="29" xr3:uid="{52665D76-598D-4617-8183-66F958F22691}" name="Total 60-69" dataDxfId="15"/>
    <tableColumn id="30" xr3:uid="{750A35CF-D196-4FDF-B40C-FD2621450DA8}" name="Total 70-79" dataDxfId="14"/>
    <tableColumn id="31" xr3:uid="{D902CA3E-BD38-4DAF-B639-9D151EDBD3CC}" name="Total 80+" dataDxfId="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DD42AC-ACE7-4257-BEA2-8D291A96C0CA}" name="Table15" displayName="Table15" ref="A1:H35" totalsRowShown="0" headerRowDxfId="69" dataDxfId="70" dataCellStyle="Percent">
  <autoFilter ref="A1:H35" xr:uid="{A78F4D72-024E-4CA8-A7A0-30EBD24EC1AA}"/>
  <tableColumns count="8">
    <tableColumn id="1" xr3:uid="{CF64E061-AFFE-4BC7-9645-CF6840F3D0C7}" name="Date" dataDxfId="78"/>
    <tableColumn id="2" xr3:uid="{BF18176E-0495-4890-B824-78A749CE1EFB}" name="Fever" dataDxfId="77" dataCellStyle="Percent"/>
    <tableColumn id="3" xr3:uid="{8F89F8A2-D8D1-4FA4-9FF3-4AE1FE645F05}" name="Cough" dataDxfId="76" dataCellStyle="Percent"/>
    <tableColumn id="4" xr3:uid="{528A2345-489E-4354-9957-978EE37AEFE3}" name="Breathing Difficulties" dataDxfId="75" dataCellStyle="Percent"/>
    <tableColumn id="5" xr3:uid="{1F52073C-6C2B-4753-97B5-7DEBFC25358B}" name="Cefaleia" dataDxfId="74" dataCellStyle="Percent"/>
    <tableColumn id="6" xr3:uid="{94D8D17B-7500-482D-8D2A-245E98D07015}" name="Muscle Pain" dataDxfId="73" dataCellStyle="Percent"/>
    <tableColumn id="7" xr3:uid="{75B53319-BF28-4386-9025-FF891994023D}" name="Weakness" dataDxfId="72" dataCellStyle="Percent"/>
    <tableColumn id="8" xr3:uid="{4144A88C-3D61-4F0A-8922-32C381201045}" name="% Cases" dataDxfId="71" dataCellStyle="Percent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620982-D3AB-48F7-8BD9-EF6AC574CF75}" name="Table9" displayName="Table9" ref="A1:AE35" totalsRowShown="0" headerRowDxfId="99" dataDxfId="100">
  <autoFilter ref="A1:AE35" xr:uid="{047AEC0F-50FA-441C-A1B8-AF38025172DC}"/>
  <tableColumns count="31">
    <tableColumn id="1" xr3:uid="{7F4E97FC-A206-431D-B8CE-8B178487A439}" name="Date" dataDxfId="98"/>
    <tableColumn id="2" xr3:uid="{71E73F4C-2E09-40FA-8B05-C533A9A94FDC}" name="00-09 M" dataDxfId="97"/>
    <tableColumn id="3" xr3:uid="{FBBCD7E8-B33A-48D5-8A1F-6D8F4C00D1AB}" name="00-09 F" dataDxfId="96"/>
    <tableColumn id="4" xr3:uid="{E7A35254-8CCD-48CC-B523-48CF4BDA2A09}" name="10-19 M" dataDxfId="95"/>
    <tableColumn id="5" xr3:uid="{438B48ED-5C59-44FD-BBF8-0DB51A920E87}" name="10-19 F" dataDxfId="94"/>
    <tableColumn id="6" xr3:uid="{D7F0FD54-F77B-43C6-A924-3F35AFAC7EE0}" name="20-29 M" dataDxfId="93"/>
    <tableColumn id="7" xr3:uid="{2AF21253-3D08-445F-A078-969B3D1392C6}" name="20-29 F" dataDxfId="92"/>
    <tableColumn id="8" xr3:uid="{5AF1D027-5286-499B-A222-335014A353BE}" name="30-39 M" dataDxfId="91"/>
    <tableColumn id="9" xr3:uid="{0BE71BC2-843F-47B7-8641-7BEBEA29F431}" name="30-39 F" dataDxfId="90"/>
    <tableColumn id="10" xr3:uid="{E04C7A7C-45A1-4E5B-8F64-FC696D0FD24B}" name="40-49 M" dataDxfId="89"/>
    <tableColumn id="11" xr3:uid="{15E822E6-71D8-4C82-9488-DA4D32251582}" name="40-49 F" dataDxfId="88"/>
    <tableColumn id="12" xr3:uid="{7DE54C12-6FB4-4348-BEF4-E0461728FCEC}" name="50-59 M" dataDxfId="87"/>
    <tableColumn id="13" xr3:uid="{AAB36846-43A8-495A-81FF-35880082A759}" name="50-59 F" dataDxfId="86"/>
    <tableColumn id="14" xr3:uid="{C96802F4-1AE2-4D78-B177-729F1031AF6C}" name="60-69 M" dataDxfId="85"/>
    <tableColumn id="15" xr3:uid="{3BDFE657-2993-4EFE-95F8-A60363BEF897}" name="60-69 F" dataDxfId="84"/>
    <tableColumn id="16" xr3:uid="{970C9B1A-276C-48C8-9904-BF52B96574A5}" name="70-79 M" dataDxfId="83"/>
    <tableColumn id="17" xr3:uid="{9A24E52D-C94F-492C-BA75-AD8680423C15}" name="70-79 F" dataDxfId="82"/>
    <tableColumn id="18" xr3:uid="{1ADAA5DD-400B-4B54-A3E7-3BC51EDDA740}" name="80+ M" dataDxfId="81"/>
    <tableColumn id="19" xr3:uid="{C1318C6C-3089-4BC6-9FFD-D303EB20D5C8}" name="80+ F" dataDxfId="80"/>
    <tableColumn id="20" xr3:uid="{A8805D79-C20C-4688-9D15-F52AFEA3EF18}" name="Total" dataDxfId="79"/>
    <tableColumn id="21" xr3:uid="{39A8224D-9EDF-41B0-A4BE-475E4A4CC199}" name="Total M" dataDxfId="10"/>
    <tableColumn id="22" xr3:uid="{B53CCC57-8388-4829-B9A5-2B9D2FC1B347}" name="Total F" dataDxfId="9"/>
    <tableColumn id="23" xr3:uid="{F9B713DE-97EA-43B8-AA82-6F2A4C98A998}" name="Total 00-09" dataDxfId="8"/>
    <tableColumn id="24" xr3:uid="{420DF660-0CC1-403C-8620-8F38B18DBD41}" name="Total 10-19" dataDxfId="7"/>
    <tableColumn id="25" xr3:uid="{B7A6666F-D2AC-478E-B3DC-4237C73F0DD0}" name="Total 20-29" dataDxfId="6"/>
    <tableColumn id="26" xr3:uid="{59E2C8AC-CF4F-44ED-8D85-05FE8104E2FD}" name="Total 30-39" dataDxfId="5"/>
    <tableColumn id="27" xr3:uid="{90056579-466D-4DB6-A3A3-1EE8A138F641}" name="Total 40-49" dataDxfId="4"/>
    <tableColumn id="28" xr3:uid="{D9A5F6C6-ACE2-4A39-975D-796CF5408109}" name="Total 50-59" dataDxfId="3"/>
    <tableColumn id="29" xr3:uid="{0F467BB6-0302-48EE-8AE2-F84C4FFAC063}" name="Total 60-69" dataDxfId="2"/>
    <tableColumn id="30" xr3:uid="{5626C75E-6B25-47B8-88C8-65D2BBF58B4B}" name="Total 70-79" dataDxfId="1"/>
    <tableColumn id="31" xr3:uid="{19289A03-FFBD-4D20-AF71-46EFED0AD41B}" name="Total 80+" dataDxfId="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8B474E-7313-4CDA-898A-F42D1BB90707}" name="Table4" displayName="Table4" ref="A1:E66" totalsRowShown="0" headerRowDxfId="134" dataDxfId="133" tableBorderDxfId="132" dataCellStyle="Comma">
  <autoFilter ref="A1:E66" xr:uid="{F215F903-A661-4A02-88A8-B5EF1B6BD985}"/>
  <tableColumns count="5">
    <tableColumn id="1" xr3:uid="{FE63B76F-DE7C-4023-925A-5B0E6DE82229}" name="Timeline" dataDxfId="131"/>
    <tableColumn id="2" xr3:uid="{76C9CB77-B863-4452-ACBD-78363520B942}" name="Actuals" dataDxfId="130" dataCellStyle="Comma"/>
    <tableColumn id="5" xr3:uid="{D8FBD313-8CA7-46DA-A7E2-48E8385395ED}" name="FCT0329" dataDxfId="112" dataCellStyle="Comma"/>
    <tableColumn id="3" xr3:uid="{3D0DE8D3-36AD-43B3-8007-CC9DC167A0C2}" name="FCT0328" dataDxfId="129" dataCellStyle="Comma"/>
    <tableColumn id="4" xr3:uid="{1503E8D9-37AB-49BD-BEFE-2B53D0459014}" name="FCT0327" dataDxfId="128" dataCellStyle="Comma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2B141E4-3E13-47A2-8341-A7D5FD70E2CF}" name="Table10" displayName="Table10" ref="A1:E66" totalsRowShown="0">
  <autoFilter ref="A1:E66" xr:uid="{D9EA3EA6-45E8-42E0-9715-75DEE5808C87}"/>
  <tableColumns count="5">
    <tableColumn id="1" xr3:uid="{32815590-5F9F-4781-86BA-E237D749AADB}" name="Timeline" dataDxfId="127"/>
    <tableColumn id="2" xr3:uid="{4FC79A25-59CB-44F5-804A-032F4DDBD6D6}" name="Values"/>
    <tableColumn id="3" xr3:uid="{34C1C7E1-EF41-4104-8FB5-67AAA80840BF}" name="Forecast" dataDxfId="126">
      <calculatedColumnFormula>_xlfn.FORECAST.ETS(A2,$B$2:$B$33,$A$2:$A$33,1,1)</calculatedColumnFormula>
    </tableColumn>
    <tableColumn id="4" xr3:uid="{425B71B7-6019-4334-BE7B-DFDC22BA49E9}" name="Lower Confidence Bound" dataDxfId="125">
      <calculatedColumnFormula>C2-_xlfn.FORECAST.ETS.CONFINT(A2,$B$2:$B$33,$A$2:$A$33,0.95,1,1)</calculatedColumnFormula>
    </tableColumn>
    <tableColumn id="5" xr3:uid="{5981AE1E-B24D-4B97-A76E-B02532A2B6CF}" name="Upper Confidence Bound" dataDxfId="124">
      <calculatedColumnFormula>C2+_xlfn.FORECAST.ETS.CONFINT(A2,$B$2:$B$33,$A$2:$A$33,0.95,1,1)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D24B4D-3134-4BBD-8E54-455A41AD17D3}" name="Table11" displayName="Table11" ref="G1:H8" totalsRowShown="0">
  <autoFilter ref="G1:H8" xr:uid="{1F91246C-2F26-43E7-AD66-C817792AE31B}"/>
  <tableColumns count="2">
    <tableColumn id="1" xr3:uid="{09F47A8E-4996-4E18-8F23-ED854F034072}" name="Statistic"/>
    <tableColumn id="2" xr3:uid="{7AC38D9D-B81C-4406-B973-92EAE7C710C8}" name="Value" dataDxfId="1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558479-9565-4363-B4F4-4ED5E9BC1D24}" name="Table5" displayName="Table5" ref="A1:E66" totalsRowShown="0">
  <autoFilter ref="A1:E66" xr:uid="{AF8C4288-5F45-4C29-81BB-133975185659}"/>
  <tableColumns count="5">
    <tableColumn id="1" xr3:uid="{C96EDB80-1228-4227-85C2-F55F0E35299A}" name="Timeline" dataDxfId="111"/>
    <tableColumn id="2" xr3:uid="{F5ADF1DF-65BE-4BF5-917D-E58C962EAE17}" name="Values"/>
    <tableColumn id="3" xr3:uid="{9E8DE8F8-E5F4-474B-9209-B9F83AEB14B5}" name="Forecast" dataDxfId="110">
      <calculatedColumnFormula>_xlfn.FORECAST.ETS(A2,$B$2:$B$34,$A$2:$A$34,1,1)</calculatedColumnFormula>
    </tableColumn>
    <tableColumn id="4" xr3:uid="{535035C7-644C-48E2-A721-798DEABA831B}" name="Lower Confidence Bound" dataDxfId="109">
      <calculatedColumnFormula>C2-_xlfn.FORECAST.ETS.CONFINT(A2,$B$2:$B$34,$A$2:$A$34,0.95,1,1)</calculatedColumnFormula>
    </tableColumn>
    <tableColumn id="5" xr3:uid="{441F0116-CFB7-40D8-83FD-90B2CA552168}" name="Upper Confidence Bound" dataDxfId="108">
      <calculatedColumnFormula>C2+_xlfn.FORECAST.ETS.CONFINT(A2,$B$2:$B$34,$A$2:$A$34,0.95,1,1)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BEF7-1EBF-4C6F-A5A0-018842EA1507}">
  <dimension ref="A1:AN35"/>
  <sheetViews>
    <sheetView workbookViewId="0">
      <pane ySplit="1" topLeftCell="A2" activePane="bottomLeft" state="frozen"/>
      <selection pane="bottomLeft" sqref="A1:A35"/>
    </sheetView>
  </sheetViews>
  <sheetFormatPr defaultRowHeight="11.25" x14ac:dyDescent="0.2"/>
  <cols>
    <col min="1" max="1" width="8.42578125" style="10" bestFit="1" customWidth="1"/>
    <col min="2" max="10" width="5.7109375" style="29" customWidth="1"/>
    <col min="11" max="19" width="5.7109375" style="30" customWidth="1"/>
    <col min="20" max="24" width="5.7109375" style="31" customWidth="1"/>
    <col min="25" max="25" width="5.7109375" style="32" customWidth="1"/>
    <col min="26" max="28" width="5.7109375" style="33" customWidth="1"/>
    <col min="29" max="34" width="5.7109375" style="31" customWidth="1"/>
    <col min="35" max="36" width="5.7109375" style="10" customWidth="1"/>
    <col min="37" max="40" width="5.7109375" style="34" customWidth="1"/>
    <col min="41" max="16384" width="9.140625" style="10"/>
  </cols>
  <sheetData>
    <row r="1" spans="1:40" ht="64.5" thickBot="1" x14ac:dyDescent="0.25">
      <c r="A1" s="2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4" t="s">
        <v>18</v>
      </c>
      <c r="L1" s="4" t="s">
        <v>21</v>
      </c>
      <c r="M1" s="4" t="s">
        <v>19</v>
      </c>
      <c r="N1" s="4" t="s">
        <v>20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5" t="s">
        <v>2</v>
      </c>
      <c r="U1" s="5" t="s">
        <v>27</v>
      </c>
      <c r="V1" s="5" t="s">
        <v>28</v>
      </c>
      <c r="W1" s="5" t="s">
        <v>29</v>
      </c>
      <c r="X1" s="5" t="s">
        <v>30</v>
      </c>
      <c r="Y1" s="6" t="s">
        <v>7</v>
      </c>
      <c r="Z1" s="7" t="s">
        <v>1</v>
      </c>
      <c r="AA1" s="7" t="s">
        <v>31</v>
      </c>
      <c r="AB1" s="7" t="s">
        <v>32</v>
      </c>
      <c r="AC1" s="5" t="s">
        <v>33</v>
      </c>
      <c r="AD1" s="5" t="s">
        <v>35</v>
      </c>
      <c r="AE1" s="5" t="s">
        <v>37</v>
      </c>
      <c r="AF1" s="5" t="s">
        <v>38</v>
      </c>
      <c r="AG1" s="5" t="s">
        <v>39</v>
      </c>
      <c r="AH1" s="5" t="s">
        <v>72</v>
      </c>
      <c r="AI1" s="8" t="s">
        <v>3</v>
      </c>
      <c r="AJ1" s="8" t="s">
        <v>36</v>
      </c>
      <c r="AK1" s="9" t="s">
        <v>8</v>
      </c>
      <c r="AL1" s="9" t="s">
        <v>4</v>
      </c>
      <c r="AM1" s="9" t="s">
        <v>5</v>
      </c>
      <c r="AN1" s="9" t="s">
        <v>6</v>
      </c>
    </row>
    <row r="2" spans="1:40" ht="13.5" thickBot="1" x14ac:dyDescent="0.3">
      <c r="A2" s="11">
        <v>43887</v>
      </c>
      <c r="B2" s="37">
        <v>25</v>
      </c>
      <c r="C2" s="37">
        <v>0</v>
      </c>
      <c r="D2" s="37">
        <v>0</v>
      </c>
      <c r="E2" s="37">
        <v>0</v>
      </c>
      <c r="F2" s="38"/>
      <c r="G2" s="38"/>
      <c r="H2" s="38"/>
      <c r="I2" s="38"/>
      <c r="J2" s="38"/>
      <c r="K2" s="39">
        <v>25</v>
      </c>
      <c r="L2" s="39">
        <v>0</v>
      </c>
      <c r="M2" s="39">
        <v>0</v>
      </c>
      <c r="N2" s="40">
        <v>0</v>
      </c>
      <c r="O2" s="39"/>
      <c r="P2" s="39"/>
      <c r="Q2" s="39"/>
      <c r="R2" s="39"/>
      <c r="S2" s="39"/>
      <c r="T2" s="41">
        <f>(Data[[#This Row],[AC (Acc. Confirmed)]])-(Data[[#This Row],[AR (Acc. Recovered)]]+Data[[#This Row],[AD (Acc. Deaths)]])</f>
        <v>0</v>
      </c>
      <c r="U2" s="13"/>
      <c r="V2" s="13"/>
      <c r="W2" s="13"/>
      <c r="X2" s="13"/>
      <c r="Y2" s="41"/>
      <c r="Z2" s="41"/>
      <c r="AA2" s="13">
        <f>Data[[#This Row],[AC (Acc. Confirmed)]]/Data[[#This Row],[AS (Acc. Suspects)]]</f>
        <v>0</v>
      </c>
      <c r="AB2" s="14">
        <f>Data[[#This Row],[AR (Acc. Recovered)]]/Data[[#This Row],[AS (Acc. Suspects)]]</f>
        <v>0</v>
      </c>
      <c r="AC2" s="14">
        <f>Data[[#This Row],[AD (Acc. Deaths)]]/Data[[#This Row],[AS (Acc. Suspects)]]</f>
        <v>0</v>
      </c>
      <c r="AD2" s="13"/>
      <c r="AE2" s="13"/>
      <c r="AF2" s="13"/>
      <c r="AG2" s="13">
        <f>Data[[#This Row],[AL (Acc. Pending Lab)]]/Data[[#This Row],[AS (Acc. Suspects)]]</f>
        <v>0</v>
      </c>
      <c r="AH2" s="13">
        <f>Data[[#This Row],[AN (Acc. Negatives)]]/Data[[#This Row],[AS (Acc. Suspects)]]</f>
        <v>0</v>
      </c>
      <c r="AI2" s="15">
        <f>Data[[#This Row],[DNC (Daily New Confirmed)]]/Data[[#This Row],[DNS (Daily New Suspects)]]</f>
        <v>0</v>
      </c>
      <c r="AJ2" s="16"/>
      <c r="AK2" s="17"/>
      <c r="AL2" s="17">
        <f>WEEKNUM(Data[[#This Row],[Date]])</f>
        <v>9</v>
      </c>
      <c r="AM2" s="17">
        <f>MONTH(Data[[#This Row],[Date]])</f>
        <v>2</v>
      </c>
      <c r="AN2" s="18">
        <f>WEEKDAY(Data[[#This Row],[Date]])</f>
        <v>4</v>
      </c>
    </row>
    <row r="3" spans="1:40" ht="13.5" thickBot="1" x14ac:dyDescent="0.3">
      <c r="A3" s="11">
        <v>43888</v>
      </c>
      <c r="B3" s="37">
        <v>51</v>
      </c>
      <c r="C3" s="37">
        <v>0</v>
      </c>
      <c r="D3" s="37">
        <v>0</v>
      </c>
      <c r="E3" s="37">
        <v>0</v>
      </c>
      <c r="F3" s="38"/>
      <c r="G3" s="38"/>
      <c r="H3" s="38"/>
      <c r="I3" s="38"/>
      <c r="J3" s="38"/>
      <c r="K3" s="39">
        <v>26</v>
      </c>
      <c r="L3" s="39">
        <v>0</v>
      </c>
      <c r="M3" s="39">
        <v>0</v>
      </c>
      <c r="N3" s="40">
        <v>0</v>
      </c>
      <c r="O3" s="39">
        <f>Data[[#This Row],[AN (Acc. Negatives)]]-F2</f>
        <v>0</v>
      </c>
      <c r="P3" s="39">
        <f>Data[[#This Row],[AH (Acc. Hospital)]]-G2</f>
        <v>0</v>
      </c>
      <c r="Q3" s="39">
        <f>Data[[#This Row],[AI (Acc. ICU)]]-H2</f>
        <v>0</v>
      </c>
      <c r="R3" s="39">
        <f>Data[[#This Row],[AL (Acc. Pending Lab)]]-I2</f>
        <v>0</v>
      </c>
      <c r="S3" s="39">
        <f>Data[[#This Row],[AV (Acc. Surveillance)]]-J2</f>
        <v>0</v>
      </c>
      <c r="T3" s="41">
        <f>(Data[[#This Row],[AC (Acc. Confirmed)]])-(Data[[#This Row],[AR (Acc. Recovered)]]+Data[[#This Row],[AD (Acc. Deaths)]])</f>
        <v>0</v>
      </c>
      <c r="U3" s="13">
        <f>Data[[#This Row],[DNS (Daily New Suspects)]]/B2</f>
        <v>1.04</v>
      </c>
      <c r="V3" s="13"/>
      <c r="W3" s="13"/>
      <c r="X3" s="13"/>
      <c r="Y3" s="41">
        <f>Data[[#This Row],[DNS (Daily New Suspects)]]-K2</f>
        <v>1</v>
      </c>
      <c r="Z3" s="41">
        <f>Data[[#This Row],[DNC (Daily New Confirmed)]]-L2</f>
        <v>0</v>
      </c>
      <c r="AA3" s="13">
        <f>Data[[#This Row],[AC (Acc. Confirmed)]]/Data[[#This Row],[AS (Acc. Suspects)]]</f>
        <v>0</v>
      </c>
      <c r="AB3" s="14">
        <f>Data[[#This Row],[AR (Acc. Recovered)]]/Data[[#This Row],[AS (Acc. Suspects)]]</f>
        <v>0</v>
      </c>
      <c r="AC3" s="14">
        <f>Data[[#This Row],[AD (Acc. Deaths)]]/Data[[#This Row],[AS (Acc. Suspects)]]</f>
        <v>0</v>
      </c>
      <c r="AD3" s="13"/>
      <c r="AE3" s="13"/>
      <c r="AF3" s="13"/>
      <c r="AG3" s="13">
        <f>Data[[#This Row],[AL (Acc. Pending Lab)]]/Data[[#This Row],[AS (Acc. Suspects)]]</f>
        <v>0</v>
      </c>
      <c r="AH3" s="13">
        <f>Data[[#This Row],[AN (Acc. Negatives)]]/Data[[#This Row],[AS (Acc. Suspects)]]</f>
        <v>0</v>
      </c>
      <c r="AI3" s="15">
        <f>Data[[#This Row],[DNC (Daily New Confirmed)]]/Data[[#This Row],[DNS (Daily New Suspects)]]</f>
        <v>0</v>
      </c>
      <c r="AJ3" s="16"/>
      <c r="AK3" s="17"/>
      <c r="AL3" s="17">
        <f>WEEKNUM(Data[[#This Row],[Date]])</f>
        <v>9</v>
      </c>
      <c r="AM3" s="17">
        <f>MONTH(Data[[#This Row],[Date]])</f>
        <v>2</v>
      </c>
      <c r="AN3" s="18">
        <f>WEEKDAY(Data[[#This Row],[Date]])</f>
        <v>5</v>
      </c>
    </row>
    <row r="4" spans="1:40" ht="13.5" thickBot="1" x14ac:dyDescent="0.3">
      <c r="A4" s="11">
        <v>43889</v>
      </c>
      <c r="B4" s="37">
        <v>59</v>
      </c>
      <c r="C4" s="37">
        <v>0</v>
      </c>
      <c r="D4" s="37">
        <v>0</v>
      </c>
      <c r="E4" s="37">
        <v>0</v>
      </c>
      <c r="F4" s="38"/>
      <c r="G4" s="38"/>
      <c r="H4" s="38"/>
      <c r="I4" s="38"/>
      <c r="J4" s="38"/>
      <c r="K4" s="39">
        <v>8</v>
      </c>
      <c r="L4" s="39">
        <v>0</v>
      </c>
      <c r="M4" s="39">
        <v>0</v>
      </c>
      <c r="N4" s="40">
        <v>0</v>
      </c>
      <c r="O4" s="39">
        <f>Data[[#This Row],[AN (Acc. Negatives)]]-F3</f>
        <v>0</v>
      </c>
      <c r="P4" s="39">
        <f>Data[[#This Row],[AH (Acc. Hospital)]]-G3</f>
        <v>0</v>
      </c>
      <c r="Q4" s="39">
        <f>Data[[#This Row],[AI (Acc. ICU)]]-H3</f>
        <v>0</v>
      </c>
      <c r="R4" s="39">
        <f>Data[[#This Row],[AL (Acc. Pending Lab)]]-I3</f>
        <v>0</v>
      </c>
      <c r="S4" s="39">
        <f>Data[[#This Row],[AV (Acc. Surveillance)]]-J3</f>
        <v>0</v>
      </c>
      <c r="T4" s="41">
        <f>(Data[[#This Row],[AC (Acc. Confirmed)]])-(Data[[#This Row],[AR (Acc. Recovered)]]+Data[[#This Row],[AD (Acc. Deaths)]])</f>
        <v>0</v>
      </c>
      <c r="U4" s="13">
        <f>Data[[#This Row],[DNS (Daily New Suspects)]]/B3</f>
        <v>0.15686274509803921</v>
      </c>
      <c r="V4" s="13"/>
      <c r="W4" s="13"/>
      <c r="X4" s="13"/>
      <c r="Y4" s="41">
        <f>Data[[#This Row],[DNS (Daily New Suspects)]]-K3</f>
        <v>-18</v>
      </c>
      <c r="Z4" s="41">
        <f>Data[[#This Row],[DNC (Daily New Confirmed)]]-L3</f>
        <v>0</v>
      </c>
      <c r="AA4" s="13">
        <f>Data[[#This Row],[AC (Acc. Confirmed)]]/Data[[#This Row],[AS (Acc. Suspects)]]</f>
        <v>0</v>
      </c>
      <c r="AB4" s="14">
        <f>Data[[#This Row],[AR (Acc. Recovered)]]/Data[[#This Row],[AS (Acc. Suspects)]]</f>
        <v>0</v>
      </c>
      <c r="AC4" s="14">
        <f>Data[[#This Row],[AD (Acc. Deaths)]]/Data[[#This Row],[AS (Acc. Suspects)]]</f>
        <v>0</v>
      </c>
      <c r="AD4" s="13"/>
      <c r="AE4" s="13"/>
      <c r="AF4" s="13"/>
      <c r="AG4" s="13">
        <f>Data[[#This Row],[AL (Acc. Pending Lab)]]/Data[[#This Row],[AS (Acc. Suspects)]]</f>
        <v>0</v>
      </c>
      <c r="AH4" s="13">
        <f>Data[[#This Row],[AN (Acc. Negatives)]]/Data[[#This Row],[AS (Acc. Suspects)]]</f>
        <v>0</v>
      </c>
      <c r="AI4" s="15">
        <f>Data[[#This Row],[DNC (Daily New Confirmed)]]/Data[[#This Row],[DNS (Daily New Suspects)]]</f>
        <v>0</v>
      </c>
      <c r="AJ4" s="16"/>
      <c r="AK4" s="17"/>
      <c r="AL4" s="17">
        <f>WEEKNUM(Data[[#This Row],[Date]])</f>
        <v>9</v>
      </c>
      <c r="AM4" s="17">
        <f>MONTH(Data[[#This Row],[Date]])</f>
        <v>2</v>
      </c>
      <c r="AN4" s="18">
        <f>WEEKDAY(Data[[#This Row],[Date]])</f>
        <v>6</v>
      </c>
    </row>
    <row r="5" spans="1:40" ht="13.5" thickBot="1" x14ac:dyDescent="0.3">
      <c r="A5" s="11">
        <v>43890</v>
      </c>
      <c r="B5" s="37">
        <v>70</v>
      </c>
      <c r="C5" s="37">
        <v>0</v>
      </c>
      <c r="D5" s="37">
        <v>0</v>
      </c>
      <c r="E5" s="37">
        <v>0</v>
      </c>
      <c r="F5" s="38"/>
      <c r="G5" s="38"/>
      <c r="H5" s="38"/>
      <c r="I5" s="38"/>
      <c r="J5" s="38"/>
      <c r="K5" s="39">
        <v>11</v>
      </c>
      <c r="L5" s="39">
        <v>0</v>
      </c>
      <c r="M5" s="39">
        <v>0</v>
      </c>
      <c r="N5" s="40">
        <v>0</v>
      </c>
      <c r="O5" s="39">
        <f>Data[[#This Row],[AN (Acc. Negatives)]]-F4</f>
        <v>0</v>
      </c>
      <c r="P5" s="39">
        <f>Data[[#This Row],[AH (Acc. Hospital)]]-G4</f>
        <v>0</v>
      </c>
      <c r="Q5" s="39">
        <f>Data[[#This Row],[AI (Acc. ICU)]]-H4</f>
        <v>0</v>
      </c>
      <c r="R5" s="39">
        <f>Data[[#This Row],[AL (Acc. Pending Lab)]]-I4</f>
        <v>0</v>
      </c>
      <c r="S5" s="39">
        <f>Data[[#This Row],[AV (Acc. Surveillance)]]-J4</f>
        <v>0</v>
      </c>
      <c r="T5" s="41">
        <f>(Data[[#This Row],[AC (Acc. Confirmed)]])-(Data[[#This Row],[AR (Acc. Recovered)]]+Data[[#This Row],[AD (Acc. Deaths)]])</f>
        <v>0</v>
      </c>
      <c r="U5" s="13">
        <f>Data[[#This Row],[DNS (Daily New Suspects)]]/B4</f>
        <v>0.1864406779661017</v>
      </c>
      <c r="V5" s="13"/>
      <c r="W5" s="13"/>
      <c r="X5" s="13"/>
      <c r="Y5" s="41">
        <f>Data[[#This Row],[DNS (Daily New Suspects)]]-K4</f>
        <v>3</v>
      </c>
      <c r="Z5" s="41">
        <f>Data[[#This Row],[DNC (Daily New Confirmed)]]-L4</f>
        <v>0</v>
      </c>
      <c r="AA5" s="13">
        <f>Data[[#This Row],[AC (Acc. Confirmed)]]/Data[[#This Row],[AS (Acc. Suspects)]]</f>
        <v>0</v>
      </c>
      <c r="AB5" s="14">
        <f>Data[[#This Row],[AR (Acc. Recovered)]]/Data[[#This Row],[AS (Acc. Suspects)]]</f>
        <v>0</v>
      </c>
      <c r="AC5" s="14">
        <f>Data[[#This Row],[AD (Acc. Deaths)]]/Data[[#This Row],[AS (Acc. Suspects)]]</f>
        <v>0</v>
      </c>
      <c r="AD5" s="13"/>
      <c r="AE5" s="13"/>
      <c r="AF5" s="13"/>
      <c r="AG5" s="13">
        <f>Data[[#This Row],[AL (Acc. Pending Lab)]]/Data[[#This Row],[AS (Acc. Suspects)]]</f>
        <v>0</v>
      </c>
      <c r="AH5" s="13">
        <f>Data[[#This Row],[AN (Acc. Negatives)]]/Data[[#This Row],[AS (Acc. Suspects)]]</f>
        <v>0</v>
      </c>
      <c r="AI5" s="15">
        <f>Data[[#This Row],[DNC (Daily New Confirmed)]]/Data[[#This Row],[DNS (Daily New Suspects)]]</f>
        <v>0</v>
      </c>
      <c r="AJ5" s="16"/>
      <c r="AK5" s="17"/>
      <c r="AL5" s="17">
        <f>WEEKNUM(Data[[#This Row],[Date]])</f>
        <v>9</v>
      </c>
      <c r="AM5" s="17">
        <f>MONTH(Data[[#This Row],[Date]])</f>
        <v>2</v>
      </c>
      <c r="AN5" s="18">
        <f>WEEKDAY(Data[[#This Row],[Date]])</f>
        <v>7</v>
      </c>
    </row>
    <row r="6" spans="1:40" ht="13.5" thickBot="1" x14ac:dyDescent="0.3">
      <c r="A6" s="11">
        <v>43891</v>
      </c>
      <c r="B6" s="37">
        <v>85</v>
      </c>
      <c r="C6" s="37">
        <v>0</v>
      </c>
      <c r="D6" s="37">
        <v>0</v>
      </c>
      <c r="E6" s="37">
        <v>0</v>
      </c>
      <c r="F6" s="38"/>
      <c r="G6" s="38"/>
      <c r="H6" s="38"/>
      <c r="I6" s="38"/>
      <c r="J6" s="38">
        <v>85</v>
      </c>
      <c r="K6" s="39">
        <v>15</v>
      </c>
      <c r="L6" s="39">
        <v>0</v>
      </c>
      <c r="M6" s="39">
        <v>0</v>
      </c>
      <c r="N6" s="40">
        <v>0</v>
      </c>
      <c r="O6" s="39">
        <f>Data[[#This Row],[AN (Acc. Negatives)]]-F5</f>
        <v>0</v>
      </c>
      <c r="P6" s="39">
        <f>Data[[#This Row],[AH (Acc. Hospital)]]-G5</f>
        <v>0</v>
      </c>
      <c r="Q6" s="39">
        <f>Data[[#This Row],[AI (Acc. ICU)]]-H5</f>
        <v>0</v>
      </c>
      <c r="R6" s="39">
        <f>Data[[#This Row],[AL (Acc. Pending Lab)]]-I5</f>
        <v>0</v>
      </c>
      <c r="S6" s="39">
        <f>Data[[#This Row],[AV (Acc. Surveillance)]]-J5</f>
        <v>85</v>
      </c>
      <c r="T6" s="41">
        <f>(Data[[#This Row],[AC (Acc. Confirmed)]])-(Data[[#This Row],[AR (Acc. Recovered)]]+Data[[#This Row],[AD (Acc. Deaths)]])</f>
        <v>0</v>
      </c>
      <c r="U6" s="13">
        <f>Data[[#This Row],[DNS (Daily New Suspects)]]/B5</f>
        <v>0.21428571428571427</v>
      </c>
      <c r="V6" s="13"/>
      <c r="W6" s="13"/>
      <c r="X6" s="13"/>
      <c r="Y6" s="41">
        <f>Data[[#This Row],[DNS (Daily New Suspects)]]-K5</f>
        <v>4</v>
      </c>
      <c r="Z6" s="41">
        <f>Data[[#This Row],[DNC (Daily New Confirmed)]]-L5</f>
        <v>0</v>
      </c>
      <c r="AA6" s="13">
        <f>Data[[#This Row],[AC (Acc. Confirmed)]]/Data[[#This Row],[AS (Acc. Suspects)]]</f>
        <v>0</v>
      </c>
      <c r="AB6" s="14">
        <f>Data[[#This Row],[AR (Acc. Recovered)]]/Data[[#This Row],[AS (Acc. Suspects)]]</f>
        <v>0</v>
      </c>
      <c r="AC6" s="14">
        <f>Data[[#This Row],[AD (Acc. Deaths)]]/Data[[#This Row],[AS (Acc. Suspects)]]</f>
        <v>0</v>
      </c>
      <c r="AD6" s="13"/>
      <c r="AE6" s="13"/>
      <c r="AF6" s="13"/>
      <c r="AG6" s="13">
        <f>Data[[#This Row],[AL (Acc. Pending Lab)]]/Data[[#This Row],[AS (Acc. Suspects)]]</f>
        <v>0</v>
      </c>
      <c r="AH6" s="13">
        <f>Data[[#This Row],[AN (Acc. Negatives)]]/Data[[#This Row],[AS (Acc. Suspects)]]</f>
        <v>0</v>
      </c>
      <c r="AI6" s="15">
        <f>Data[[#This Row],[DNC (Daily New Confirmed)]]/Data[[#This Row],[DNS (Daily New Suspects)]]</f>
        <v>0</v>
      </c>
      <c r="AJ6" s="16"/>
      <c r="AK6" s="17"/>
      <c r="AL6" s="17">
        <f>WEEKNUM(Data[[#This Row],[Date]])</f>
        <v>10</v>
      </c>
      <c r="AM6" s="17">
        <f>MONTH(Data[[#This Row],[Date]])</f>
        <v>3</v>
      </c>
      <c r="AN6" s="18">
        <f>WEEKDAY(Data[[#This Row],[Date]])</f>
        <v>1</v>
      </c>
    </row>
    <row r="7" spans="1:40" ht="13.5" thickBot="1" x14ac:dyDescent="0.3">
      <c r="A7" s="11">
        <v>43892</v>
      </c>
      <c r="B7" s="37">
        <v>85</v>
      </c>
      <c r="C7" s="37">
        <v>2</v>
      </c>
      <c r="D7" s="37">
        <v>0</v>
      </c>
      <c r="E7" s="37">
        <v>0</v>
      </c>
      <c r="F7" s="38"/>
      <c r="G7" s="38"/>
      <c r="H7" s="38"/>
      <c r="I7" s="38"/>
      <c r="J7" s="38"/>
      <c r="K7" s="39">
        <v>0</v>
      </c>
      <c r="L7" s="39">
        <v>2</v>
      </c>
      <c r="M7" s="39">
        <v>0</v>
      </c>
      <c r="N7" s="40">
        <v>0</v>
      </c>
      <c r="O7" s="39">
        <f>Data[[#This Row],[AN (Acc. Negatives)]]-F6</f>
        <v>0</v>
      </c>
      <c r="P7" s="39">
        <f>Data[[#This Row],[AH (Acc. Hospital)]]-G6</f>
        <v>0</v>
      </c>
      <c r="Q7" s="39">
        <f>Data[[#This Row],[AI (Acc. ICU)]]-H6</f>
        <v>0</v>
      </c>
      <c r="R7" s="39">
        <f>Data[[#This Row],[AL (Acc. Pending Lab)]]-I6</f>
        <v>0</v>
      </c>
      <c r="S7" s="39">
        <f>Data[[#This Row],[AV (Acc. Surveillance)]]-J6</f>
        <v>-85</v>
      </c>
      <c r="T7" s="41">
        <f>(Data[[#This Row],[AC (Acc. Confirmed)]])-(Data[[#This Row],[AR (Acc. Recovered)]]+Data[[#This Row],[AD (Acc. Deaths)]])</f>
        <v>2</v>
      </c>
      <c r="U7" s="13">
        <f>Data[[#This Row],[DNS (Daily New Suspects)]]/B6</f>
        <v>0</v>
      </c>
      <c r="V7" s="13"/>
      <c r="W7" s="13"/>
      <c r="X7" s="13"/>
      <c r="Y7" s="41">
        <f>Data[[#This Row],[DNS (Daily New Suspects)]]-K6</f>
        <v>-15</v>
      </c>
      <c r="Z7" s="41">
        <f>Data[[#This Row],[DNC (Daily New Confirmed)]]-L6</f>
        <v>2</v>
      </c>
      <c r="AA7" s="13">
        <f>Data[[#This Row],[AC (Acc. Confirmed)]]/Data[[#This Row],[AS (Acc. Suspects)]]</f>
        <v>2.3529411764705882E-2</v>
      </c>
      <c r="AB7" s="14">
        <f>Data[[#This Row],[AR (Acc. Recovered)]]/Data[[#This Row],[AS (Acc. Suspects)]]</f>
        <v>0</v>
      </c>
      <c r="AC7" s="14">
        <f>Data[[#This Row],[AD (Acc. Deaths)]]/Data[[#This Row],[AS (Acc. Suspects)]]</f>
        <v>0</v>
      </c>
      <c r="AD7" s="13"/>
      <c r="AE7" s="13">
        <f>Data[[#This Row],[AH (Acc. Hospital)]]/Data[[#This Row],[AC (Acc. Confirmed)]]</f>
        <v>0</v>
      </c>
      <c r="AF7" s="13"/>
      <c r="AG7" s="13">
        <f>Data[[#This Row],[AL (Acc. Pending Lab)]]/Data[[#This Row],[AS (Acc. Suspects)]]</f>
        <v>0</v>
      </c>
      <c r="AH7" s="13">
        <f>Data[[#This Row],[AN (Acc. Negatives)]]/Data[[#This Row],[AS (Acc. Suspects)]]</f>
        <v>0</v>
      </c>
      <c r="AI7" s="15"/>
      <c r="AJ7" s="16"/>
      <c r="AK7" s="17"/>
      <c r="AL7" s="17">
        <f>WEEKNUM(Data[[#This Row],[Date]])</f>
        <v>10</v>
      </c>
      <c r="AM7" s="17">
        <f>MONTH(Data[[#This Row],[Date]])</f>
        <v>3</v>
      </c>
      <c r="AN7" s="18">
        <f>WEEKDAY(Data[[#This Row],[Date]])</f>
        <v>2</v>
      </c>
    </row>
    <row r="8" spans="1:40" ht="13.5" thickBot="1" x14ac:dyDescent="0.3">
      <c r="A8" s="11">
        <v>43893</v>
      </c>
      <c r="B8" s="37">
        <v>101</v>
      </c>
      <c r="C8" s="37">
        <v>4</v>
      </c>
      <c r="D8" s="37">
        <v>0</v>
      </c>
      <c r="E8" s="37">
        <v>0</v>
      </c>
      <c r="F8" s="38"/>
      <c r="G8" s="38"/>
      <c r="H8" s="38"/>
      <c r="I8" s="38"/>
      <c r="J8" s="38">
        <v>101</v>
      </c>
      <c r="K8" s="39">
        <v>16</v>
      </c>
      <c r="L8" s="39">
        <v>2</v>
      </c>
      <c r="M8" s="39">
        <v>0</v>
      </c>
      <c r="N8" s="40">
        <v>0</v>
      </c>
      <c r="O8" s="39">
        <f>Data[[#This Row],[AN (Acc. Negatives)]]-F7</f>
        <v>0</v>
      </c>
      <c r="P8" s="39">
        <f>Data[[#This Row],[AH (Acc. Hospital)]]-G7</f>
        <v>0</v>
      </c>
      <c r="Q8" s="39">
        <f>Data[[#This Row],[AI (Acc. ICU)]]-H7</f>
        <v>0</v>
      </c>
      <c r="R8" s="39">
        <f>Data[[#This Row],[AL (Acc. Pending Lab)]]-I7</f>
        <v>0</v>
      </c>
      <c r="S8" s="39">
        <f>Data[[#This Row],[AV (Acc. Surveillance)]]-J7</f>
        <v>101</v>
      </c>
      <c r="T8" s="41">
        <f>(Data[[#This Row],[AC (Acc. Confirmed)]])-(Data[[#This Row],[AR (Acc. Recovered)]]+Data[[#This Row],[AD (Acc. Deaths)]])</f>
        <v>4</v>
      </c>
      <c r="U8" s="13">
        <f>Data[[#This Row],[DNS (Daily New Suspects)]]/B7</f>
        <v>0.18823529411764706</v>
      </c>
      <c r="V8" s="13">
        <f>Data[[#This Row],[DNC (Daily New Confirmed)]]/C7</f>
        <v>1</v>
      </c>
      <c r="W8" s="13"/>
      <c r="X8" s="13"/>
      <c r="Y8" s="41">
        <f>Data[[#This Row],[DNS (Daily New Suspects)]]-K7</f>
        <v>16</v>
      </c>
      <c r="Z8" s="41">
        <f>Data[[#This Row],[DNC (Daily New Confirmed)]]-L7</f>
        <v>0</v>
      </c>
      <c r="AA8" s="13">
        <f>Data[[#This Row],[AC (Acc. Confirmed)]]/Data[[#This Row],[AS (Acc. Suspects)]]</f>
        <v>3.9603960396039604E-2</v>
      </c>
      <c r="AB8" s="14">
        <f>Data[[#This Row],[AR (Acc. Recovered)]]/Data[[#This Row],[AS (Acc. Suspects)]]</f>
        <v>0</v>
      </c>
      <c r="AC8" s="14">
        <f>Data[[#This Row],[AD (Acc. Deaths)]]/Data[[#This Row],[AS (Acc. Suspects)]]</f>
        <v>0</v>
      </c>
      <c r="AD8" s="13"/>
      <c r="AE8" s="13">
        <f>Data[[#This Row],[AH (Acc. Hospital)]]/Data[[#This Row],[AC (Acc. Confirmed)]]</f>
        <v>0</v>
      </c>
      <c r="AF8" s="13"/>
      <c r="AG8" s="13">
        <f>Data[[#This Row],[AL (Acc. Pending Lab)]]/Data[[#This Row],[AS (Acc. Suspects)]]</f>
        <v>0</v>
      </c>
      <c r="AH8" s="13">
        <f>Data[[#This Row],[AN (Acc. Negatives)]]/Data[[#This Row],[AS (Acc. Suspects)]]</f>
        <v>0</v>
      </c>
      <c r="AI8" s="15">
        <f>Data[[#This Row],[DNC (Daily New Confirmed)]]/Data[[#This Row],[DNS (Daily New Suspects)]]</f>
        <v>0.125</v>
      </c>
      <c r="AJ8" s="16"/>
      <c r="AK8" s="17">
        <v>1</v>
      </c>
      <c r="AL8" s="17">
        <f>WEEKNUM(Data[[#This Row],[Date]])</f>
        <v>10</v>
      </c>
      <c r="AM8" s="17">
        <f>MONTH(Data[[#This Row],[Date]])</f>
        <v>3</v>
      </c>
      <c r="AN8" s="18">
        <f>WEEKDAY(Data[[#This Row],[Date]])</f>
        <v>3</v>
      </c>
    </row>
    <row r="9" spans="1:40" ht="13.5" thickBot="1" x14ac:dyDescent="0.3">
      <c r="A9" s="11">
        <v>43894</v>
      </c>
      <c r="B9" s="37">
        <v>117</v>
      </c>
      <c r="C9" s="37">
        <v>6</v>
      </c>
      <c r="D9" s="37">
        <v>0</v>
      </c>
      <c r="E9" s="37">
        <v>0</v>
      </c>
      <c r="F9" s="38"/>
      <c r="G9" s="38"/>
      <c r="H9" s="38"/>
      <c r="I9" s="38"/>
      <c r="J9" s="38">
        <v>81</v>
      </c>
      <c r="K9" s="39">
        <v>16</v>
      </c>
      <c r="L9" s="39">
        <v>2</v>
      </c>
      <c r="M9" s="39">
        <v>0</v>
      </c>
      <c r="N9" s="40">
        <v>0</v>
      </c>
      <c r="O9" s="39">
        <f>Data[[#This Row],[AN (Acc. Negatives)]]-F8</f>
        <v>0</v>
      </c>
      <c r="P9" s="39">
        <f>Data[[#This Row],[AH (Acc. Hospital)]]-G8</f>
        <v>0</v>
      </c>
      <c r="Q9" s="39">
        <f>Data[[#This Row],[AI (Acc. ICU)]]-H8</f>
        <v>0</v>
      </c>
      <c r="R9" s="39">
        <f>Data[[#This Row],[AL (Acc. Pending Lab)]]-I8</f>
        <v>0</v>
      </c>
      <c r="S9" s="39">
        <f>Data[[#This Row],[AV (Acc. Surveillance)]]-J8</f>
        <v>-20</v>
      </c>
      <c r="T9" s="41">
        <f>(Data[[#This Row],[AC (Acc. Confirmed)]])-(Data[[#This Row],[AR (Acc. Recovered)]]+Data[[#This Row],[AD (Acc. Deaths)]])</f>
        <v>6</v>
      </c>
      <c r="U9" s="13">
        <f>Data[[#This Row],[DNS (Daily New Suspects)]]/B8</f>
        <v>0.15841584158415842</v>
      </c>
      <c r="V9" s="13">
        <f>Data[[#This Row],[DNC (Daily New Confirmed)]]/C8</f>
        <v>0.5</v>
      </c>
      <c r="W9" s="13"/>
      <c r="X9" s="13"/>
      <c r="Y9" s="41">
        <f>Data[[#This Row],[DNS (Daily New Suspects)]]-K8</f>
        <v>0</v>
      </c>
      <c r="Z9" s="41">
        <f>Data[[#This Row],[DNC (Daily New Confirmed)]]-L8</f>
        <v>0</v>
      </c>
      <c r="AA9" s="13">
        <f>Data[[#This Row],[AC (Acc. Confirmed)]]/Data[[#This Row],[AS (Acc. Suspects)]]</f>
        <v>5.128205128205128E-2</v>
      </c>
      <c r="AB9" s="14">
        <f>Data[[#This Row],[AR (Acc. Recovered)]]/Data[[#This Row],[AS (Acc. Suspects)]]</f>
        <v>0</v>
      </c>
      <c r="AC9" s="14">
        <f>Data[[#This Row],[AD (Acc. Deaths)]]/Data[[#This Row],[AS (Acc. Suspects)]]</f>
        <v>0</v>
      </c>
      <c r="AD9" s="13"/>
      <c r="AE9" s="13">
        <f>Data[[#This Row],[AH (Acc. Hospital)]]/Data[[#This Row],[AC (Acc. Confirmed)]]</f>
        <v>0</v>
      </c>
      <c r="AF9" s="13"/>
      <c r="AG9" s="13">
        <f>Data[[#This Row],[AL (Acc. Pending Lab)]]/Data[[#This Row],[AS (Acc. Suspects)]]</f>
        <v>0</v>
      </c>
      <c r="AH9" s="13">
        <f>Data[[#This Row],[AN (Acc. Negatives)]]/Data[[#This Row],[AS (Acc. Suspects)]]</f>
        <v>0</v>
      </c>
      <c r="AI9" s="15">
        <f>Data[[#This Row],[DNC (Daily New Confirmed)]]/Data[[#This Row],[DNS (Daily New Suspects)]]</f>
        <v>0.125</v>
      </c>
      <c r="AJ9" s="16"/>
      <c r="AK9" s="17">
        <v>2</v>
      </c>
      <c r="AL9" s="17">
        <f>WEEKNUM(Data[[#This Row],[Date]])</f>
        <v>10</v>
      </c>
      <c r="AM9" s="17">
        <f>MONTH(Data[[#This Row],[Date]])</f>
        <v>3</v>
      </c>
      <c r="AN9" s="18">
        <f>WEEKDAY(Data[[#This Row],[Date]])</f>
        <v>4</v>
      </c>
    </row>
    <row r="10" spans="1:40" ht="13.5" thickBot="1" x14ac:dyDescent="0.3">
      <c r="A10" s="11">
        <v>43895</v>
      </c>
      <c r="B10" s="37">
        <v>147</v>
      </c>
      <c r="C10" s="37">
        <v>9</v>
      </c>
      <c r="D10" s="37">
        <v>0</v>
      </c>
      <c r="E10" s="37">
        <v>0</v>
      </c>
      <c r="F10" s="38"/>
      <c r="G10" s="38">
        <v>9</v>
      </c>
      <c r="H10" s="38"/>
      <c r="I10" s="38"/>
      <c r="J10" s="38">
        <v>213</v>
      </c>
      <c r="K10" s="39">
        <v>30</v>
      </c>
      <c r="L10" s="39">
        <v>3</v>
      </c>
      <c r="M10" s="39">
        <v>0</v>
      </c>
      <c r="N10" s="40">
        <v>0</v>
      </c>
      <c r="O10" s="39">
        <f>Data[[#This Row],[AN (Acc. Negatives)]]-F9</f>
        <v>0</v>
      </c>
      <c r="P10" s="39">
        <f>Data[[#This Row],[AH (Acc. Hospital)]]-G9</f>
        <v>9</v>
      </c>
      <c r="Q10" s="39">
        <f>Data[[#This Row],[AI (Acc. ICU)]]-H9</f>
        <v>0</v>
      </c>
      <c r="R10" s="39">
        <f>Data[[#This Row],[AL (Acc. Pending Lab)]]-I9</f>
        <v>0</v>
      </c>
      <c r="S10" s="39">
        <f>Data[[#This Row],[AV (Acc. Surveillance)]]-J9</f>
        <v>132</v>
      </c>
      <c r="T10" s="41">
        <f>(Data[[#This Row],[AC (Acc. Confirmed)]])-(Data[[#This Row],[AR (Acc. Recovered)]]+Data[[#This Row],[AD (Acc. Deaths)]])</f>
        <v>9</v>
      </c>
      <c r="U10" s="13">
        <f>Data[[#This Row],[DNS (Daily New Suspects)]]/B9</f>
        <v>0.25641025641025639</v>
      </c>
      <c r="V10" s="13">
        <f>Data[[#This Row],[DNC (Daily New Confirmed)]]/C9</f>
        <v>0.5</v>
      </c>
      <c r="W10" s="13"/>
      <c r="X10" s="13"/>
      <c r="Y10" s="41">
        <f>Data[[#This Row],[DNS (Daily New Suspects)]]-K9</f>
        <v>14</v>
      </c>
      <c r="Z10" s="41">
        <f>Data[[#This Row],[DNC (Daily New Confirmed)]]-L9</f>
        <v>1</v>
      </c>
      <c r="AA10" s="13">
        <f>Data[[#This Row],[AC (Acc. Confirmed)]]/Data[[#This Row],[AS (Acc. Suspects)]]</f>
        <v>6.1224489795918366E-2</v>
      </c>
      <c r="AB10" s="14">
        <f>Data[[#This Row],[AR (Acc. Recovered)]]/Data[[#This Row],[AS (Acc. Suspects)]]</f>
        <v>0</v>
      </c>
      <c r="AC10" s="14">
        <f>Data[[#This Row],[AD (Acc. Deaths)]]/Data[[#This Row],[AS (Acc. Suspects)]]</f>
        <v>0</v>
      </c>
      <c r="AD10" s="13"/>
      <c r="AE10" s="13">
        <f>Data[[#This Row],[AH (Acc. Hospital)]]/Data[[#This Row],[AC (Acc. Confirmed)]]</f>
        <v>1</v>
      </c>
      <c r="AF10" s="13">
        <f>Data[[#This Row],[AI (Acc. ICU)]]/Data[[#This Row],[AH (Acc. Hospital)]]</f>
        <v>0</v>
      </c>
      <c r="AG10" s="13">
        <f>Data[[#This Row],[AL (Acc. Pending Lab)]]/Data[[#This Row],[AS (Acc. Suspects)]]</f>
        <v>0</v>
      </c>
      <c r="AH10" s="13">
        <f>Data[[#This Row],[AN (Acc. Negatives)]]/Data[[#This Row],[AS (Acc. Suspects)]]</f>
        <v>0</v>
      </c>
      <c r="AI10" s="15">
        <f>Data[[#This Row],[DNC (Daily New Confirmed)]]/Data[[#This Row],[DNS (Daily New Suspects)]]</f>
        <v>0.1</v>
      </c>
      <c r="AJ10" s="16"/>
      <c r="AK10" s="17">
        <v>3</v>
      </c>
      <c r="AL10" s="17">
        <f>WEEKNUM(Data[[#This Row],[Date]])</f>
        <v>10</v>
      </c>
      <c r="AM10" s="17">
        <f>MONTH(Data[[#This Row],[Date]])</f>
        <v>3</v>
      </c>
      <c r="AN10" s="18">
        <f>WEEKDAY(Data[[#This Row],[Date]])</f>
        <v>5</v>
      </c>
    </row>
    <row r="11" spans="1:40" ht="13.5" thickBot="1" x14ac:dyDescent="0.3">
      <c r="A11" s="11">
        <v>43896</v>
      </c>
      <c r="B11" s="37">
        <v>181</v>
      </c>
      <c r="C11" s="37">
        <v>13</v>
      </c>
      <c r="D11" s="37">
        <v>0</v>
      </c>
      <c r="E11" s="37">
        <v>0</v>
      </c>
      <c r="F11" s="38"/>
      <c r="G11" s="38">
        <v>13</v>
      </c>
      <c r="H11" s="38"/>
      <c r="I11" s="38">
        <v>30</v>
      </c>
      <c r="J11" s="38">
        <v>354</v>
      </c>
      <c r="K11" s="39">
        <v>34</v>
      </c>
      <c r="L11" s="39">
        <v>4</v>
      </c>
      <c r="M11" s="39">
        <v>0</v>
      </c>
      <c r="N11" s="40">
        <v>0</v>
      </c>
      <c r="O11" s="39">
        <f>Data[[#This Row],[AN (Acc. Negatives)]]-F10</f>
        <v>0</v>
      </c>
      <c r="P11" s="39">
        <f>Data[[#This Row],[AH (Acc. Hospital)]]-G10</f>
        <v>4</v>
      </c>
      <c r="Q11" s="39">
        <f>Data[[#This Row],[AI (Acc. ICU)]]-H10</f>
        <v>0</v>
      </c>
      <c r="R11" s="39">
        <f>Data[[#This Row],[AL (Acc. Pending Lab)]]-I10</f>
        <v>30</v>
      </c>
      <c r="S11" s="39">
        <f>Data[[#This Row],[AV (Acc. Surveillance)]]-J10</f>
        <v>141</v>
      </c>
      <c r="T11" s="41">
        <f>(Data[[#This Row],[AC (Acc. Confirmed)]])-(Data[[#This Row],[AR (Acc. Recovered)]]+Data[[#This Row],[AD (Acc. Deaths)]])</f>
        <v>13</v>
      </c>
      <c r="U11" s="13">
        <f>Data[[#This Row],[DNS (Daily New Suspects)]]/B10</f>
        <v>0.23129251700680273</v>
      </c>
      <c r="V11" s="13">
        <f>Data[[#This Row],[DNC (Daily New Confirmed)]]/C10</f>
        <v>0.44444444444444442</v>
      </c>
      <c r="W11" s="13"/>
      <c r="X11" s="13"/>
      <c r="Y11" s="41">
        <f>Data[[#This Row],[DNS (Daily New Suspects)]]-K10</f>
        <v>4</v>
      </c>
      <c r="Z11" s="41">
        <f>Data[[#This Row],[DNC (Daily New Confirmed)]]-L10</f>
        <v>1</v>
      </c>
      <c r="AA11" s="13">
        <f>Data[[#This Row],[AC (Acc. Confirmed)]]/Data[[#This Row],[AS (Acc. Suspects)]]</f>
        <v>7.18232044198895E-2</v>
      </c>
      <c r="AB11" s="14">
        <f>Data[[#This Row],[AR (Acc. Recovered)]]/Data[[#This Row],[AS (Acc. Suspects)]]</f>
        <v>0</v>
      </c>
      <c r="AC11" s="14">
        <f>Data[[#This Row],[AD (Acc. Deaths)]]/Data[[#This Row],[AS (Acc. Suspects)]]</f>
        <v>0</v>
      </c>
      <c r="AD11" s="13"/>
      <c r="AE11" s="13">
        <f>Data[[#This Row],[AH (Acc. Hospital)]]/Data[[#This Row],[AC (Acc. Confirmed)]]</f>
        <v>1</v>
      </c>
      <c r="AF11" s="13">
        <f>Data[[#This Row],[AI (Acc. ICU)]]/Data[[#This Row],[AH (Acc. Hospital)]]</f>
        <v>0</v>
      </c>
      <c r="AG11" s="13">
        <f>Data[[#This Row],[AL (Acc. Pending Lab)]]/Data[[#This Row],[AS (Acc. Suspects)]]</f>
        <v>0.16574585635359115</v>
      </c>
      <c r="AH11" s="13">
        <f>Data[[#This Row],[AN (Acc. Negatives)]]/Data[[#This Row],[AS (Acc. Suspects)]]</f>
        <v>0</v>
      </c>
      <c r="AI11" s="15">
        <f>Data[[#This Row],[DNC (Daily New Confirmed)]]/Data[[#This Row],[DNS (Daily New Suspects)]]</f>
        <v>0.11764705882352941</v>
      </c>
      <c r="AJ11" s="16"/>
      <c r="AK11" s="17">
        <v>4</v>
      </c>
      <c r="AL11" s="17">
        <f>WEEKNUM(Data[[#This Row],[Date]])</f>
        <v>10</v>
      </c>
      <c r="AM11" s="17">
        <f>MONTH(Data[[#This Row],[Date]])</f>
        <v>3</v>
      </c>
      <c r="AN11" s="18">
        <f>WEEKDAY(Data[[#This Row],[Date]])</f>
        <v>6</v>
      </c>
    </row>
    <row r="12" spans="1:40" ht="13.5" thickBot="1" x14ac:dyDescent="0.3">
      <c r="A12" s="11">
        <v>43897</v>
      </c>
      <c r="B12" s="37">
        <v>224</v>
      </c>
      <c r="C12" s="37">
        <v>21</v>
      </c>
      <c r="D12" s="37">
        <v>0</v>
      </c>
      <c r="E12" s="37">
        <v>0</v>
      </c>
      <c r="F12" s="38"/>
      <c r="G12" s="38">
        <v>21</v>
      </c>
      <c r="H12" s="38"/>
      <c r="I12" s="38">
        <v>47</v>
      </c>
      <c r="J12" s="38">
        <v>412</v>
      </c>
      <c r="K12" s="39">
        <v>43</v>
      </c>
      <c r="L12" s="39">
        <v>8</v>
      </c>
      <c r="M12" s="39">
        <v>0</v>
      </c>
      <c r="N12" s="40">
        <v>0</v>
      </c>
      <c r="O12" s="39">
        <f>Data[[#This Row],[AN (Acc. Negatives)]]-F11</f>
        <v>0</v>
      </c>
      <c r="P12" s="39">
        <f>Data[[#This Row],[AH (Acc. Hospital)]]-G11</f>
        <v>8</v>
      </c>
      <c r="Q12" s="39">
        <f>Data[[#This Row],[AI (Acc. ICU)]]-H11</f>
        <v>0</v>
      </c>
      <c r="R12" s="39">
        <f>Data[[#This Row],[AL (Acc. Pending Lab)]]-I11</f>
        <v>17</v>
      </c>
      <c r="S12" s="39">
        <f>Data[[#This Row],[AV (Acc. Surveillance)]]-J11</f>
        <v>58</v>
      </c>
      <c r="T12" s="41">
        <f>(Data[[#This Row],[AC (Acc. Confirmed)]])-(Data[[#This Row],[AR (Acc. Recovered)]]+Data[[#This Row],[AD (Acc. Deaths)]])</f>
        <v>21</v>
      </c>
      <c r="U12" s="13">
        <f>Data[[#This Row],[DNS (Daily New Suspects)]]/B11</f>
        <v>0.23756906077348067</v>
      </c>
      <c r="V12" s="13">
        <f>Data[[#This Row],[DNC (Daily New Confirmed)]]/C11</f>
        <v>0.61538461538461542</v>
      </c>
      <c r="W12" s="13"/>
      <c r="X12" s="13"/>
      <c r="Y12" s="41">
        <f>Data[[#This Row],[DNS (Daily New Suspects)]]-K11</f>
        <v>9</v>
      </c>
      <c r="Z12" s="41">
        <f>Data[[#This Row],[DNC (Daily New Confirmed)]]-L11</f>
        <v>4</v>
      </c>
      <c r="AA12" s="13">
        <f>Data[[#This Row],[AC (Acc. Confirmed)]]/Data[[#This Row],[AS (Acc. Suspects)]]</f>
        <v>9.375E-2</v>
      </c>
      <c r="AB12" s="14">
        <f>Data[[#This Row],[AR (Acc. Recovered)]]/Data[[#This Row],[AS (Acc. Suspects)]]</f>
        <v>0</v>
      </c>
      <c r="AC12" s="14">
        <f>Data[[#This Row],[AD (Acc. Deaths)]]/Data[[#This Row],[AS (Acc. Suspects)]]</f>
        <v>0</v>
      </c>
      <c r="AD12" s="13"/>
      <c r="AE12" s="13">
        <f>Data[[#This Row],[AH (Acc. Hospital)]]/Data[[#This Row],[AC (Acc. Confirmed)]]</f>
        <v>1</v>
      </c>
      <c r="AF12" s="13">
        <f>Data[[#This Row],[AI (Acc. ICU)]]/Data[[#This Row],[AH (Acc. Hospital)]]</f>
        <v>0</v>
      </c>
      <c r="AG12" s="13">
        <f>Data[[#This Row],[AL (Acc. Pending Lab)]]/Data[[#This Row],[AS (Acc. Suspects)]]</f>
        <v>0.20982142857142858</v>
      </c>
      <c r="AH12" s="13">
        <f>Data[[#This Row],[AN (Acc. Negatives)]]/Data[[#This Row],[AS (Acc. Suspects)]]</f>
        <v>0</v>
      </c>
      <c r="AI12" s="15">
        <f>Data[[#This Row],[DNC (Daily New Confirmed)]]/Data[[#This Row],[DNS (Daily New Suspects)]]</f>
        <v>0.18604651162790697</v>
      </c>
      <c r="AJ12" s="16"/>
      <c r="AK12" s="17">
        <v>5</v>
      </c>
      <c r="AL12" s="17">
        <f>WEEKNUM(Data[[#This Row],[Date]])</f>
        <v>10</v>
      </c>
      <c r="AM12" s="17">
        <f>MONTH(Data[[#This Row],[Date]])</f>
        <v>3</v>
      </c>
      <c r="AN12" s="18">
        <f>WEEKDAY(Data[[#This Row],[Date]])</f>
        <v>7</v>
      </c>
    </row>
    <row r="13" spans="1:40" ht="13.5" thickBot="1" x14ac:dyDescent="0.3">
      <c r="A13" s="11">
        <v>43898</v>
      </c>
      <c r="B13" s="37">
        <v>281</v>
      </c>
      <c r="C13" s="37">
        <v>30</v>
      </c>
      <c r="D13" s="37">
        <v>0</v>
      </c>
      <c r="E13" s="37">
        <v>0</v>
      </c>
      <c r="F13" s="38"/>
      <c r="G13" s="38">
        <v>30</v>
      </c>
      <c r="H13" s="38"/>
      <c r="I13" s="38">
        <v>56</v>
      </c>
      <c r="J13" s="38">
        <v>447</v>
      </c>
      <c r="K13" s="39">
        <v>57</v>
      </c>
      <c r="L13" s="39">
        <v>9</v>
      </c>
      <c r="M13" s="39">
        <v>0</v>
      </c>
      <c r="N13" s="40">
        <v>0</v>
      </c>
      <c r="O13" s="39">
        <f>Data[[#This Row],[AN (Acc. Negatives)]]-F12</f>
        <v>0</v>
      </c>
      <c r="P13" s="39">
        <f>Data[[#This Row],[AH (Acc. Hospital)]]-G12</f>
        <v>9</v>
      </c>
      <c r="Q13" s="39">
        <f>Data[[#This Row],[AI (Acc. ICU)]]-H12</f>
        <v>0</v>
      </c>
      <c r="R13" s="39">
        <f>Data[[#This Row],[AL (Acc. Pending Lab)]]-I12</f>
        <v>9</v>
      </c>
      <c r="S13" s="39">
        <f>Data[[#This Row],[AV (Acc. Surveillance)]]-J12</f>
        <v>35</v>
      </c>
      <c r="T13" s="41">
        <f>(Data[[#This Row],[AC (Acc. Confirmed)]])-(Data[[#This Row],[AR (Acc. Recovered)]]+Data[[#This Row],[AD (Acc. Deaths)]])</f>
        <v>30</v>
      </c>
      <c r="U13" s="13">
        <f>Data[[#This Row],[DNS (Daily New Suspects)]]/B12</f>
        <v>0.2544642857142857</v>
      </c>
      <c r="V13" s="13">
        <f>Data[[#This Row],[DNC (Daily New Confirmed)]]/C12</f>
        <v>0.42857142857142855</v>
      </c>
      <c r="W13" s="13"/>
      <c r="X13" s="13"/>
      <c r="Y13" s="41">
        <f>Data[[#This Row],[DNS (Daily New Suspects)]]-K12</f>
        <v>14</v>
      </c>
      <c r="Z13" s="41">
        <f>Data[[#This Row],[DNC (Daily New Confirmed)]]-L12</f>
        <v>1</v>
      </c>
      <c r="AA13" s="13">
        <f>Data[[#This Row],[AC (Acc. Confirmed)]]/Data[[#This Row],[AS (Acc. Suspects)]]</f>
        <v>0.10676156583629894</v>
      </c>
      <c r="AB13" s="14">
        <f>Data[[#This Row],[AR (Acc. Recovered)]]/Data[[#This Row],[AS (Acc. Suspects)]]</f>
        <v>0</v>
      </c>
      <c r="AC13" s="14">
        <f>Data[[#This Row],[AD (Acc. Deaths)]]/Data[[#This Row],[AS (Acc. Suspects)]]</f>
        <v>0</v>
      </c>
      <c r="AD13" s="13"/>
      <c r="AE13" s="13">
        <f>Data[[#This Row],[AH (Acc. Hospital)]]/Data[[#This Row],[AC (Acc. Confirmed)]]</f>
        <v>1</v>
      </c>
      <c r="AF13" s="13">
        <f>Data[[#This Row],[AI (Acc. ICU)]]/Data[[#This Row],[AH (Acc. Hospital)]]</f>
        <v>0</v>
      </c>
      <c r="AG13" s="13">
        <f>Data[[#This Row],[AL (Acc. Pending Lab)]]/Data[[#This Row],[AS (Acc. Suspects)]]</f>
        <v>0.199288256227758</v>
      </c>
      <c r="AH13" s="13">
        <f>Data[[#This Row],[AN (Acc. Negatives)]]/Data[[#This Row],[AS (Acc. Suspects)]]</f>
        <v>0</v>
      </c>
      <c r="AI13" s="15">
        <f>Data[[#This Row],[DNC (Daily New Confirmed)]]/Data[[#This Row],[DNS (Daily New Suspects)]]</f>
        <v>0.15789473684210525</v>
      </c>
      <c r="AJ13" s="16"/>
      <c r="AK13" s="17">
        <v>6</v>
      </c>
      <c r="AL13" s="17">
        <f>WEEKNUM(Data[[#This Row],[Date]])</f>
        <v>11</v>
      </c>
      <c r="AM13" s="17">
        <f>MONTH(Data[[#This Row],[Date]])</f>
        <v>3</v>
      </c>
      <c r="AN13" s="18">
        <f>WEEKDAY(Data[[#This Row],[Date]])</f>
        <v>1</v>
      </c>
    </row>
    <row r="14" spans="1:40" ht="13.5" thickBot="1" x14ac:dyDescent="0.3">
      <c r="A14" s="11">
        <v>43899</v>
      </c>
      <c r="B14" s="37">
        <v>339</v>
      </c>
      <c r="C14" s="37">
        <v>39</v>
      </c>
      <c r="D14" s="37">
        <v>0</v>
      </c>
      <c r="E14" s="37">
        <v>0</v>
      </c>
      <c r="F14" s="38"/>
      <c r="G14" s="38">
        <v>38</v>
      </c>
      <c r="H14" s="38"/>
      <c r="I14" s="38">
        <v>67</v>
      </c>
      <c r="J14" s="38">
        <v>496</v>
      </c>
      <c r="K14" s="39">
        <v>58</v>
      </c>
      <c r="L14" s="39">
        <v>9</v>
      </c>
      <c r="M14" s="39">
        <v>0</v>
      </c>
      <c r="N14" s="40">
        <v>0</v>
      </c>
      <c r="O14" s="39">
        <f>Data[[#This Row],[AN (Acc. Negatives)]]-F13</f>
        <v>0</v>
      </c>
      <c r="P14" s="39">
        <f>Data[[#This Row],[AH (Acc. Hospital)]]-G13</f>
        <v>8</v>
      </c>
      <c r="Q14" s="39">
        <f>Data[[#This Row],[AI (Acc. ICU)]]-H13</f>
        <v>0</v>
      </c>
      <c r="R14" s="39">
        <f>Data[[#This Row],[AL (Acc. Pending Lab)]]-I13</f>
        <v>11</v>
      </c>
      <c r="S14" s="39">
        <f>Data[[#This Row],[AV (Acc. Surveillance)]]-J13</f>
        <v>49</v>
      </c>
      <c r="T14" s="41">
        <f>(Data[[#This Row],[AC (Acc. Confirmed)]])-(Data[[#This Row],[AR (Acc. Recovered)]]+Data[[#This Row],[AD (Acc. Deaths)]])</f>
        <v>39</v>
      </c>
      <c r="U14" s="13">
        <f>Data[[#This Row],[DNS (Daily New Suspects)]]/B13</f>
        <v>0.20640569395017794</v>
      </c>
      <c r="V14" s="13">
        <f>Data[[#This Row],[DNC (Daily New Confirmed)]]/C13</f>
        <v>0.3</v>
      </c>
      <c r="W14" s="13"/>
      <c r="X14" s="13"/>
      <c r="Y14" s="41">
        <f>Data[[#This Row],[DNS (Daily New Suspects)]]-K13</f>
        <v>1</v>
      </c>
      <c r="Z14" s="41">
        <f>Data[[#This Row],[DNC (Daily New Confirmed)]]-L13</f>
        <v>0</v>
      </c>
      <c r="AA14" s="13">
        <f>Data[[#This Row],[AC (Acc. Confirmed)]]/Data[[#This Row],[AS (Acc. Suspects)]]</f>
        <v>0.11504424778761062</v>
      </c>
      <c r="AB14" s="14">
        <f>Data[[#This Row],[AR (Acc. Recovered)]]/Data[[#This Row],[AS (Acc. Suspects)]]</f>
        <v>0</v>
      </c>
      <c r="AC14" s="14">
        <f>Data[[#This Row],[AD (Acc. Deaths)]]/Data[[#This Row],[AS (Acc. Suspects)]]</f>
        <v>0</v>
      </c>
      <c r="AD14" s="13"/>
      <c r="AE14" s="13">
        <f>Data[[#This Row],[AH (Acc. Hospital)]]/Data[[#This Row],[AC (Acc. Confirmed)]]</f>
        <v>0.97435897435897434</v>
      </c>
      <c r="AF14" s="13">
        <f>Data[[#This Row],[AI (Acc. ICU)]]/Data[[#This Row],[AH (Acc. Hospital)]]</f>
        <v>0</v>
      </c>
      <c r="AG14" s="13">
        <f>Data[[#This Row],[AL (Acc. Pending Lab)]]/Data[[#This Row],[AS (Acc. Suspects)]]</f>
        <v>0.19764011799410031</v>
      </c>
      <c r="AH14" s="13">
        <f>Data[[#This Row],[AN (Acc. Negatives)]]/Data[[#This Row],[AS (Acc. Suspects)]]</f>
        <v>0</v>
      </c>
      <c r="AI14" s="15">
        <f>Data[[#This Row],[DNC (Daily New Confirmed)]]/Data[[#This Row],[DNS (Daily New Suspects)]]</f>
        <v>0.15517241379310345</v>
      </c>
      <c r="AJ14" s="16"/>
      <c r="AK14" s="17">
        <v>7</v>
      </c>
      <c r="AL14" s="17">
        <f>WEEKNUM(Data[[#This Row],[Date]])</f>
        <v>11</v>
      </c>
      <c r="AM14" s="17">
        <f>MONTH(Data[[#This Row],[Date]])</f>
        <v>3</v>
      </c>
      <c r="AN14" s="18">
        <f>WEEKDAY(Data[[#This Row],[Date]])</f>
        <v>2</v>
      </c>
    </row>
    <row r="15" spans="1:40" ht="13.5" thickBot="1" x14ac:dyDescent="0.3">
      <c r="A15" s="11">
        <v>43900</v>
      </c>
      <c r="B15" s="37">
        <v>375</v>
      </c>
      <c r="C15" s="37">
        <v>41</v>
      </c>
      <c r="D15" s="37">
        <v>0</v>
      </c>
      <c r="E15" s="37">
        <v>0</v>
      </c>
      <c r="F15" s="38"/>
      <c r="G15" s="38">
        <v>40</v>
      </c>
      <c r="H15" s="38"/>
      <c r="I15" s="38">
        <v>83</v>
      </c>
      <c r="J15" s="38">
        <v>667</v>
      </c>
      <c r="K15" s="39">
        <v>36</v>
      </c>
      <c r="L15" s="39">
        <v>2</v>
      </c>
      <c r="M15" s="39">
        <v>0</v>
      </c>
      <c r="N15" s="40">
        <v>0</v>
      </c>
      <c r="O15" s="39">
        <f>Data[[#This Row],[AN (Acc. Negatives)]]-F14</f>
        <v>0</v>
      </c>
      <c r="P15" s="39">
        <f>Data[[#This Row],[AH (Acc. Hospital)]]-G14</f>
        <v>2</v>
      </c>
      <c r="Q15" s="39">
        <f>Data[[#This Row],[AI (Acc. ICU)]]-H14</f>
        <v>0</v>
      </c>
      <c r="R15" s="39">
        <f>Data[[#This Row],[AL (Acc. Pending Lab)]]-I14</f>
        <v>16</v>
      </c>
      <c r="S15" s="39">
        <f>Data[[#This Row],[AV (Acc. Surveillance)]]-J14</f>
        <v>171</v>
      </c>
      <c r="T15" s="41">
        <f>(Data[[#This Row],[AC (Acc. Confirmed)]])-(Data[[#This Row],[AR (Acc. Recovered)]]+Data[[#This Row],[AD (Acc. Deaths)]])</f>
        <v>41</v>
      </c>
      <c r="U15" s="13">
        <f>Data[[#This Row],[DNS (Daily New Suspects)]]/B14</f>
        <v>0.10619469026548672</v>
      </c>
      <c r="V15" s="13">
        <f>Data[[#This Row],[DNC (Daily New Confirmed)]]/C14</f>
        <v>5.128205128205128E-2</v>
      </c>
      <c r="W15" s="13"/>
      <c r="X15" s="13"/>
      <c r="Y15" s="41">
        <f>Data[[#This Row],[DNS (Daily New Suspects)]]-K14</f>
        <v>-22</v>
      </c>
      <c r="Z15" s="41">
        <f>Data[[#This Row],[DNC (Daily New Confirmed)]]-L14</f>
        <v>-7</v>
      </c>
      <c r="AA15" s="13">
        <f>Data[[#This Row],[AC (Acc. Confirmed)]]/Data[[#This Row],[AS (Acc. Suspects)]]</f>
        <v>0.10933333333333334</v>
      </c>
      <c r="AB15" s="14">
        <f>Data[[#This Row],[AR (Acc. Recovered)]]/Data[[#This Row],[AS (Acc. Suspects)]]</f>
        <v>0</v>
      </c>
      <c r="AC15" s="14">
        <f>Data[[#This Row],[AD (Acc. Deaths)]]/Data[[#This Row],[AS (Acc. Suspects)]]</f>
        <v>0</v>
      </c>
      <c r="AD15" s="13"/>
      <c r="AE15" s="13">
        <f>Data[[#This Row],[AH (Acc. Hospital)]]/Data[[#This Row],[AC (Acc. Confirmed)]]</f>
        <v>0.97560975609756095</v>
      </c>
      <c r="AF15" s="13">
        <f>Data[[#This Row],[AI (Acc. ICU)]]/Data[[#This Row],[AH (Acc. Hospital)]]</f>
        <v>0</v>
      </c>
      <c r="AG15" s="13">
        <f>Data[[#This Row],[AL (Acc. Pending Lab)]]/Data[[#This Row],[AS (Acc. Suspects)]]</f>
        <v>0.22133333333333333</v>
      </c>
      <c r="AH15" s="13">
        <f>Data[[#This Row],[AN (Acc. Negatives)]]/Data[[#This Row],[AS (Acc. Suspects)]]</f>
        <v>0</v>
      </c>
      <c r="AI15" s="15">
        <f>Data[[#This Row],[DNC (Daily New Confirmed)]]/Data[[#This Row],[DNS (Daily New Suspects)]]</f>
        <v>5.5555555555555552E-2</v>
      </c>
      <c r="AJ15" s="16"/>
      <c r="AK15" s="17">
        <v>8</v>
      </c>
      <c r="AL15" s="17">
        <f>WEEKNUM(Data[[#This Row],[Date]])</f>
        <v>11</v>
      </c>
      <c r="AM15" s="17">
        <f>MONTH(Data[[#This Row],[Date]])</f>
        <v>3</v>
      </c>
      <c r="AN15" s="18">
        <f>WEEKDAY(Data[[#This Row],[Date]])</f>
        <v>3</v>
      </c>
    </row>
    <row r="16" spans="1:40" ht="13.5" thickBot="1" x14ac:dyDescent="0.3">
      <c r="A16" s="11">
        <v>43901</v>
      </c>
      <c r="B16" s="37">
        <v>471</v>
      </c>
      <c r="C16" s="37">
        <v>59</v>
      </c>
      <c r="D16" s="37">
        <v>0</v>
      </c>
      <c r="E16" s="37">
        <v>0</v>
      </c>
      <c r="F16" s="38"/>
      <c r="G16" s="38">
        <v>57</v>
      </c>
      <c r="H16" s="38"/>
      <c r="I16" s="38">
        <v>83</v>
      </c>
      <c r="J16" s="38">
        <v>3066</v>
      </c>
      <c r="K16" s="39">
        <v>96</v>
      </c>
      <c r="L16" s="39">
        <v>18</v>
      </c>
      <c r="M16" s="39">
        <v>0</v>
      </c>
      <c r="N16" s="40">
        <v>0</v>
      </c>
      <c r="O16" s="39">
        <f>Data[[#This Row],[AN (Acc. Negatives)]]-F15</f>
        <v>0</v>
      </c>
      <c r="P16" s="39">
        <f>Data[[#This Row],[AH (Acc. Hospital)]]-G15</f>
        <v>17</v>
      </c>
      <c r="Q16" s="39">
        <f>Data[[#This Row],[AI (Acc. ICU)]]-H15</f>
        <v>0</v>
      </c>
      <c r="R16" s="39">
        <f>Data[[#This Row],[AL (Acc. Pending Lab)]]-I15</f>
        <v>0</v>
      </c>
      <c r="S16" s="39">
        <f>Data[[#This Row],[AV (Acc. Surveillance)]]-J15</f>
        <v>2399</v>
      </c>
      <c r="T16" s="41">
        <f>(Data[[#This Row],[AC (Acc. Confirmed)]])-(Data[[#This Row],[AR (Acc. Recovered)]]+Data[[#This Row],[AD (Acc. Deaths)]])</f>
        <v>59</v>
      </c>
      <c r="U16" s="13">
        <f>Data[[#This Row],[DNS (Daily New Suspects)]]/B15</f>
        <v>0.25600000000000001</v>
      </c>
      <c r="V16" s="13">
        <f>Data[[#This Row],[DNC (Daily New Confirmed)]]/C15</f>
        <v>0.43902439024390244</v>
      </c>
      <c r="W16" s="13"/>
      <c r="X16" s="13"/>
      <c r="Y16" s="41">
        <f>Data[[#This Row],[DNS (Daily New Suspects)]]-K15</f>
        <v>60</v>
      </c>
      <c r="Z16" s="41">
        <f>Data[[#This Row],[DNC (Daily New Confirmed)]]-L15</f>
        <v>16</v>
      </c>
      <c r="AA16" s="13">
        <f>Data[[#This Row],[AC (Acc. Confirmed)]]/Data[[#This Row],[AS (Acc. Suspects)]]</f>
        <v>0.12526539278131635</v>
      </c>
      <c r="AB16" s="14">
        <f>Data[[#This Row],[AR (Acc. Recovered)]]/Data[[#This Row],[AS (Acc. Suspects)]]</f>
        <v>0</v>
      </c>
      <c r="AC16" s="14">
        <f>Data[[#This Row],[AD (Acc. Deaths)]]/Data[[#This Row],[AS (Acc. Suspects)]]</f>
        <v>0</v>
      </c>
      <c r="AD16" s="13"/>
      <c r="AE16" s="13">
        <f>Data[[#This Row],[AH (Acc. Hospital)]]/Data[[#This Row],[AC (Acc. Confirmed)]]</f>
        <v>0.96610169491525422</v>
      </c>
      <c r="AF16" s="13">
        <f>Data[[#This Row],[AI (Acc. ICU)]]/Data[[#This Row],[AH (Acc. Hospital)]]</f>
        <v>0</v>
      </c>
      <c r="AG16" s="13">
        <f>Data[[#This Row],[AL (Acc. Pending Lab)]]/Data[[#This Row],[AS (Acc. Suspects)]]</f>
        <v>0.17622080679405519</v>
      </c>
      <c r="AH16" s="13">
        <f>Data[[#This Row],[AN (Acc. Negatives)]]/Data[[#This Row],[AS (Acc. Suspects)]]</f>
        <v>0</v>
      </c>
      <c r="AI16" s="15">
        <f>Data[[#This Row],[DNC (Daily New Confirmed)]]/Data[[#This Row],[DNS (Daily New Suspects)]]</f>
        <v>0.1875</v>
      </c>
      <c r="AJ16" s="16"/>
      <c r="AK16" s="17">
        <v>9</v>
      </c>
      <c r="AL16" s="17">
        <f>WEEKNUM(Data[[#This Row],[Date]])</f>
        <v>11</v>
      </c>
      <c r="AM16" s="17">
        <f>MONTH(Data[[#This Row],[Date]])</f>
        <v>3</v>
      </c>
      <c r="AN16" s="18">
        <f>WEEKDAY(Data[[#This Row],[Date]])</f>
        <v>4</v>
      </c>
    </row>
    <row r="17" spans="1:40" ht="13.5" thickBot="1" x14ac:dyDescent="0.3">
      <c r="A17" s="11">
        <v>43902</v>
      </c>
      <c r="B17" s="37">
        <v>637</v>
      </c>
      <c r="C17" s="37">
        <v>78</v>
      </c>
      <c r="D17" s="37">
        <v>0</v>
      </c>
      <c r="E17" s="37">
        <v>0</v>
      </c>
      <c r="F17" s="38"/>
      <c r="G17" s="38">
        <v>69</v>
      </c>
      <c r="H17" s="38"/>
      <c r="I17" s="38">
        <v>133</v>
      </c>
      <c r="J17" s="38">
        <v>4923</v>
      </c>
      <c r="K17" s="39">
        <v>166</v>
      </c>
      <c r="L17" s="39">
        <v>19</v>
      </c>
      <c r="M17" s="39">
        <v>0</v>
      </c>
      <c r="N17" s="40">
        <v>0</v>
      </c>
      <c r="O17" s="39">
        <f>Data[[#This Row],[AN (Acc. Negatives)]]-F16</f>
        <v>0</v>
      </c>
      <c r="P17" s="39">
        <f>Data[[#This Row],[AH (Acc. Hospital)]]-G16</f>
        <v>12</v>
      </c>
      <c r="Q17" s="39">
        <f>Data[[#This Row],[AI (Acc. ICU)]]-H16</f>
        <v>0</v>
      </c>
      <c r="R17" s="39">
        <f>Data[[#This Row],[AL (Acc. Pending Lab)]]-I16</f>
        <v>50</v>
      </c>
      <c r="S17" s="39">
        <f>Data[[#This Row],[AV (Acc. Surveillance)]]-J16</f>
        <v>1857</v>
      </c>
      <c r="T17" s="41">
        <f>(Data[[#This Row],[AC (Acc. Confirmed)]])-(Data[[#This Row],[AR (Acc. Recovered)]]+Data[[#This Row],[AD (Acc. Deaths)]])</f>
        <v>78</v>
      </c>
      <c r="U17" s="13">
        <f>Data[[#This Row],[DNS (Daily New Suspects)]]/B16</f>
        <v>0.35244161358811038</v>
      </c>
      <c r="V17" s="13">
        <f>Data[[#This Row],[DNC (Daily New Confirmed)]]/C16</f>
        <v>0.32203389830508472</v>
      </c>
      <c r="W17" s="13"/>
      <c r="X17" s="13"/>
      <c r="Y17" s="41">
        <f>Data[[#This Row],[DNS (Daily New Suspects)]]-K16</f>
        <v>70</v>
      </c>
      <c r="Z17" s="41">
        <f>Data[[#This Row],[DNC (Daily New Confirmed)]]-L16</f>
        <v>1</v>
      </c>
      <c r="AA17" s="13">
        <f>Data[[#This Row],[AC (Acc. Confirmed)]]/Data[[#This Row],[AS (Acc. Suspects)]]</f>
        <v>0.12244897959183673</v>
      </c>
      <c r="AB17" s="14">
        <f>Data[[#This Row],[AR (Acc. Recovered)]]/Data[[#This Row],[AS (Acc. Suspects)]]</f>
        <v>0</v>
      </c>
      <c r="AC17" s="14">
        <f>Data[[#This Row],[AD (Acc. Deaths)]]/Data[[#This Row],[AS (Acc. Suspects)]]</f>
        <v>0</v>
      </c>
      <c r="AD17" s="13"/>
      <c r="AE17" s="13">
        <f>Data[[#This Row],[AH (Acc. Hospital)]]/Data[[#This Row],[AC (Acc. Confirmed)]]</f>
        <v>0.88461538461538458</v>
      </c>
      <c r="AF17" s="13">
        <f>Data[[#This Row],[AI (Acc. ICU)]]/Data[[#This Row],[AH (Acc. Hospital)]]</f>
        <v>0</v>
      </c>
      <c r="AG17" s="13">
        <f>Data[[#This Row],[AL (Acc. Pending Lab)]]/Data[[#This Row],[AS (Acc. Suspects)]]</f>
        <v>0.2087912087912088</v>
      </c>
      <c r="AH17" s="13">
        <f>Data[[#This Row],[AN (Acc. Negatives)]]/Data[[#This Row],[AS (Acc. Suspects)]]</f>
        <v>0</v>
      </c>
      <c r="AI17" s="15">
        <f>Data[[#This Row],[DNC (Daily New Confirmed)]]/Data[[#This Row],[DNS (Daily New Suspects)]]</f>
        <v>0.1144578313253012</v>
      </c>
      <c r="AJ17" s="16"/>
      <c r="AK17" s="17">
        <v>10</v>
      </c>
      <c r="AL17" s="17">
        <f>WEEKNUM(Data[[#This Row],[Date]])</f>
        <v>11</v>
      </c>
      <c r="AM17" s="17">
        <f>MONTH(Data[[#This Row],[Date]])</f>
        <v>3</v>
      </c>
      <c r="AN17" s="18">
        <f>WEEKDAY(Data[[#This Row],[Date]])</f>
        <v>5</v>
      </c>
    </row>
    <row r="18" spans="1:40" ht="13.5" thickBot="1" x14ac:dyDescent="0.3">
      <c r="A18" s="11">
        <v>43903</v>
      </c>
      <c r="B18" s="37">
        <v>1308</v>
      </c>
      <c r="C18" s="37">
        <v>112</v>
      </c>
      <c r="D18" s="37">
        <v>0</v>
      </c>
      <c r="E18" s="37">
        <v>0</v>
      </c>
      <c r="F18" s="38"/>
      <c r="G18" s="38">
        <v>107</v>
      </c>
      <c r="H18" s="38"/>
      <c r="I18" s="38">
        <v>172</v>
      </c>
      <c r="J18" s="38">
        <v>5674</v>
      </c>
      <c r="K18" s="39">
        <v>671</v>
      </c>
      <c r="L18" s="39">
        <v>34</v>
      </c>
      <c r="M18" s="39">
        <v>0</v>
      </c>
      <c r="N18" s="40">
        <v>0</v>
      </c>
      <c r="O18" s="39">
        <f>Data[[#This Row],[AN (Acc. Negatives)]]-F17</f>
        <v>0</v>
      </c>
      <c r="P18" s="39">
        <f>Data[[#This Row],[AH (Acc. Hospital)]]-G17</f>
        <v>38</v>
      </c>
      <c r="Q18" s="39">
        <f>Data[[#This Row],[AI (Acc. ICU)]]-H17</f>
        <v>0</v>
      </c>
      <c r="R18" s="39">
        <f>Data[[#This Row],[AL (Acc. Pending Lab)]]-I17</f>
        <v>39</v>
      </c>
      <c r="S18" s="39">
        <f>Data[[#This Row],[AV (Acc. Surveillance)]]-J17</f>
        <v>751</v>
      </c>
      <c r="T18" s="41">
        <f>(Data[[#This Row],[AC (Acc. Confirmed)]])-(Data[[#This Row],[AR (Acc. Recovered)]]+Data[[#This Row],[AD (Acc. Deaths)]])</f>
        <v>112</v>
      </c>
      <c r="U18" s="13">
        <f>Data[[#This Row],[DNS (Daily New Suspects)]]/B17</f>
        <v>1.053375196232339</v>
      </c>
      <c r="V18" s="13">
        <f>Data[[#This Row],[DNC (Daily New Confirmed)]]/C17</f>
        <v>0.4358974358974359</v>
      </c>
      <c r="W18" s="13"/>
      <c r="X18" s="13"/>
      <c r="Y18" s="41">
        <f>Data[[#This Row],[DNS (Daily New Suspects)]]-K17</f>
        <v>505</v>
      </c>
      <c r="Z18" s="41">
        <f>Data[[#This Row],[DNC (Daily New Confirmed)]]-L17</f>
        <v>15</v>
      </c>
      <c r="AA18" s="13">
        <f>Data[[#This Row],[AC (Acc. Confirmed)]]/Data[[#This Row],[AS (Acc. Suspects)]]</f>
        <v>8.5626911314984705E-2</v>
      </c>
      <c r="AB18" s="14">
        <f>Data[[#This Row],[AR (Acc. Recovered)]]/Data[[#This Row],[AS (Acc. Suspects)]]</f>
        <v>0</v>
      </c>
      <c r="AC18" s="14">
        <f>Data[[#This Row],[AD (Acc. Deaths)]]/Data[[#This Row],[AS (Acc. Suspects)]]</f>
        <v>0</v>
      </c>
      <c r="AD18" s="13"/>
      <c r="AE18" s="13">
        <f>Data[[#This Row],[AH (Acc. Hospital)]]/Data[[#This Row],[AC (Acc. Confirmed)]]</f>
        <v>0.9553571428571429</v>
      </c>
      <c r="AF18" s="13">
        <f>Data[[#This Row],[AI (Acc. ICU)]]/Data[[#This Row],[AH (Acc. Hospital)]]</f>
        <v>0</v>
      </c>
      <c r="AG18" s="13">
        <f>Data[[#This Row],[AL (Acc. Pending Lab)]]/Data[[#This Row],[AS (Acc. Suspects)]]</f>
        <v>0.13149847094801223</v>
      </c>
      <c r="AH18" s="13">
        <f>Data[[#This Row],[AN (Acc. Negatives)]]/Data[[#This Row],[AS (Acc. Suspects)]]</f>
        <v>0</v>
      </c>
      <c r="AI18" s="15">
        <f>Data[[#This Row],[DNC (Daily New Confirmed)]]/Data[[#This Row],[DNS (Daily New Suspects)]]</f>
        <v>5.0670640834575259E-2</v>
      </c>
      <c r="AJ18" s="16"/>
      <c r="AK18" s="17">
        <v>11</v>
      </c>
      <c r="AL18" s="17">
        <f>WEEKNUM(Data[[#This Row],[Date]])</f>
        <v>11</v>
      </c>
      <c r="AM18" s="17">
        <f>MONTH(Data[[#This Row],[Date]])</f>
        <v>3</v>
      </c>
      <c r="AN18" s="18">
        <f>WEEKDAY(Data[[#This Row],[Date]])</f>
        <v>6</v>
      </c>
    </row>
    <row r="19" spans="1:40" ht="13.5" thickBot="1" x14ac:dyDescent="0.3">
      <c r="A19" s="11">
        <v>43904</v>
      </c>
      <c r="B19" s="37">
        <v>1704</v>
      </c>
      <c r="C19" s="37">
        <v>169</v>
      </c>
      <c r="D19" s="37">
        <v>1</v>
      </c>
      <c r="E19" s="37">
        <v>0</v>
      </c>
      <c r="F19" s="38"/>
      <c r="G19" s="38">
        <v>114</v>
      </c>
      <c r="H19" s="38">
        <v>10</v>
      </c>
      <c r="I19" s="38">
        <v>126</v>
      </c>
      <c r="J19" s="38">
        <v>5011</v>
      </c>
      <c r="K19" s="39">
        <v>396</v>
      </c>
      <c r="L19" s="39">
        <v>57</v>
      </c>
      <c r="M19" s="39">
        <v>1</v>
      </c>
      <c r="N19" s="40">
        <v>0</v>
      </c>
      <c r="O19" s="39">
        <f>Data[[#This Row],[AN (Acc. Negatives)]]-F18</f>
        <v>0</v>
      </c>
      <c r="P19" s="39">
        <f>Data[[#This Row],[AH (Acc. Hospital)]]-G18</f>
        <v>7</v>
      </c>
      <c r="Q19" s="39">
        <f>Data[[#This Row],[AI (Acc. ICU)]]-H18</f>
        <v>10</v>
      </c>
      <c r="R19" s="39">
        <f>Data[[#This Row],[AL (Acc. Pending Lab)]]-I18</f>
        <v>-46</v>
      </c>
      <c r="S19" s="39">
        <f>Data[[#This Row],[AV (Acc. Surveillance)]]-J18</f>
        <v>-663</v>
      </c>
      <c r="T19" s="41">
        <f>(Data[[#This Row],[AC (Acc. Confirmed)]])-(Data[[#This Row],[AR (Acc. Recovered)]]+Data[[#This Row],[AD (Acc. Deaths)]])</f>
        <v>168</v>
      </c>
      <c r="U19" s="13">
        <f>Data[[#This Row],[DNS (Daily New Suspects)]]/B18</f>
        <v>0.30275229357798167</v>
      </c>
      <c r="V19" s="13">
        <f>Data[[#This Row],[DNC (Daily New Confirmed)]]/C18</f>
        <v>0.5089285714285714</v>
      </c>
      <c r="W19" s="13"/>
      <c r="X19" s="13"/>
      <c r="Y19" s="41">
        <f>Data[[#This Row],[DNS (Daily New Suspects)]]-K18</f>
        <v>-275</v>
      </c>
      <c r="Z19" s="41">
        <f>Data[[#This Row],[DNC (Daily New Confirmed)]]-L18</f>
        <v>23</v>
      </c>
      <c r="AA19" s="13">
        <f>Data[[#This Row],[AC (Acc. Confirmed)]]/Data[[#This Row],[AS (Acc. Suspects)]]</f>
        <v>9.9178403755868547E-2</v>
      </c>
      <c r="AB19" s="14">
        <f>Data[[#This Row],[AR (Acc. Recovered)]]/Data[[#This Row],[AS (Acc. Suspects)]]</f>
        <v>5.8685446009389673E-4</v>
      </c>
      <c r="AC19" s="14">
        <f>Data[[#This Row],[AD (Acc. Deaths)]]/Data[[#This Row],[AS (Acc. Suspects)]]</f>
        <v>0</v>
      </c>
      <c r="AD19" s="13"/>
      <c r="AE19" s="13">
        <f>Data[[#This Row],[AH (Acc. Hospital)]]/Data[[#This Row],[AC (Acc. Confirmed)]]</f>
        <v>0.67455621301775148</v>
      </c>
      <c r="AF19" s="13">
        <f>Data[[#This Row],[AI (Acc. ICU)]]/Data[[#This Row],[AH (Acc. Hospital)]]</f>
        <v>8.771929824561403E-2</v>
      </c>
      <c r="AG19" s="13">
        <f>Data[[#This Row],[AL (Acc. Pending Lab)]]/Data[[#This Row],[AS (Acc. Suspects)]]</f>
        <v>7.3943661971830985E-2</v>
      </c>
      <c r="AH19" s="13">
        <f>Data[[#This Row],[AN (Acc. Negatives)]]/Data[[#This Row],[AS (Acc. Suspects)]]</f>
        <v>0</v>
      </c>
      <c r="AI19" s="15">
        <f>Data[[#This Row],[DNC (Daily New Confirmed)]]/Data[[#This Row],[DNS (Daily New Suspects)]]</f>
        <v>0.14393939393939395</v>
      </c>
      <c r="AJ19" s="19"/>
      <c r="AK19" s="17">
        <v>12</v>
      </c>
      <c r="AL19" s="17">
        <f>WEEKNUM(Data[[#This Row],[Date]])</f>
        <v>11</v>
      </c>
      <c r="AM19" s="17">
        <f>MONTH(Data[[#This Row],[Date]])</f>
        <v>3</v>
      </c>
      <c r="AN19" s="18">
        <f>WEEKDAY(Data[[#This Row],[Date]])</f>
        <v>7</v>
      </c>
    </row>
    <row r="20" spans="1:40" ht="13.5" thickBot="1" x14ac:dyDescent="0.3">
      <c r="A20" s="11">
        <v>43905</v>
      </c>
      <c r="B20" s="37">
        <v>2271</v>
      </c>
      <c r="C20" s="37">
        <v>245</v>
      </c>
      <c r="D20" s="37">
        <v>2</v>
      </c>
      <c r="E20" s="37">
        <v>0</v>
      </c>
      <c r="F20" s="38">
        <v>1746</v>
      </c>
      <c r="G20" s="38">
        <v>139</v>
      </c>
      <c r="H20" s="38">
        <v>9</v>
      </c>
      <c r="I20" s="38">
        <v>281</v>
      </c>
      <c r="J20" s="38">
        <v>4592</v>
      </c>
      <c r="K20" s="39">
        <v>567</v>
      </c>
      <c r="L20" s="39">
        <v>76</v>
      </c>
      <c r="M20" s="39">
        <v>1</v>
      </c>
      <c r="N20" s="40">
        <v>0</v>
      </c>
      <c r="O20" s="39">
        <f>Data[[#This Row],[AN (Acc. Negatives)]]-F19</f>
        <v>1746</v>
      </c>
      <c r="P20" s="39">
        <f>Data[[#This Row],[AH (Acc. Hospital)]]-G19</f>
        <v>25</v>
      </c>
      <c r="Q20" s="39">
        <f>Data[[#This Row],[AI (Acc. ICU)]]-H19</f>
        <v>-1</v>
      </c>
      <c r="R20" s="39">
        <f>Data[[#This Row],[AL (Acc. Pending Lab)]]-I19</f>
        <v>155</v>
      </c>
      <c r="S20" s="39">
        <f>Data[[#This Row],[AV (Acc. Surveillance)]]-J19</f>
        <v>-419</v>
      </c>
      <c r="T20" s="41">
        <f>(Data[[#This Row],[AC (Acc. Confirmed)]])-(Data[[#This Row],[AR (Acc. Recovered)]]+Data[[#This Row],[AD (Acc. Deaths)]])</f>
        <v>243</v>
      </c>
      <c r="U20" s="13">
        <f>Data[[#This Row],[DNS (Daily New Suspects)]]/B19</f>
        <v>0.33274647887323944</v>
      </c>
      <c r="V20" s="13">
        <f>Data[[#This Row],[DNC (Daily New Confirmed)]]/C19</f>
        <v>0.44970414201183434</v>
      </c>
      <c r="W20" s="13">
        <f>Data[[#This Row],[DNR (Daily New Recovered)]]/D19</f>
        <v>1</v>
      </c>
      <c r="X20" s="13"/>
      <c r="Y20" s="41">
        <f>Data[[#This Row],[DNS (Daily New Suspects)]]-K19</f>
        <v>171</v>
      </c>
      <c r="Z20" s="41">
        <f>Data[[#This Row],[DNC (Daily New Confirmed)]]-L19</f>
        <v>19</v>
      </c>
      <c r="AA20" s="13">
        <f>Data[[#This Row],[AC (Acc. Confirmed)]]/Data[[#This Row],[AS (Acc. Suspects)]]</f>
        <v>0.10788199031263761</v>
      </c>
      <c r="AB20" s="14">
        <f>Data[[#This Row],[AR (Acc. Recovered)]]/Data[[#This Row],[AS (Acc. Suspects)]]</f>
        <v>8.8066930867459266E-4</v>
      </c>
      <c r="AC20" s="14">
        <f>Data[[#This Row],[AD (Acc. Deaths)]]/Data[[#This Row],[AS (Acc. Suspects)]]</f>
        <v>0</v>
      </c>
      <c r="AD20" s="13">
        <f>Data[[#This Row],[AC (Acc. Confirmed)]]/Data[[#This Row],[AN (Acc. Negatives)]]</f>
        <v>0.14032073310423826</v>
      </c>
      <c r="AE20" s="13">
        <f>Data[[#This Row],[AH (Acc. Hospital)]]/Data[[#This Row],[AC (Acc. Confirmed)]]</f>
        <v>0.56734693877551023</v>
      </c>
      <c r="AF20" s="13">
        <f>Data[[#This Row],[AI (Acc. ICU)]]/Data[[#This Row],[AH (Acc. Hospital)]]</f>
        <v>6.4748201438848921E-2</v>
      </c>
      <c r="AG20" s="13">
        <f>Data[[#This Row],[AL (Acc. Pending Lab)]]/Data[[#This Row],[AS (Acc. Suspects)]]</f>
        <v>0.12373403786878027</v>
      </c>
      <c r="AH20" s="13">
        <f>Data[[#This Row],[AN (Acc. Negatives)]]/Data[[#This Row],[AS (Acc. Suspects)]]</f>
        <v>0.76882430647291944</v>
      </c>
      <c r="AI20" s="15">
        <f>Data[[#This Row],[DNC (Daily New Confirmed)]]/Data[[#This Row],[DNS (Daily New Suspects)]]</f>
        <v>0.13403880070546736</v>
      </c>
      <c r="AJ20" s="20">
        <f>Data[[#This Row],[DNC (Daily New Confirmed)]]/Data[[#This Row],[DNN (Daily New Negatives)]]</f>
        <v>4.3528064146620846E-2</v>
      </c>
      <c r="AK20" s="17">
        <v>13</v>
      </c>
      <c r="AL20" s="17">
        <f>WEEKNUM(Data[[#This Row],[Date]])</f>
        <v>12</v>
      </c>
      <c r="AM20" s="17">
        <f>MONTH(Data[[#This Row],[Date]])</f>
        <v>3</v>
      </c>
      <c r="AN20" s="18">
        <f>WEEKDAY(Data[[#This Row],[Date]])</f>
        <v>1</v>
      </c>
    </row>
    <row r="21" spans="1:40" ht="13.5" thickBot="1" x14ac:dyDescent="0.3">
      <c r="A21" s="11">
        <v>43906</v>
      </c>
      <c r="B21" s="37">
        <v>2908</v>
      </c>
      <c r="C21" s="37">
        <v>331</v>
      </c>
      <c r="D21" s="37">
        <v>3</v>
      </c>
      <c r="E21" s="37">
        <v>0</v>
      </c>
      <c r="F21" s="38">
        <v>2203</v>
      </c>
      <c r="G21" s="38">
        <v>139</v>
      </c>
      <c r="H21" s="38">
        <v>18</v>
      </c>
      <c r="I21" s="38">
        <v>374</v>
      </c>
      <c r="J21" s="38">
        <v>4592</v>
      </c>
      <c r="K21" s="39">
        <v>637</v>
      </c>
      <c r="L21" s="39">
        <v>86</v>
      </c>
      <c r="M21" s="39">
        <v>1</v>
      </c>
      <c r="N21" s="40">
        <v>0</v>
      </c>
      <c r="O21" s="39">
        <f>Data[[#This Row],[AN (Acc. Negatives)]]-F20</f>
        <v>457</v>
      </c>
      <c r="P21" s="39">
        <f>Data[[#This Row],[AH (Acc. Hospital)]]-G20</f>
        <v>0</v>
      </c>
      <c r="Q21" s="39">
        <f>Data[[#This Row],[AI (Acc. ICU)]]-H20</f>
        <v>9</v>
      </c>
      <c r="R21" s="39">
        <f>Data[[#This Row],[AL (Acc. Pending Lab)]]-I20</f>
        <v>93</v>
      </c>
      <c r="S21" s="39">
        <f>Data[[#This Row],[AV (Acc. Surveillance)]]-J20</f>
        <v>0</v>
      </c>
      <c r="T21" s="41">
        <f>(Data[[#This Row],[AC (Acc. Confirmed)]])-(Data[[#This Row],[AR (Acc. Recovered)]]+Data[[#This Row],[AD (Acc. Deaths)]])</f>
        <v>328</v>
      </c>
      <c r="U21" s="13">
        <f>Data[[#This Row],[DNS (Daily New Suspects)]]/B20</f>
        <v>0.28049317481285779</v>
      </c>
      <c r="V21" s="13">
        <f>Data[[#This Row],[DNC (Daily New Confirmed)]]/C20</f>
        <v>0.3510204081632653</v>
      </c>
      <c r="W21" s="13">
        <f>Data[[#This Row],[DNR (Daily New Recovered)]]/D20</f>
        <v>0.5</v>
      </c>
      <c r="X21" s="13"/>
      <c r="Y21" s="41">
        <f>Data[[#This Row],[DNS (Daily New Suspects)]]-K20</f>
        <v>70</v>
      </c>
      <c r="Z21" s="41">
        <f>Data[[#This Row],[DNC (Daily New Confirmed)]]-L20</f>
        <v>10</v>
      </c>
      <c r="AA21" s="13">
        <f>Data[[#This Row],[AC (Acc. Confirmed)]]/Data[[#This Row],[AS (Acc. Suspects)]]</f>
        <v>0.11382393397524071</v>
      </c>
      <c r="AB21" s="14">
        <f>Data[[#This Row],[AR (Acc. Recovered)]]/Data[[#This Row],[AS (Acc. Suspects)]]</f>
        <v>1.0316368638239339E-3</v>
      </c>
      <c r="AC21" s="14">
        <f>Data[[#This Row],[AD (Acc. Deaths)]]/Data[[#This Row],[AS (Acc. Suspects)]]</f>
        <v>0</v>
      </c>
      <c r="AD21" s="13">
        <f>Data[[#This Row],[AC (Acc. Confirmed)]]/Data[[#This Row],[AN (Acc. Negatives)]]</f>
        <v>0.15024965955515207</v>
      </c>
      <c r="AE21" s="13">
        <f>Data[[#This Row],[AH (Acc. Hospital)]]/Data[[#This Row],[AC (Acc. Confirmed)]]</f>
        <v>0.41993957703927492</v>
      </c>
      <c r="AF21" s="13">
        <f>Data[[#This Row],[AI (Acc. ICU)]]/Data[[#This Row],[AH (Acc. Hospital)]]</f>
        <v>0.12949640287769784</v>
      </c>
      <c r="AG21" s="13">
        <f>Data[[#This Row],[AL (Acc. Pending Lab)]]/Data[[#This Row],[AS (Acc. Suspects)]]</f>
        <v>0.12861072902338377</v>
      </c>
      <c r="AH21" s="13">
        <f>Data[[#This Row],[AN (Acc. Negatives)]]/Data[[#This Row],[AS (Acc. Suspects)]]</f>
        <v>0.75756533700137552</v>
      </c>
      <c r="AI21" s="15">
        <f>Data[[#This Row],[DNC (Daily New Confirmed)]]/Data[[#This Row],[DNS (Daily New Suspects)]]</f>
        <v>0.13500784929356358</v>
      </c>
      <c r="AJ21" s="20">
        <f>Data[[#This Row],[DNC (Daily New Confirmed)]]/Data[[#This Row],[DNN (Daily New Negatives)]]</f>
        <v>0.18818380743982493</v>
      </c>
      <c r="AK21" s="17">
        <v>14</v>
      </c>
      <c r="AL21" s="17">
        <f>WEEKNUM(Data[[#This Row],[Date]])</f>
        <v>12</v>
      </c>
      <c r="AM21" s="17">
        <f>MONTH(Data[[#This Row],[Date]])</f>
        <v>3</v>
      </c>
      <c r="AN21" s="18">
        <f>WEEKDAY(Data[[#This Row],[Date]])</f>
        <v>2</v>
      </c>
    </row>
    <row r="22" spans="1:40" ht="13.5" thickBot="1" x14ac:dyDescent="0.3">
      <c r="A22" s="11">
        <v>43907</v>
      </c>
      <c r="B22" s="37">
        <v>4030</v>
      </c>
      <c r="C22" s="37">
        <v>448</v>
      </c>
      <c r="D22" s="37">
        <v>3</v>
      </c>
      <c r="E22" s="37">
        <v>1</v>
      </c>
      <c r="F22" s="38">
        <v>3259</v>
      </c>
      <c r="G22" s="38">
        <v>206</v>
      </c>
      <c r="H22" s="38">
        <v>17</v>
      </c>
      <c r="I22" s="38">
        <v>323</v>
      </c>
      <c r="J22" s="38">
        <v>6852</v>
      </c>
      <c r="K22" s="39">
        <v>1122</v>
      </c>
      <c r="L22" s="39">
        <v>117</v>
      </c>
      <c r="M22" s="39">
        <v>0</v>
      </c>
      <c r="N22" s="40">
        <v>1</v>
      </c>
      <c r="O22" s="39">
        <f>Data[[#This Row],[AN (Acc. Negatives)]]-F21</f>
        <v>1056</v>
      </c>
      <c r="P22" s="39">
        <f>Data[[#This Row],[AH (Acc. Hospital)]]-G21</f>
        <v>67</v>
      </c>
      <c r="Q22" s="39">
        <f>Data[[#This Row],[AI (Acc. ICU)]]-H21</f>
        <v>-1</v>
      </c>
      <c r="R22" s="39">
        <f>Data[[#This Row],[AL (Acc. Pending Lab)]]-I21</f>
        <v>-51</v>
      </c>
      <c r="S22" s="39">
        <f>Data[[#This Row],[AV (Acc. Surveillance)]]-J21</f>
        <v>2260</v>
      </c>
      <c r="T22" s="41">
        <f>(Data[[#This Row],[AC (Acc. Confirmed)]])-(Data[[#This Row],[AR (Acc. Recovered)]]+Data[[#This Row],[AD (Acc. Deaths)]])</f>
        <v>444</v>
      </c>
      <c r="U22" s="13">
        <f>Data[[#This Row],[DNS (Daily New Suspects)]]/B21</f>
        <v>0.38583218707015132</v>
      </c>
      <c r="V22" s="13">
        <f>Data[[#This Row],[DNC (Daily New Confirmed)]]/C21</f>
        <v>0.35347432024169184</v>
      </c>
      <c r="W22" s="13">
        <f>Data[[#This Row],[DNR (Daily New Recovered)]]/D21</f>
        <v>0</v>
      </c>
      <c r="X22" s="13"/>
      <c r="Y22" s="41">
        <f>Data[[#This Row],[DNS (Daily New Suspects)]]-K21</f>
        <v>485</v>
      </c>
      <c r="Z22" s="41">
        <f>Data[[#This Row],[DNC (Daily New Confirmed)]]-L21</f>
        <v>31</v>
      </c>
      <c r="AA22" s="13">
        <f>Data[[#This Row],[AC (Acc. Confirmed)]]/Data[[#This Row],[AS (Acc. Suspects)]]</f>
        <v>0.11116625310173697</v>
      </c>
      <c r="AB22" s="14">
        <f>Data[[#This Row],[AR (Acc. Recovered)]]/Data[[#This Row],[AS (Acc. Suspects)]]</f>
        <v>7.4441687344913151E-4</v>
      </c>
      <c r="AC22" s="14">
        <f>Data[[#This Row],[AD (Acc. Deaths)]]/Data[[#This Row],[AS (Acc. Suspects)]]</f>
        <v>2.4813895781637717E-4</v>
      </c>
      <c r="AD22" s="13">
        <f>Data[[#This Row],[AC (Acc. Confirmed)]]/Data[[#This Row],[AN (Acc. Negatives)]]</f>
        <v>0.13746548020865296</v>
      </c>
      <c r="AE22" s="13">
        <f>Data[[#This Row],[AH (Acc. Hospital)]]/Data[[#This Row],[AC (Acc. Confirmed)]]</f>
        <v>0.45982142857142855</v>
      </c>
      <c r="AF22" s="13">
        <f>Data[[#This Row],[AI (Acc. ICU)]]/Data[[#This Row],[AH (Acc. Hospital)]]</f>
        <v>8.2524271844660199E-2</v>
      </c>
      <c r="AG22" s="13">
        <f>Data[[#This Row],[AL (Acc. Pending Lab)]]/Data[[#This Row],[AS (Acc. Suspects)]]</f>
        <v>8.0148883374689825E-2</v>
      </c>
      <c r="AH22" s="13">
        <f>Data[[#This Row],[AN (Acc. Negatives)]]/Data[[#This Row],[AS (Acc. Suspects)]]</f>
        <v>0.80868486352357316</v>
      </c>
      <c r="AI22" s="15">
        <f>Data[[#This Row],[DNC (Daily New Confirmed)]]/Data[[#This Row],[DNS (Daily New Suspects)]]</f>
        <v>0.10427807486631016</v>
      </c>
      <c r="AJ22" s="20">
        <f>Data[[#This Row],[DNC (Daily New Confirmed)]]/Data[[#This Row],[DNN (Daily New Negatives)]]</f>
        <v>0.11079545454545454</v>
      </c>
      <c r="AK22" s="17">
        <v>15</v>
      </c>
      <c r="AL22" s="17">
        <f>WEEKNUM(Data[[#This Row],[Date]])</f>
        <v>12</v>
      </c>
      <c r="AM22" s="17">
        <f>MONTH(Data[[#This Row],[Date]])</f>
        <v>3</v>
      </c>
      <c r="AN22" s="18">
        <f>WEEKDAY(Data[[#This Row],[Date]])</f>
        <v>3</v>
      </c>
    </row>
    <row r="23" spans="1:40" ht="13.5" thickBot="1" x14ac:dyDescent="0.3">
      <c r="A23" s="11">
        <v>43908</v>
      </c>
      <c r="B23" s="37">
        <v>5067</v>
      </c>
      <c r="C23" s="37">
        <v>642</v>
      </c>
      <c r="D23" s="37">
        <v>3</v>
      </c>
      <c r="E23" s="37">
        <v>2</v>
      </c>
      <c r="F23" s="38">
        <v>4074</v>
      </c>
      <c r="G23" s="38">
        <v>89</v>
      </c>
      <c r="H23" s="38">
        <v>20</v>
      </c>
      <c r="I23" s="38">
        <v>351</v>
      </c>
      <c r="J23" s="38">
        <v>6656</v>
      </c>
      <c r="K23" s="39">
        <v>1037</v>
      </c>
      <c r="L23" s="39">
        <v>194</v>
      </c>
      <c r="M23" s="39">
        <v>0</v>
      </c>
      <c r="N23" s="40">
        <v>1</v>
      </c>
      <c r="O23" s="39">
        <f>Data[[#This Row],[AN (Acc. Negatives)]]-F22</f>
        <v>815</v>
      </c>
      <c r="P23" s="39">
        <f>Data[[#This Row],[AH (Acc. Hospital)]]-G22</f>
        <v>-117</v>
      </c>
      <c r="Q23" s="39">
        <f>Data[[#This Row],[AI (Acc. ICU)]]-H22</f>
        <v>3</v>
      </c>
      <c r="R23" s="39">
        <f>Data[[#This Row],[AL (Acc. Pending Lab)]]-I22</f>
        <v>28</v>
      </c>
      <c r="S23" s="39">
        <f>Data[[#This Row],[AV (Acc. Surveillance)]]-J22</f>
        <v>-196</v>
      </c>
      <c r="T23" s="41">
        <f>(Data[[#This Row],[AC (Acc. Confirmed)]])-(Data[[#This Row],[AR (Acc. Recovered)]]+Data[[#This Row],[AD (Acc. Deaths)]])</f>
        <v>637</v>
      </c>
      <c r="U23" s="13">
        <f>Data[[#This Row],[DNS (Daily New Suspects)]]/B22</f>
        <v>0.25732009925558313</v>
      </c>
      <c r="V23" s="13">
        <f>Data[[#This Row],[DNC (Daily New Confirmed)]]/C22</f>
        <v>0.4330357142857143</v>
      </c>
      <c r="W23" s="13">
        <f>Data[[#This Row],[DNR (Daily New Recovered)]]/D22</f>
        <v>0</v>
      </c>
      <c r="X23" s="13">
        <f>Data[[#This Row],[DND (Daily New Deaths)]]/E22</f>
        <v>1</v>
      </c>
      <c r="Y23" s="41">
        <f>Data[[#This Row],[DNS (Daily New Suspects)]]-K22</f>
        <v>-85</v>
      </c>
      <c r="Z23" s="41">
        <f>Data[[#This Row],[DNC (Daily New Confirmed)]]-L22</f>
        <v>77</v>
      </c>
      <c r="AA23" s="13">
        <f>Data[[#This Row],[AC (Acc. Confirmed)]]/Data[[#This Row],[AS (Acc. Suspects)]]</f>
        <v>0.12670219064535229</v>
      </c>
      <c r="AB23" s="14">
        <f>Data[[#This Row],[AR (Acc. Recovered)]]/Data[[#This Row],[AS (Acc. Suspects)]]</f>
        <v>5.9206631142687976E-4</v>
      </c>
      <c r="AC23" s="14">
        <f>Data[[#This Row],[AD (Acc. Deaths)]]/Data[[#This Row],[AS (Acc. Suspects)]]</f>
        <v>3.9471087428458656E-4</v>
      </c>
      <c r="AD23" s="13">
        <f>Data[[#This Row],[AC (Acc. Confirmed)]]/Data[[#This Row],[AN (Acc. Negatives)]]</f>
        <v>0.15758468335787923</v>
      </c>
      <c r="AE23" s="13">
        <f>Data[[#This Row],[AH (Acc. Hospital)]]/Data[[#This Row],[AC (Acc. Confirmed)]]</f>
        <v>0.13862928348909656</v>
      </c>
      <c r="AF23" s="13">
        <f>Data[[#This Row],[AI (Acc. ICU)]]/Data[[#This Row],[AH (Acc. Hospital)]]</f>
        <v>0.2247191011235955</v>
      </c>
      <c r="AG23" s="13">
        <f>Data[[#This Row],[AL (Acc. Pending Lab)]]/Data[[#This Row],[AS (Acc. Suspects)]]</f>
        <v>6.9271758436944941E-2</v>
      </c>
      <c r="AH23" s="13">
        <f>Data[[#This Row],[AN (Acc. Negatives)]]/Data[[#This Row],[AS (Acc. Suspects)]]</f>
        <v>0.80402605091770274</v>
      </c>
      <c r="AI23" s="15">
        <f>Data[[#This Row],[DNC (Daily New Confirmed)]]/Data[[#This Row],[DNS (Daily New Suspects)]]</f>
        <v>0.1870781099324976</v>
      </c>
      <c r="AJ23" s="20">
        <f>Data[[#This Row],[DNC (Daily New Confirmed)]]/Data[[#This Row],[DNN (Daily New Negatives)]]</f>
        <v>0.23803680981595093</v>
      </c>
      <c r="AK23" s="17">
        <v>16</v>
      </c>
      <c r="AL23" s="17">
        <f>WEEKNUM(Data[[#This Row],[Date]])</f>
        <v>12</v>
      </c>
      <c r="AM23" s="17">
        <f>MONTH(Data[[#This Row],[Date]])</f>
        <v>3</v>
      </c>
      <c r="AN23" s="18">
        <f>WEEKDAY(Data[[#This Row],[Date]])</f>
        <v>4</v>
      </c>
    </row>
    <row r="24" spans="1:40" ht="13.5" thickBot="1" x14ac:dyDescent="0.3">
      <c r="A24" s="11">
        <v>43909</v>
      </c>
      <c r="B24" s="37">
        <v>6061</v>
      </c>
      <c r="C24" s="37">
        <v>785</v>
      </c>
      <c r="D24" s="37">
        <v>3</v>
      </c>
      <c r="E24" s="37">
        <v>3</v>
      </c>
      <c r="F24" s="38">
        <v>4788</v>
      </c>
      <c r="G24" s="38">
        <v>89</v>
      </c>
      <c r="H24" s="38">
        <v>20</v>
      </c>
      <c r="I24" s="38">
        <v>488</v>
      </c>
      <c r="J24" s="38">
        <v>8091</v>
      </c>
      <c r="K24" s="39">
        <v>994</v>
      </c>
      <c r="L24" s="39">
        <v>143</v>
      </c>
      <c r="M24" s="39">
        <v>0</v>
      </c>
      <c r="N24" s="40">
        <v>1</v>
      </c>
      <c r="O24" s="39">
        <f>Data[[#This Row],[AN (Acc. Negatives)]]-F23</f>
        <v>714</v>
      </c>
      <c r="P24" s="39">
        <f>Data[[#This Row],[AH (Acc. Hospital)]]-G23</f>
        <v>0</v>
      </c>
      <c r="Q24" s="39">
        <f>Data[[#This Row],[AI (Acc. ICU)]]-H23</f>
        <v>0</v>
      </c>
      <c r="R24" s="39">
        <f>Data[[#This Row],[AL (Acc. Pending Lab)]]-I23</f>
        <v>137</v>
      </c>
      <c r="S24" s="39">
        <f>Data[[#This Row],[AV (Acc. Surveillance)]]-J23</f>
        <v>1435</v>
      </c>
      <c r="T24" s="41">
        <f>(Data[[#This Row],[AC (Acc. Confirmed)]])-(Data[[#This Row],[AR (Acc. Recovered)]]+Data[[#This Row],[AD (Acc. Deaths)]])</f>
        <v>779</v>
      </c>
      <c r="U24" s="13">
        <f>Data[[#This Row],[DNS (Daily New Suspects)]]/B23</f>
        <v>0.19617130451943951</v>
      </c>
      <c r="V24" s="13">
        <f>Data[[#This Row],[DNC (Daily New Confirmed)]]/C23</f>
        <v>0.22274143302180685</v>
      </c>
      <c r="W24" s="13">
        <f>Data[[#This Row],[DNR (Daily New Recovered)]]/D23</f>
        <v>0</v>
      </c>
      <c r="X24" s="13">
        <f>Data[[#This Row],[DND (Daily New Deaths)]]/E23</f>
        <v>0.5</v>
      </c>
      <c r="Y24" s="41">
        <f>Data[[#This Row],[DNS (Daily New Suspects)]]-K23</f>
        <v>-43</v>
      </c>
      <c r="Z24" s="41">
        <f>Data[[#This Row],[DNC (Daily New Confirmed)]]-L23</f>
        <v>-51</v>
      </c>
      <c r="AA24" s="13">
        <f>Data[[#This Row],[AC (Acc. Confirmed)]]/Data[[#This Row],[AS (Acc. Suspects)]]</f>
        <v>0.12951658142220757</v>
      </c>
      <c r="AB24" s="14">
        <f>Data[[#This Row],[AR (Acc. Recovered)]]/Data[[#This Row],[AS (Acc. Suspects)]]</f>
        <v>4.9496782709123905E-4</v>
      </c>
      <c r="AC24" s="14">
        <f>Data[[#This Row],[AD (Acc. Deaths)]]/Data[[#This Row],[AS (Acc. Suspects)]]</f>
        <v>4.9496782709123905E-4</v>
      </c>
      <c r="AD24" s="13">
        <f>Data[[#This Row],[AC (Acc. Confirmed)]]/Data[[#This Row],[AN (Acc. Negatives)]]</f>
        <v>0.1639515455304929</v>
      </c>
      <c r="AE24" s="13">
        <f>Data[[#This Row],[AH (Acc. Hospital)]]/Data[[#This Row],[AC (Acc. Confirmed)]]</f>
        <v>0.11337579617834395</v>
      </c>
      <c r="AF24" s="13">
        <f>Data[[#This Row],[AI (Acc. ICU)]]/Data[[#This Row],[AH (Acc. Hospital)]]</f>
        <v>0.2247191011235955</v>
      </c>
      <c r="AG24" s="13">
        <f>Data[[#This Row],[AL (Acc. Pending Lab)]]/Data[[#This Row],[AS (Acc. Suspects)]]</f>
        <v>8.0514766540174892E-2</v>
      </c>
      <c r="AH24" s="13">
        <f>Data[[#This Row],[AN (Acc. Negatives)]]/Data[[#This Row],[AS (Acc. Suspects)]]</f>
        <v>0.78996865203761757</v>
      </c>
      <c r="AI24" s="15">
        <f>Data[[#This Row],[DNC (Daily New Confirmed)]]/Data[[#This Row],[DNS (Daily New Suspects)]]</f>
        <v>0.14386317907444668</v>
      </c>
      <c r="AJ24" s="20">
        <f>Data[[#This Row],[DNC (Daily New Confirmed)]]/Data[[#This Row],[DNN (Daily New Negatives)]]</f>
        <v>0.20028011204481794</v>
      </c>
      <c r="AK24" s="17">
        <v>17</v>
      </c>
      <c r="AL24" s="17">
        <f>WEEKNUM(Data[[#This Row],[Date]])</f>
        <v>12</v>
      </c>
      <c r="AM24" s="17">
        <f>MONTH(Data[[#This Row],[Date]])</f>
        <v>3</v>
      </c>
      <c r="AN24" s="18">
        <f>WEEKDAY(Data[[#This Row],[Date]])</f>
        <v>5</v>
      </c>
    </row>
    <row r="25" spans="1:40" ht="13.5" thickBot="1" x14ac:dyDescent="0.3">
      <c r="A25" s="11">
        <v>43910</v>
      </c>
      <c r="B25" s="37">
        <v>7732</v>
      </c>
      <c r="C25" s="37">
        <v>1020</v>
      </c>
      <c r="D25" s="37">
        <v>5</v>
      </c>
      <c r="E25" s="37">
        <v>6</v>
      </c>
      <c r="F25" s="38">
        <v>5862</v>
      </c>
      <c r="G25" s="38">
        <v>126</v>
      </c>
      <c r="H25" s="38">
        <v>26</v>
      </c>
      <c r="I25" s="38">
        <v>850</v>
      </c>
      <c r="J25" s="38">
        <v>9008</v>
      </c>
      <c r="K25" s="39">
        <v>1671</v>
      </c>
      <c r="L25" s="39">
        <v>235</v>
      </c>
      <c r="M25" s="39">
        <v>2</v>
      </c>
      <c r="N25" s="40">
        <v>3</v>
      </c>
      <c r="O25" s="39">
        <f>Data[[#This Row],[AN (Acc. Negatives)]]-F24</f>
        <v>1074</v>
      </c>
      <c r="P25" s="39">
        <f>Data[[#This Row],[AH (Acc. Hospital)]]-G24</f>
        <v>37</v>
      </c>
      <c r="Q25" s="39">
        <f>Data[[#This Row],[AI (Acc. ICU)]]-H24</f>
        <v>6</v>
      </c>
      <c r="R25" s="39">
        <f>Data[[#This Row],[AL (Acc. Pending Lab)]]-I24</f>
        <v>362</v>
      </c>
      <c r="S25" s="39">
        <f>Data[[#This Row],[AV (Acc. Surveillance)]]-J24</f>
        <v>917</v>
      </c>
      <c r="T25" s="41">
        <f>(Data[[#This Row],[AC (Acc. Confirmed)]])-(Data[[#This Row],[AR (Acc. Recovered)]]+Data[[#This Row],[AD (Acc. Deaths)]])</f>
        <v>1009</v>
      </c>
      <c r="U25" s="13">
        <f>Data[[#This Row],[DNS (Daily New Suspects)]]/B24</f>
        <v>0.27569707968982016</v>
      </c>
      <c r="V25" s="13">
        <f>Data[[#This Row],[DNC (Daily New Confirmed)]]/C24</f>
        <v>0.29936305732484075</v>
      </c>
      <c r="W25" s="13">
        <f>Data[[#This Row],[DNR (Daily New Recovered)]]/D24</f>
        <v>0.66666666666666663</v>
      </c>
      <c r="X25" s="13">
        <f>Data[[#This Row],[DND (Daily New Deaths)]]/E24</f>
        <v>1</v>
      </c>
      <c r="Y25" s="41">
        <f>Data[[#This Row],[DNS (Daily New Suspects)]]-K24</f>
        <v>677</v>
      </c>
      <c r="Z25" s="41">
        <f>Data[[#This Row],[DNC (Daily New Confirmed)]]-L24</f>
        <v>92</v>
      </c>
      <c r="AA25" s="13">
        <f>Data[[#This Row],[AC (Acc. Confirmed)]]/Data[[#This Row],[AS (Acc. Suspects)]]</f>
        <v>0.13191929643041903</v>
      </c>
      <c r="AB25" s="14">
        <f>Data[[#This Row],[AR (Acc. Recovered)]]/Data[[#This Row],[AS (Acc. Suspects)]]</f>
        <v>6.4666321779617173E-4</v>
      </c>
      <c r="AC25" s="14">
        <f>Data[[#This Row],[AD (Acc. Deaths)]]/Data[[#This Row],[AS (Acc. Suspects)]]</f>
        <v>7.7599586135540608E-4</v>
      </c>
      <c r="AD25" s="13">
        <f>Data[[#This Row],[AC (Acc. Confirmed)]]/Data[[#This Row],[AN (Acc. Negatives)]]</f>
        <v>0.17400204708290687</v>
      </c>
      <c r="AE25" s="13">
        <f>Data[[#This Row],[AH (Acc. Hospital)]]/Data[[#This Row],[AC (Acc. Confirmed)]]</f>
        <v>0.12352941176470589</v>
      </c>
      <c r="AF25" s="13">
        <f>Data[[#This Row],[AI (Acc. ICU)]]/Data[[#This Row],[AH (Acc. Hospital)]]</f>
        <v>0.20634920634920634</v>
      </c>
      <c r="AG25" s="13">
        <f>Data[[#This Row],[AL (Acc. Pending Lab)]]/Data[[#This Row],[AS (Acc. Suspects)]]</f>
        <v>0.10993274702534919</v>
      </c>
      <c r="AH25" s="13">
        <f>Data[[#This Row],[AN (Acc. Negatives)]]/Data[[#This Row],[AS (Acc. Suspects)]]</f>
        <v>0.75814795654423173</v>
      </c>
      <c r="AI25" s="15">
        <f>Data[[#This Row],[DNC (Daily New Confirmed)]]/Data[[#This Row],[DNS (Daily New Suspects)]]</f>
        <v>0.14063435068821065</v>
      </c>
      <c r="AJ25" s="20">
        <f>Data[[#This Row],[DNC (Daily New Confirmed)]]/Data[[#This Row],[DNN (Daily New Negatives)]]</f>
        <v>0.21880819366852886</v>
      </c>
      <c r="AK25" s="17">
        <v>18</v>
      </c>
      <c r="AL25" s="17">
        <f>WEEKNUM(Data[[#This Row],[Date]])</f>
        <v>12</v>
      </c>
      <c r="AM25" s="17">
        <f>MONTH(Data[[#This Row],[Date]])</f>
        <v>3</v>
      </c>
      <c r="AN25" s="18">
        <f>WEEKDAY(Data[[#This Row],[Date]])</f>
        <v>6</v>
      </c>
    </row>
    <row r="26" spans="1:40" ht="13.5" thickBot="1" x14ac:dyDescent="0.3">
      <c r="A26" s="11">
        <v>43911</v>
      </c>
      <c r="B26" s="37">
        <v>9854</v>
      </c>
      <c r="C26" s="37">
        <v>1280</v>
      </c>
      <c r="D26" s="37">
        <v>5</v>
      </c>
      <c r="E26" s="37">
        <v>12</v>
      </c>
      <c r="F26" s="38">
        <v>7515</v>
      </c>
      <c r="G26" s="38">
        <v>156</v>
      </c>
      <c r="H26" s="38">
        <v>35</v>
      </c>
      <c r="I26" s="38">
        <v>1059</v>
      </c>
      <c r="J26" s="38">
        <v>13155</v>
      </c>
      <c r="K26" s="39">
        <v>2122</v>
      </c>
      <c r="L26" s="39">
        <v>260</v>
      </c>
      <c r="M26" s="39">
        <v>0</v>
      </c>
      <c r="N26" s="40">
        <v>6</v>
      </c>
      <c r="O26" s="39">
        <f>Data[[#This Row],[AN (Acc. Negatives)]]-F25</f>
        <v>1653</v>
      </c>
      <c r="P26" s="39">
        <f>Data[[#This Row],[AH (Acc. Hospital)]]-G25</f>
        <v>30</v>
      </c>
      <c r="Q26" s="39">
        <f>Data[[#This Row],[AI (Acc. ICU)]]-H25</f>
        <v>9</v>
      </c>
      <c r="R26" s="39">
        <f>Data[[#This Row],[AL (Acc. Pending Lab)]]-I25</f>
        <v>209</v>
      </c>
      <c r="S26" s="39">
        <f>Data[[#This Row],[AV (Acc. Surveillance)]]-J25</f>
        <v>4147</v>
      </c>
      <c r="T26" s="41">
        <f>(Data[[#This Row],[AC (Acc. Confirmed)]])-(Data[[#This Row],[AR (Acc. Recovered)]]+Data[[#This Row],[AD (Acc. Deaths)]])</f>
        <v>1263</v>
      </c>
      <c r="U26" s="13">
        <f>Data[[#This Row],[DNS (Daily New Suspects)]]/B25</f>
        <v>0.27444386963269529</v>
      </c>
      <c r="V26" s="13">
        <f>Data[[#This Row],[DNC (Daily New Confirmed)]]/C25</f>
        <v>0.25490196078431371</v>
      </c>
      <c r="W26" s="13">
        <f>Data[[#This Row],[DNR (Daily New Recovered)]]/D25</f>
        <v>0</v>
      </c>
      <c r="X26" s="13">
        <f>Data[[#This Row],[DND (Daily New Deaths)]]/E25</f>
        <v>1</v>
      </c>
      <c r="Y26" s="41">
        <f>Data[[#This Row],[DNS (Daily New Suspects)]]-K25</f>
        <v>451</v>
      </c>
      <c r="Z26" s="41">
        <f>Data[[#This Row],[DNC (Daily New Confirmed)]]-L25</f>
        <v>25</v>
      </c>
      <c r="AA26" s="13">
        <f>Data[[#This Row],[AC (Acc. Confirmed)]]/Data[[#This Row],[AS (Acc. Suspects)]]</f>
        <v>0.12989648873553886</v>
      </c>
      <c r="AB26" s="14">
        <f>Data[[#This Row],[AR (Acc. Recovered)]]/Data[[#This Row],[AS (Acc. Suspects)]]</f>
        <v>5.0740815912319866E-4</v>
      </c>
      <c r="AC26" s="14">
        <f>Data[[#This Row],[AD (Acc. Deaths)]]/Data[[#This Row],[AS (Acc. Suspects)]]</f>
        <v>1.2177795818956768E-3</v>
      </c>
      <c r="AD26" s="13">
        <f>Data[[#This Row],[AC (Acc. Confirmed)]]/Data[[#This Row],[AN (Acc. Negatives)]]</f>
        <v>0.17032601463739189</v>
      </c>
      <c r="AE26" s="13">
        <f>Data[[#This Row],[AH (Acc. Hospital)]]/Data[[#This Row],[AC (Acc. Confirmed)]]</f>
        <v>0.121875</v>
      </c>
      <c r="AF26" s="13">
        <f>Data[[#This Row],[AI (Acc. ICU)]]/Data[[#This Row],[AH (Acc. Hospital)]]</f>
        <v>0.22435897435897437</v>
      </c>
      <c r="AG26" s="13">
        <f>Data[[#This Row],[AL (Acc. Pending Lab)]]/Data[[#This Row],[AS (Acc. Suspects)]]</f>
        <v>0.10746904810229349</v>
      </c>
      <c r="AH26" s="13">
        <f>Data[[#This Row],[AN (Acc. Negatives)]]/Data[[#This Row],[AS (Acc. Suspects)]]</f>
        <v>0.76263446316216765</v>
      </c>
      <c r="AI26" s="15">
        <f>Data[[#This Row],[DNC (Daily New Confirmed)]]/Data[[#This Row],[DNS (Daily New Suspects)]]</f>
        <v>0.12252591894439209</v>
      </c>
      <c r="AJ26" s="20">
        <f>Data[[#This Row],[DNC (Daily New Confirmed)]]/Data[[#This Row],[DNN (Daily New Negatives)]]</f>
        <v>0.15728977616454931</v>
      </c>
      <c r="AK26" s="17">
        <v>19</v>
      </c>
      <c r="AL26" s="17">
        <f>WEEKNUM(Data[[#This Row],[Date]])</f>
        <v>12</v>
      </c>
      <c r="AM26" s="17">
        <f>MONTH(Data[[#This Row],[Date]])</f>
        <v>3</v>
      </c>
      <c r="AN26" s="18">
        <f>WEEKDAY(Data[[#This Row],[Date]])</f>
        <v>7</v>
      </c>
    </row>
    <row r="27" spans="1:40" ht="13.5" thickBot="1" x14ac:dyDescent="0.3">
      <c r="A27" s="11">
        <v>43912</v>
      </c>
      <c r="B27" s="37">
        <v>11779</v>
      </c>
      <c r="C27" s="37">
        <v>1600</v>
      </c>
      <c r="D27" s="37">
        <v>5</v>
      </c>
      <c r="E27" s="37">
        <v>14</v>
      </c>
      <c r="F27" s="38">
        <v>9027</v>
      </c>
      <c r="G27" s="38">
        <v>169</v>
      </c>
      <c r="H27" s="38">
        <v>41</v>
      </c>
      <c r="I27" s="38">
        <v>1152</v>
      </c>
      <c r="J27" s="38">
        <v>12562</v>
      </c>
      <c r="K27" s="39">
        <v>1925</v>
      </c>
      <c r="L27" s="39">
        <v>320</v>
      </c>
      <c r="M27" s="39">
        <v>0</v>
      </c>
      <c r="N27" s="40">
        <v>2</v>
      </c>
      <c r="O27" s="39">
        <f>Data[[#This Row],[AN (Acc. Negatives)]]-F26</f>
        <v>1512</v>
      </c>
      <c r="P27" s="39">
        <f>Data[[#This Row],[AH (Acc. Hospital)]]-G26</f>
        <v>13</v>
      </c>
      <c r="Q27" s="39">
        <f>Data[[#This Row],[AI (Acc. ICU)]]-H26</f>
        <v>6</v>
      </c>
      <c r="R27" s="39">
        <f>Data[[#This Row],[AL (Acc. Pending Lab)]]-I26</f>
        <v>93</v>
      </c>
      <c r="S27" s="39">
        <f>Data[[#This Row],[AV (Acc. Surveillance)]]-J26</f>
        <v>-593</v>
      </c>
      <c r="T27" s="41">
        <f>(Data[[#This Row],[AC (Acc. Confirmed)]])-(Data[[#This Row],[AR (Acc. Recovered)]]+Data[[#This Row],[AD (Acc. Deaths)]])</f>
        <v>1581</v>
      </c>
      <c r="U27" s="13">
        <f>Data[[#This Row],[DNS (Daily New Suspects)]]/B26</f>
        <v>0.1953521412624315</v>
      </c>
      <c r="V27" s="13">
        <f>Data[[#This Row],[DNC (Daily New Confirmed)]]/C26</f>
        <v>0.25</v>
      </c>
      <c r="W27" s="13">
        <f>Data[[#This Row],[DNR (Daily New Recovered)]]/D26</f>
        <v>0</v>
      </c>
      <c r="X27" s="13">
        <f>Data[[#This Row],[DND (Daily New Deaths)]]/E26</f>
        <v>0.16666666666666666</v>
      </c>
      <c r="Y27" s="41">
        <f>Data[[#This Row],[DNS (Daily New Suspects)]]-K26</f>
        <v>-197</v>
      </c>
      <c r="Z27" s="41">
        <f>Data[[#This Row],[DNC (Daily New Confirmed)]]-L26</f>
        <v>60</v>
      </c>
      <c r="AA27" s="13">
        <f>Data[[#This Row],[AC (Acc. Confirmed)]]/Data[[#This Row],[AS (Acc. Suspects)]]</f>
        <v>0.13583496052296459</v>
      </c>
      <c r="AB27" s="14">
        <f>Data[[#This Row],[AR (Acc. Recovered)]]/Data[[#This Row],[AS (Acc. Suspects)]]</f>
        <v>4.2448425163426435E-4</v>
      </c>
      <c r="AC27" s="14">
        <f>Data[[#This Row],[AD (Acc. Deaths)]]/Data[[#This Row],[AS (Acc. Suspects)]]</f>
        <v>1.1885559045759402E-3</v>
      </c>
      <c r="AD27" s="13">
        <f>Data[[#This Row],[AC (Acc. Confirmed)]]/Data[[#This Row],[AN (Acc. Negatives)]]</f>
        <v>0.17724603965880137</v>
      </c>
      <c r="AE27" s="13">
        <f>Data[[#This Row],[AH (Acc. Hospital)]]/Data[[#This Row],[AC (Acc. Confirmed)]]</f>
        <v>0.105625</v>
      </c>
      <c r="AF27" s="13">
        <f>Data[[#This Row],[AI (Acc. ICU)]]/Data[[#This Row],[AH (Acc. Hospital)]]</f>
        <v>0.24260355029585798</v>
      </c>
      <c r="AG27" s="13">
        <f>Data[[#This Row],[AL (Acc. Pending Lab)]]/Data[[#This Row],[AS (Acc. Suspects)]]</f>
        <v>9.7801171576534507E-2</v>
      </c>
      <c r="AH27" s="13">
        <f>Data[[#This Row],[AN (Acc. Negatives)]]/Data[[#This Row],[AS (Acc. Suspects)]]</f>
        <v>0.76636386790050093</v>
      </c>
      <c r="AI27" s="15">
        <f>Data[[#This Row],[DNC (Daily New Confirmed)]]/Data[[#This Row],[DNS (Daily New Suspects)]]</f>
        <v>0.16623376623376623</v>
      </c>
      <c r="AJ27" s="20">
        <f>Data[[#This Row],[DNC (Daily New Confirmed)]]/Data[[#This Row],[DNN (Daily New Negatives)]]</f>
        <v>0.21164021164021163</v>
      </c>
      <c r="AK27" s="17">
        <v>20</v>
      </c>
      <c r="AL27" s="17">
        <f>WEEKNUM(Data[[#This Row],[Date]])</f>
        <v>13</v>
      </c>
      <c r="AM27" s="17">
        <f>MONTH(Data[[#This Row],[Date]])</f>
        <v>3</v>
      </c>
      <c r="AN27" s="18">
        <f>WEEKDAY(Data[[#This Row],[Date]])</f>
        <v>1</v>
      </c>
    </row>
    <row r="28" spans="1:40" ht="13.5" thickBot="1" x14ac:dyDescent="0.3">
      <c r="A28" s="11">
        <v>43913</v>
      </c>
      <c r="B28" s="37">
        <v>13674</v>
      </c>
      <c r="C28" s="37">
        <v>2060</v>
      </c>
      <c r="D28" s="37">
        <v>14</v>
      </c>
      <c r="E28" s="37">
        <v>23</v>
      </c>
      <c r="F28" s="38">
        <v>10212</v>
      </c>
      <c r="G28" s="38">
        <v>201</v>
      </c>
      <c r="H28" s="38">
        <v>47</v>
      </c>
      <c r="I28" s="38">
        <v>1402</v>
      </c>
      <c r="J28" s="38">
        <v>11842</v>
      </c>
      <c r="K28" s="39">
        <v>1895</v>
      </c>
      <c r="L28" s="39">
        <v>460</v>
      </c>
      <c r="M28" s="39">
        <v>9</v>
      </c>
      <c r="N28" s="40">
        <v>9</v>
      </c>
      <c r="O28" s="39">
        <f>Data[[#This Row],[AN (Acc. Negatives)]]-F27</f>
        <v>1185</v>
      </c>
      <c r="P28" s="39">
        <f>Data[[#This Row],[AH (Acc. Hospital)]]-G27</f>
        <v>32</v>
      </c>
      <c r="Q28" s="39">
        <f>Data[[#This Row],[AI (Acc. ICU)]]-H27</f>
        <v>6</v>
      </c>
      <c r="R28" s="39">
        <f>Data[[#This Row],[AL (Acc. Pending Lab)]]-I27</f>
        <v>250</v>
      </c>
      <c r="S28" s="39">
        <f>Data[[#This Row],[AV (Acc. Surveillance)]]-J27</f>
        <v>-720</v>
      </c>
      <c r="T28" s="41">
        <f>(Data[[#This Row],[AC (Acc. Confirmed)]])-(Data[[#This Row],[AR (Acc. Recovered)]]+Data[[#This Row],[AD (Acc. Deaths)]])</f>
        <v>2023</v>
      </c>
      <c r="U28" s="13">
        <f>Data[[#This Row],[DNS (Daily New Suspects)]]/B27</f>
        <v>0.16087953136938621</v>
      </c>
      <c r="V28" s="13">
        <f>Data[[#This Row],[DNC (Daily New Confirmed)]]/C27</f>
        <v>0.28749999999999998</v>
      </c>
      <c r="W28" s="13">
        <f>Data[[#This Row],[DNR (Daily New Recovered)]]/D27</f>
        <v>1.8</v>
      </c>
      <c r="X28" s="13">
        <f>Data[[#This Row],[DND (Daily New Deaths)]]/E27</f>
        <v>0.6428571428571429</v>
      </c>
      <c r="Y28" s="41">
        <f>Data[[#This Row],[DNS (Daily New Suspects)]]-K27</f>
        <v>-30</v>
      </c>
      <c r="Z28" s="41">
        <f>Data[[#This Row],[DNC (Daily New Confirmed)]]-L27</f>
        <v>140</v>
      </c>
      <c r="AA28" s="13">
        <f>Data[[#This Row],[AC (Acc. Confirmed)]]/Data[[#This Row],[AS (Acc. Suspects)]]</f>
        <v>0.150650870264736</v>
      </c>
      <c r="AB28" s="14">
        <f>Data[[#This Row],[AR (Acc. Recovered)]]/Data[[#This Row],[AS (Acc. Suspects)]]</f>
        <v>1.0238408658768466E-3</v>
      </c>
      <c r="AC28" s="14">
        <f>Data[[#This Row],[AD (Acc. Deaths)]]/Data[[#This Row],[AS (Acc. Suspects)]]</f>
        <v>1.6820242796548193E-3</v>
      </c>
      <c r="AD28" s="13">
        <f>Data[[#This Row],[AC (Acc. Confirmed)]]/Data[[#This Row],[AN (Acc. Negatives)]]</f>
        <v>0.20172346259302781</v>
      </c>
      <c r="AE28" s="13">
        <f>Data[[#This Row],[AH (Acc. Hospital)]]/Data[[#This Row],[AC (Acc. Confirmed)]]</f>
        <v>9.7572815533980589E-2</v>
      </c>
      <c r="AF28" s="13">
        <f>Data[[#This Row],[AI (Acc. ICU)]]/Data[[#This Row],[AH (Acc. Hospital)]]</f>
        <v>0.23383084577114427</v>
      </c>
      <c r="AG28" s="13">
        <f>Data[[#This Row],[AL (Acc. Pending Lab)]]/Data[[#This Row],[AS (Acc. Suspects)]]</f>
        <v>0.10253034956852421</v>
      </c>
      <c r="AH28" s="13">
        <f>Data[[#This Row],[AN (Acc. Negatives)]]/Data[[#This Row],[AS (Acc. Suspects)]]</f>
        <v>0.74681878016673975</v>
      </c>
      <c r="AI28" s="15">
        <f>Data[[#This Row],[DNC (Daily New Confirmed)]]/Data[[#This Row],[DNS (Daily New Suspects)]]</f>
        <v>0.24274406332453827</v>
      </c>
      <c r="AJ28" s="20">
        <f>Data[[#This Row],[DNC (Daily New Confirmed)]]/Data[[#This Row],[DNN (Daily New Negatives)]]</f>
        <v>0.3881856540084388</v>
      </c>
      <c r="AK28" s="17">
        <v>21</v>
      </c>
      <c r="AL28" s="17">
        <f>WEEKNUM(Data[[#This Row],[Date]])</f>
        <v>13</v>
      </c>
      <c r="AM28" s="17">
        <f>MONTH(Data[[#This Row],[Date]])</f>
        <v>3</v>
      </c>
      <c r="AN28" s="18">
        <f>WEEKDAY(Data[[#This Row],[Date]])</f>
        <v>2</v>
      </c>
    </row>
    <row r="29" spans="1:40" ht="13.5" thickBot="1" x14ac:dyDescent="0.3">
      <c r="A29" s="11">
        <v>43914</v>
      </c>
      <c r="B29" s="37">
        <v>15474</v>
      </c>
      <c r="C29" s="37">
        <v>2362</v>
      </c>
      <c r="D29" s="37">
        <v>22</v>
      </c>
      <c r="E29" s="37">
        <v>33</v>
      </c>
      <c r="F29" s="38">
        <v>11329</v>
      </c>
      <c r="G29" s="38">
        <v>203</v>
      </c>
      <c r="H29" s="38">
        <v>48</v>
      </c>
      <c r="I29" s="38">
        <v>1783</v>
      </c>
      <c r="J29" s="38">
        <v>11842</v>
      </c>
      <c r="K29" s="39">
        <v>1800</v>
      </c>
      <c r="L29" s="39">
        <v>302</v>
      </c>
      <c r="M29" s="39">
        <v>8</v>
      </c>
      <c r="N29" s="40">
        <v>10</v>
      </c>
      <c r="O29" s="39">
        <f>Data[[#This Row],[AN (Acc. Negatives)]]-F28</f>
        <v>1117</v>
      </c>
      <c r="P29" s="39">
        <f>Data[[#This Row],[AH (Acc. Hospital)]]-G28</f>
        <v>2</v>
      </c>
      <c r="Q29" s="39">
        <f>Data[[#This Row],[AI (Acc. ICU)]]-H28</f>
        <v>1</v>
      </c>
      <c r="R29" s="39">
        <f>Data[[#This Row],[AL (Acc. Pending Lab)]]-I28</f>
        <v>381</v>
      </c>
      <c r="S29" s="39">
        <f>Data[[#This Row],[AV (Acc. Surveillance)]]-J28</f>
        <v>0</v>
      </c>
      <c r="T29" s="41">
        <f>(Data[[#This Row],[AC (Acc. Confirmed)]])-(Data[[#This Row],[AR (Acc. Recovered)]]+Data[[#This Row],[AD (Acc. Deaths)]])</f>
        <v>2307</v>
      </c>
      <c r="U29" s="13">
        <f>Data[[#This Row],[DNS (Daily New Suspects)]]/B28</f>
        <v>0.13163668275559456</v>
      </c>
      <c r="V29" s="13">
        <f>Data[[#This Row],[DNC (Daily New Confirmed)]]/C28</f>
        <v>0.14660194174757282</v>
      </c>
      <c r="W29" s="13">
        <f>Data[[#This Row],[DNR (Daily New Recovered)]]/D28</f>
        <v>0.5714285714285714</v>
      </c>
      <c r="X29" s="13">
        <f>Data[[#This Row],[DND (Daily New Deaths)]]/E28</f>
        <v>0.43478260869565216</v>
      </c>
      <c r="Y29" s="41">
        <f>Data[[#This Row],[DNS (Daily New Suspects)]]-K28</f>
        <v>-95</v>
      </c>
      <c r="Z29" s="41">
        <f>Data[[#This Row],[DNC (Daily New Confirmed)]]-L28</f>
        <v>-158</v>
      </c>
      <c r="AA29" s="13">
        <f>Data[[#This Row],[AC (Acc. Confirmed)]]/Data[[#This Row],[AS (Acc. Suspects)]]</f>
        <v>0.1526431433372108</v>
      </c>
      <c r="AB29" s="14">
        <f>Data[[#This Row],[AR (Acc. Recovered)]]/Data[[#This Row],[AS (Acc. Suspects)]]</f>
        <v>1.4217396923872302E-3</v>
      </c>
      <c r="AC29" s="14">
        <f>Data[[#This Row],[AD (Acc. Deaths)]]/Data[[#This Row],[AS (Acc. Suspects)]]</f>
        <v>2.1326095385808454E-3</v>
      </c>
      <c r="AD29" s="13">
        <f>Data[[#This Row],[AC (Acc. Confirmed)]]/Data[[#This Row],[AN (Acc. Negatives)]]</f>
        <v>0.20849148203724954</v>
      </c>
      <c r="AE29" s="13">
        <f>Data[[#This Row],[AH (Acc. Hospital)]]/Data[[#This Row],[AC (Acc. Confirmed)]]</f>
        <v>8.5944115156646905E-2</v>
      </c>
      <c r="AF29" s="13">
        <f>Data[[#This Row],[AI (Acc. ICU)]]/Data[[#This Row],[AH (Acc. Hospital)]]</f>
        <v>0.23645320197044334</v>
      </c>
      <c r="AG29" s="13">
        <f>Data[[#This Row],[AL (Acc. Pending Lab)]]/Data[[#This Row],[AS (Acc. Suspects)]]</f>
        <v>0.11522553961483779</v>
      </c>
      <c r="AH29" s="13">
        <f>Data[[#This Row],[AN (Acc. Negatives)]]/Data[[#This Row],[AS (Acc. Suspects)]]</f>
        <v>0.73213131704795142</v>
      </c>
      <c r="AI29" s="15">
        <f>Data[[#This Row],[DNC (Daily New Confirmed)]]/Data[[#This Row],[DNS (Daily New Suspects)]]</f>
        <v>0.16777777777777778</v>
      </c>
      <c r="AJ29" s="20">
        <f>Data[[#This Row],[DNC (Daily New Confirmed)]]/Data[[#This Row],[DNN (Daily New Negatives)]]</f>
        <v>0.27036705461056398</v>
      </c>
      <c r="AK29" s="17">
        <v>22</v>
      </c>
      <c r="AL29" s="17">
        <f>WEEKNUM(Data[[#This Row],[Date]])</f>
        <v>13</v>
      </c>
      <c r="AM29" s="17">
        <f>MONTH(Data[[#This Row],[Date]])</f>
        <v>3</v>
      </c>
      <c r="AN29" s="18">
        <f>WEEKDAY(Data[[#This Row],[Date]])</f>
        <v>3</v>
      </c>
    </row>
    <row r="30" spans="1:40" ht="13.5" thickBot="1" x14ac:dyDescent="0.3">
      <c r="A30" s="11">
        <v>43915</v>
      </c>
      <c r="B30" s="37">
        <v>21155</v>
      </c>
      <c r="C30" s="37">
        <v>2995</v>
      </c>
      <c r="D30" s="37">
        <v>22</v>
      </c>
      <c r="E30" s="37">
        <v>43</v>
      </c>
      <c r="F30" s="38">
        <v>16569</v>
      </c>
      <c r="G30" s="38">
        <v>276</v>
      </c>
      <c r="H30" s="38">
        <v>61</v>
      </c>
      <c r="I30" s="38">
        <v>1591</v>
      </c>
      <c r="J30" s="38">
        <v>13624</v>
      </c>
      <c r="K30" s="39">
        <v>5681</v>
      </c>
      <c r="L30" s="39">
        <v>633</v>
      </c>
      <c r="M30" s="39">
        <v>0</v>
      </c>
      <c r="N30" s="40">
        <v>10</v>
      </c>
      <c r="O30" s="39">
        <f>Data[[#This Row],[AN (Acc. Negatives)]]-F29</f>
        <v>5240</v>
      </c>
      <c r="P30" s="39">
        <f>Data[[#This Row],[AH (Acc. Hospital)]]-G29</f>
        <v>73</v>
      </c>
      <c r="Q30" s="39">
        <f>Data[[#This Row],[AI (Acc. ICU)]]-H29</f>
        <v>13</v>
      </c>
      <c r="R30" s="39">
        <f>Data[[#This Row],[AL (Acc. Pending Lab)]]-I29</f>
        <v>-192</v>
      </c>
      <c r="S30" s="39">
        <f>Data[[#This Row],[AV (Acc. Surveillance)]]-J29</f>
        <v>1782</v>
      </c>
      <c r="T30" s="41">
        <f>(Data[[#This Row],[AC (Acc. Confirmed)]])-(Data[[#This Row],[AR (Acc. Recovered)]]+Data[[#This Row],[AD (Acc. Deaths)]])</f>
        <v>2930</v>
      </c>
      <c r="U30" s="13">
        <f>Data[[#This Row],[DNS (Daily New Suspects)]]/B29</f>
        <v>0.36713196329326614</v>
      </c>
      <c r="V30" s="13">
        <f>Data[[#This Row],[DNC (Daily New Confirmed)]]/C29</f>
        <v>0.26799322607959358</v>
      </c>
      <c r="W30" s="13">
        <f>Data[[#This Row],[DNR (Daily New Recovered)]]/D29</f>
        <v>0</v>
      </c>
      <c r="X30" s="13">
        <f>Data[[#This Row],[DND (Daily New Deaths)]]/E29</f>
        <v>0.30303030303030304</v>
      </c>
      <c r="Y30" s="41">
        <f>Data[[#This Row],[DNS (Daily New Suspects)]]-K29</f>
        <v>3881</v>
      </c>
      <c r="Z30" s="41">
        <f>Data[[#This Row],[DNC (Daily New Confirmed)]]-L29</f>
        <v>331</v>
      </c>
      <c r="AA30" s="13">
        <f>Data[[#This Row],[AC (Acc. Confirmed)]]/Data[[#This Row],[AS (Acc. Suspects)]]</f>
        <v>0.14157409595840226</v>
      </c>
      <c r="AB30" s="14">
        <f>Data[[#This Row],[AR (Acc. Recovered)]]/Data[[#This Row],[AS (Acc. Suspects)]]</f>
        <v>1.0399432758213189E-3</v>
      </c>
      <c r="AC30" s="14">
        <f>Data[[#This Row],[AD (Acc. Deaths)]]/Data[[#This Row],[AS (Acc. Suspects)]]</f>
        <v>2.0326164027416687E-3</v>
      </c>
      <c r="AD30" s="13">
        <f>Data[[#This Row],[AC (Acc. Confirmed)]]/Data[[#This Row],[AN (Acc. Negatives)]]</f>
        <v>0.18075924920031383</v>
      </c>
      <c r="AE30" s="13">
        <f>Data[[#This Row],[AH (Acc. Hospital)]]/Data[[#This Row],[AC (Acc. Confirmed)]]</f>
        <v>9.2153589315525877E-2</v>
      </c>
      <c r="AF30" s="13">
        <f>Data[[#This Row],[AI (Acc. ICU)]]/Data[[#This Row],[AH (Acc. Hospital)]]</f>
        <v>0.2210144927536232</v>
      </c>
      <c r="AG30" s="13">
        <f>Data[[#This Row],[AL (Acc. Pending Lab)]]/Data[[#This Row],[AS (Acc. Suspects)]]</f>
        <v>7.5206806901441742E-2</v>
      </c>
      <c r="AH30" s="13">
        <f>Data[[#This Row],[AN (Acc. Negatives)]]/Data[[#This Row],[AS (Acc. Suspects)]]</f>
        <v>0.78321909714015603</v>
      </c>
      <c r="AI30" s="15">
        <f>Data[[#This Row],[DNC (Daily New Confirmed)]]/Data[[#This Row],[DNS (Daily New Suspects)]]</f>
        <v>0.111424045062489</v>
      </c>
      <c r="AJ30" s="20">
        <f>Data[[#This Row],[DNC (Daily New Confirmed)]]/Data[[#This Row],[DNN (Daily New Negatives)]]</f>
        <v>0.12080152671755726</v>
      </c>
      <c r="AK30" s="17">
        <v>23</v>
      </c>
      <c r="AL30" s="17">
        <f>WEEKNUM(Data[[#This Row],[Date]])</f>
        <v>13</v>
      </c>
      <c r="AM30" s="17">
        <f>MONTH(Data[[#This Row],[Date]])</f>
        <v>3</v>
      </c>
      <c r="AN30" s="18">
        <f>WEEKDAY(Data[[#This Row],[Date]])</f>
        <v>4</v>
      </c>
    </row>
    <row r="31" spans="1:40" ht="13.5" thickBot="1" x14ac:dyDescent="0.3">
      <c r="A31" s="11">
        <v>43916</v>
      </c>
      <c r="B31" s="37">
        <v>22257</v>
      </c>
      <c r="C31" s="37">
        <v>3544</v>
      </c>
      <c r="D31" s="37">
        <v>43</v>
      </c>
      <c r="E31" s="37">
        <v>60</v>
      </c>
      <c r="F31" s="38">
        <v>16718</v>
      </c>
      <c r="G31" s="38">
        <v>191</v>
      </c>
      <c r="H31" s="38">
        <v>61</v>
      </c>
      <c r="I31" s="38">
        <v>1994</v>
      </c>
      <c r="J31" s="38">
        <v>14994</v>
      </c>
      <c r="K31" s="39">
        <v>1102</v>
      </c>
      <c r="L31" s="39">
        <v>549</v>
      </c>
      <c r="M31" s="39">
        <v>21</v>
      </c>
      <c r="N31" s="40">
        <v>17</v>
      </c>
      <c r="O31" s="39">
        <f>Data[[#This Row],[AN (Acc. Negatives)]]-F30</f>
        <v>149</v>
      </c>
      <c r="P31" s="39">
        <f>Data[[#This Row],[AH (Acc. Hospital)]]-G30</f>
        <v>-85</v>
      </c>
      <c r="Q31" s="39">
        <f>Data[[#This Row],[AI (Acc. ICU)]]-H30</f>
        <v>0</v>
      </c>
      <c r="R31" s="39">
        <f>Data[[#This Row],[AL (Acc. Pending Lab)]]-I30</f>
        <v>403</v>
      </c>
      <c r="S31" s="39">
        <f>Data[[#This Row],[AV (Acc. Surveillance)]]-J30</f>
        <v>1370</v>
      </c>
      <c r="T31" s="41">
        <f>(Data[[#This Row],[AC (Acc. Confirmed)]])-(Data[[#This Row],[AR (Acc. Recovered)]]+Data[[#This Row],[AD (Acc. Deaths)]])</f>
        <v>3441</v>
      </c>
      <c r="U31" s="13">
        <f>Data[[#This Row],[DNS (Daily New Suspects)]]/B30</f>
        <v>5.2091704088867881E-2</v>
      </c>
      <c r="V31" s="13">
        <f>Data[[#This Row],[DNC (Daily New Confirmed)]]/C30</f>
        <v>0.18330550918196994</v>
      </c>
      <c r="W31" s="13">
        <f>Data[[#This Row],[DNR (Daily New Recovered)]]/D30</f>
        <v>0.95454545454545459</v>
      </c>
      <c r="X31" s="13">
        <f>Data[[#This Row],[DND (Daily New Deaths)]]/E30</f>
        <v>0.39534883720930231</v>
      </c>
      <c r="Y31" s="41">
        <f>Data[[#This Row],[DNS (Daily New Suspects)]]-K30</f>
        <v>-4579</v>
      </c>
      <c r="Z31" s="41">
        <f>Data[[#This Row],[DNC (Daily New Confirmed)]]-L30</f>
        <v>-84</v>
      </c>
      <c r="AA31" s="13">
        <f>Data[[#This Row],[AC (Acc. Confirmed)]]/Data[[#This Row],[AS (Acc. Suspects)]]</f>
        <v>0.15923080379206542</v>
      </c>
      <c r="AB31" s="14">
        <f>Data[[#This Row],[AR (Acc. Recovered)]]/Data[[#This Row],[AS (Acc. Suspects)]]</f>
        <v>1.9319764568450375E-3</v>
      </c>
      <c r="AC31" s="14">
        <f>Data[[#This Row],[AD (Acc. Deaths)]]/Data[[#This Row],[AS (Acc. Suspects)]]</f>
        <v>2.695781102574471E-3</v>
      </c>
      <c r="AD31" s="13">
        <f>Data[[#This Row],[AC (Acc. Confirmed)]]/Data[[#This Row],[AN (Acc. Negatives)]]</f>
        <v>0.21198707979423376</v>
      </c>
      <c r="AE31" s="13">
        <f>Data[[#This Row],[AH (Acc. Hospital)]]/Data[[#This Row],[AC (Acc. Confirmed)]]</f>
        <v>5.3893905191873592E-2</v>
      </c>
      <c r="AF31" s="13">
        <f>Data[[#This Row],[AI (Acc. ICU)]]/Data[[#This Row],[AH (Acc. Hospital)]]</f>
        <v>0.3193717277486911</v>
      </c>
      <c r="AG31" s="13">
        <f>Data[[#This Row],[AL (Acc. Pending Lab)]]/Data[[#This Row],[AS (Acc. Suspects)]]</f>
        <v>8.9589791975558247E-2</v>
      </c>
      <c r="AH31" s="13">
        <f>Data[[#This Row],[AN (Acc. Negatives)]]/Data[[#This Row],[AS (Acc. Suspects)]]</f>
        <v>0.7511344745473334</v>
      </c>
      <c r="AI31" s="15">
        <f>Data[[#This Row],[DNC (Daily New Confirmed)]]/Data[[#This Row],[DNS (Daily New Suspects)]]</f>
        <v>0.49818511796733211</v>
      </c>
      <c r="AJ31" s="20">
        <f>Data[[#This Row],[DNC (Daily New Confirmed)]]/Data[[#This Row],[DNN (Daily New Negatives)]]</f>
        <v>3.6845637583892619</v>
      </c>
      <c r="AK31" s="17">
        <v>24</v>
      </c>
      <c r="AL31" s="17">
        <f>WEEKNUM(Data[[#This Row],[Date]])</f>
        <v>13</v>
      </c>
      <c r="AM31" s="17">
        <f>MONTH(Data[[#This Row],[Date]])</f>
        <v>3</v>
      </c>
      <c r="AN31" s="18">
        <f>WEEKDAY(Data[[#This Row],[Date]])</f>
        <v>5</v>
      </c>
    </row>
    <row r="32" spans="1:40" ht="13.5" thickBot="1" x14ac:dyDescent="0.3">
      <c r="A32" s="11">
        <v>43917</v>
      </c>
      <c r="B32" s="37">
        <v>25431</v>
      </c>
      <c r="C32" s="37">
        <v>4268</v>
      </c>
      <c r="D32" s="37">
        <v>43</v>
      </c>
      <c r="E32" s="37">
        <v>76</v>
      </c>
      <c r="F32" s="38">
        <v>17168</v>
      </c>
      <c r="G32" s="38">
        <v>354</v>
      </c>
      <c r="H32" s="38">
        <v>71</v>
      </c>
      <c r="I32" s="38">
        <v>3995</v>
      </c>
      <c r="J32" s="38">
        <v>19816</v>
      </c>
      <c r="K32" s="39">
        <v>3174</v>
      </c>
      <c r="L32" s="39">
        <v>724</v>
      </c>
      <c r="M32" s="39">
        <v>0</v>
      </c>
      <c r="N32" s="40">
        <v>16</v>
      </c>
      <c r="O32" s="39">
        <f>Data[[#This Row],[AN (Acc. Negatives)]]-F31</f>
        <v>450</v>
      </c>
      <c r="P32" s="39">
        <f>Data[[#This Row],[AH (Acc. Hospital)]]-G31</f>
        <v>163</v>
      </c>
      <c r="Q32" s="39">
        <f>Data[[#This Row],[AI (Acc. ICU)]]-H31</f>
        <v>10</v>
      </c>
      <c r="R32" s="39">
        <f>Data[[#This Row],[AL (Acc. Pending Lab)]]-I31</f>
        <v>2001</v>
      </c>
      <c r="S32" s="39">
        <f>Data[[#This Row],[AV (Acc. Surveillance)]]-J31</f>
        <v>4822</v>
      </c>
      <c r="T32" s="41">
        <f>(Data[[#This Row],[AC (Acc. Confirmed)]])-(Data[[#This Row],[AR (Acc. Recovered)]]+Data[[#This Row],[AD (Acc. Deaths)]])</f>
        <v>4149</v>
      </c>
      <c r="U32" s="13">
        <f>Data[[#This Row],[DNS (Daily New Suspects)]]/B31</f>
        <v>0.14260682032618952</v>
      </c>
      <c r="V32" s="13">
        <f>Data[[#This Row],[DNC (Daily New Confirmed)]]/C31</f>
        <v>0.20428893905191872</v>
      </c>
      <c r="W32" s="13">
        <f>Data[[#This Row],[DNR (Daily New Recovered)]]/D31</f>
        <v>0</v>
      </c>
      <c r="X32" s="13">
        <f>Data[[#This Row],[DND (Daily New Deaths)]]/E31</f>
        <v>0.26666666666666666</v>
      </c>
      <c r="Y32" s="41">
        <f>Data[[#This Row],[DNS (Daily New Suspects)]]-K31</f>
        <v>2072</v>
      </c>
      <c r="Z32" s="41">
        <f>Data[[#This Row],[DNC (Daily New Confirmed)]]-L31</f>
        <v>175</v>
      </c>
      <c r="AA32" s="13">
        <f>Data[[#This Row],[AC (Acc. Confirmed)]]/Data[[#This Row],[AS (Acc. Suspects)]]</f>
        <v>0.16782666823955014</v>
      </c>
      <c r="AB32" s="14">
        <f>Data[[#This Row],[AR (Acc. Recovered)]]/Data[[#This Row],[AS (Acc. Suspects)]]</f>
        <v>1.6908497503047462E-3</v>
      </c>
      <c r="AC32" s="14">
        <f>Data[[#This Row],[AD (Acc. Deaths)]]/Data[[#This Row],[AS (Acc. Suspects)]]</f>
        <v>2.9884786284455978E-3</v>
      </c>
      <c r="AD32" s="13">
        <f>Data[[#This Row],[AC (Acc. Confirmed)]]/Data[[#This Row],[AN (Acc. Negatives)]]</f>
        <v>0.24860205032618826</v>
      </c>
      <c r="AE32" s="13">
        <f>Data[[#This Row],[AH (Acc. Hospital)]]/Data[[#This Row],[AC (Acc. Confirmed)]]</f>
        <v>8.2942830365510783E-2</v>
      </c>
      <c r="AF32" s="13">
        <f>Data[[#This Row],[AI (Acc. ICU)]]/Data[[#This Row],[AH (Acc. Hospital)]]</f>
        <v>0.20056497175141244</v>
      </c>
      <c r="AG32" s="13">
        <f>Data[[#This Row],[AL (Acc. Pending Lab)]]/Data[[#This Row],[AS (Acc. Suspects)]]</f>
        <v>0.15709173842947582</v>
      </c>
      <c r="AH32" s="13">
        <f>Data[[#This Row],[AN (Acc. Negatives)]]/Data[[#This Row],[AS (Acc. Suspects)]]</f>
        <v>0.67508159333097406</v>
      </c>
      <c r="AI32" s="15">
        <f>Data[[#This Row],[DNC (Daily New Confirmed)]]/Data[[#This Row],[DNS (Daily New Suspects)]]</f>
        <v>0.22810333963453056</v>
      </c>
      <c r="AJ32" s="20">
        <f>Data[[#This Row],[DNC (Daily New Confirmed)]]/Data[[#This Row],[DNN (Daily New Negatives)]]</f>
        <v>1.6088888888888888</v>
      </c>
      <c r="AK32" s="17">
        <v>25</v>
      </c>
      <c r="AL32" s="17">
        <f>WEEKNUM(Data[[#This Row],[Date]])</f>
        <v>13</v>
      </c>
      <c r="AM32" s="17">
        <f>MONTH(Data[[#This Row],[Date]])</f>
        <v>3</v>
      </c>
      <c r="AN32" s="18">
        <f>WEEKDAY(Data[[#This Row],[Date]])</f>
        <v>6</v>
      </c>
    </row>
    <row r="33" spans="1:40" ht="13.5" thickBot="1" x14ac:dyDescent="0.3">
      <c r="A33" s="11">
        <v>43918</v>
      </c>
      <c r="B33" s="37">
        <v>32754</v>
      </c>
      <c r="C33" s="37">
        <v>5170</v>
      </c>
      <c r="D33" s="37">
        <v>43</v>
      </c>
      <c r="E33" s="37">
        <v>100</v>
      </c>
      <c r="F33" s="38">
        <v>22646</v>
      </c>
      <c r="G33" s="38">
        <v>418</v>
      </c>
      <c r="H33" s="38">
        <v>89</v>
      </c>
      <c r="I33" s="38">
        <v>4938</v>
      </c>
      <c r="J33" s="38">
        <v>19927</v>
      </c>
      <c r="K33" s="42">
        <f>Data[[#This Row],[AS (Acc. Suspects)]]-B32</f>
        <v>7323</v>
      </c>
      <c r="L33" s="42">
        <f>Data[[#This Row],[AC (Acc. Confirmed)]]-C32</f>
        <v>902</v>
      </c>
      <c r="M33" s="42">
        <f>Data[[#This Row],[AR (Acc. Recovered)]]-D32</f>
        <v>0</v>
      </c>
      <c r="N33" s="43">
        <f>Data[[#This Row],[AD (Acc. Deaths)]]-E32</f>
        <v>24</v>
      </c>
      <c r="O33" s="42">
        <f>Data[[#This Row],[AN (Acc. Negatives)]]-F32</f>
        <v>5478</v>
      </c>
      <c r="P33" s="42">
        <f>Data[[#This Row],[AH (Acc. Hospital)]]-G32</f>
        <v>64</v>
      </c>
      <c r="Q33" s="42">
        <f>Data[[#This Row],[AI (Acc. ICU)]]-H32</f>
        <v>18</v>
      </c>
      <c r="R33" s="42">
        <f>Data[[#This Row],[AL (Acc. Pending Lab)]]-I32</f>
        <v>943</v>
      </c>
      <c r="S33" s="42">
        <f>Data[[#This Row],[AV (Acc. Surveillance)]]-J32</f>
        <v>111</v>
      </c>
      <c r="T33" s="41">
        <f>(Data[[#This Row],[AC (Acc. Confirmed)]])-(Data[[#This Row],[AR (Acc. Recovered)]]+Data[[#This Row],[AD (Acc. Deaths)]])</f>
        <v>5027</v>
      </c>
      <c r="U33" s="13">
        <f>Data[[#This Row],[DNS (Daily New Suspects)]]/B32</f>
        <v>0.2879556446856199</v>
      </c>
      <c r="V33" s="13">
        <f>Data[[#This Row],[DNC (Daily New Confirmed)]]/C32</f>
        <v>0.21134020618556701</v>
      </c>
      <c r="W33" s="13">
        <f>Data[[#This Row],[DNR (Daily New Recovered)]]/D32</f>
        <v>0</v>
      </c>
      <c r="X33" s="13">
        <f>Data[[#This Row],[DND (Daily New Deaths)]]/E32</f>
        <v>0.31578947368421051</v>
      </c>
      <c r="Y33" s="41">
        <f>Data[[#This Row],[DNS (Daily New Suspects)]]-K32</f>
        <v>4149</v>
      </c>
      <c r="Z33" s="41">
        <f>Data[[#This Row],[DNC (Daily New Confirmed)]]-L32</f>
        <v>178</v>
      </c>
      <c r="AA33" s="13">
        <f>Data[[#This Row],[AC (Acc. Confirmed)]]/Data[[#This Row],[AS (Acc. Suspects)]]</f>
        <v>0.15784331684679734</v>
      </c>
      <c r="AB33" s="14">
        <f>Data[[#This Row],[AR (Acc. Recovered)]]/Data[[#This Row],[AS (Acc. Suspects)]]</f>
        <v>1.3128167552054711E-3</v>
      </c>
      <c r="AC33" s="14">
        <f>Data[[#This Row],[AD (Acc. Deaths)]]/Data[[#This Row],[AS (Acc. Suspects)]]</f>
        <v>3.0530622214080725E-3</v>
      </c>
      <c r="AD33" s="13">
        <f>Data[[#This Row],[AC (Acc. Confirmed)]]/Data[[#This Row],[AN (Acc. Negatives)]]</f>
        <v>0.22829638788306986</v>
      </c>
      <c r="AE33" s="13">
        <f>Data[[#This Row],[AH (Acc. Hospital)]]/Data[[#This Row],[AC (Acc. Confirmed)]]</f>
        <v>8.085106382978724E-2</v>
      </c>
      <c r="AF33" s="13">
        <f>Data[[#This Row],[AI (Acc. ICU)]]/Data[[#This Row],[AH (Acc. Hospital)]]</f>
        <v>0.21291866028708134</v>
      </c>
      <c r="AG33" s="13">
        <f>Data[[#This Row],[AL (Acc. Pending Lab)]]/Data[[#This Row],[AS (Acc. Suspects)]]</f>
        <v>0.1507602124931306</v>
      </c>
      <c r="AH33" s="13">
        <f>Data[[#This Row],[AN (Acc. Negatives)]]/Data[[#This Row],[AS (Acc. Suspects)]]</f>
        <v>0.69139647066007204</v>
      </c>
      <c r="AI33" s="15">
        <f>Data[[#This Row],[DNC (Daily New Confirmed)]]/Data[[#This Row],[DNS (Daily New Suspects)]]</f>
        <v>0.12317356274750785</v>
      </c>
      <c r="AJ33" s="20">
        <f>Data[[#This Row],[DNC (Daily New Confirmed)]]/Data[[#This Row],[DNN (Daily New Negatives)]]</f>
        <v>0.1646586345381526</v>
      </c>
      <c r="AK33" s="17">
        <v>26</v>
      </c>
      <c r="AL33" s="17">
        <f>WEEKNUM(Data[[#This Row],[Date]])</f>
        <v>13</v>
      </c>
      <c r="AM33" s="17">
        <f>MONTH(Data[[#This Row],[Date]])</f>
        <v>3</v>
      </c>
      <c r="AN33" s="18">
        <f>WEEKDAY(Data[[#This Row],[Date]])</f>
        <v>7</v>
      </c>
    </row>
    <row r="34" spans="1:40" ht="13.5" thickBot="1" x14ac:dyDescent="0.3">
      <c r="A34" s="11">
        <v>43919</v>
      </c>
      <c r="B34" s="37">
        <v>38042</v>
      </c>
      <c r="C34" s="37">
        <v>5962</v>
      </c>
      <c r="D34" s="37">
        <v>43</v>
      </c>
      <c r="E34" s="37">
        <v>119</v>
      </c>
      <c r="F34" s="38">
        <v>26572</v>
      </c>
      <c r="G34" s="38">
        <v>486</v>
      </c>
      <c r="H34" s="38">
        <v>138</v>
      </c>
      <c r="I34" s="38">
        <v>5508</v>
      </c>
      <c r="J34" s="38">
        <v>17785</v>
      </c>
      <c r="K34" s="42">
        <f>Data[[#This Row],[AS (Acc. Suspects)]]-B33</f>
        <v>5288</v>
      </c>
      <c r="L34" s="42">
        <f>Data[[#This Row],[AC (Acc. Confirmed)]]-C33</f>
        <v>792</v>
      </c>
      <c r="M34" s="42">
        <f>Data[[#This Row],[AR (Acc. Recovered)]]-D33</f>
        <v>0</v>
      </c>
      <c r="N34" s="43">
        <f>Data[[#This Row],[AD (Acc. Deaths)]]-E33</f>
        <v>19</v>
      </c>
      <c r="O34" s="42">
        <f>Data[[#This Row],[AN (Acc. Negatives)]]-F33</f>
        <v>3926</v>
      </c>
      <c r="P34" s="42">
        <f>Data[[#This Row],[AH (Acc. Hospital)]]-G33</f>
        <v>68</v>
      </c>
      <c r="Q34" s="42">
        <f>Data[[#This Row],[AI (Acc. ICU)]]-H33</f>
        <v>49</v>
      </c>
      <c r="R34" s="42">
        <f>Data[[#This Row],[AL (Acc. Pending Lab)]]-I33</f>
        <v>570</v>
      </c>
      <c r="S34" s="42">
        <f>Data[[#This Row],[AV (Acc. Surveillance)]]-J33</f>
        <v>-2142</v>
      </c>
      <c r="T34" s="41">
        <f>(Data[[#This Row],[AC (Acc. Confirmed)]])-(Data[[#This Row],[AR (Acc. Recovered)]]+Data[[#This Row],[AD (Acc. Deaths)]])</f>
        <v>5800</v>
      </c>
      <c r="U34" s="13">
        <f>Data[[#This Row],[DNS (Daily New Suspects)]]/B33</f>
        <v>0.16144593026805887</v>
      </c>
      <c r="V34" s="13">
        <f>Data[[#This Row],[DNC (Daily New Confirmed)]]/C33</f>
        <v>0.15319148936170213</v>
      </c>
      <c r="W34" s="13">
        <f>Data[[#This Row],[DNR (Daily New Recovered)]]/D33</f>
        <v>0</v>
      </c>
      <c r="X34" s="13">
        <f>Data[[#This Row],[DND (Daily New Deaths)]]/E33</f>
        <v>0.19</v>
      </c>
      <c r="Y34" s="41">
        <f>Data[[#This Row],[DNS (Daily New Suspects)]]-K33</f>
        <v>-2035</v>
      </c>
      <c r="Z34" s="41">
        <f>Data[[#This Row],[DNC (Daily New Confirmed)]]-L33</f>
        <v>-110</v>
      </c>
      <c r="AA34" s="13">
        <f>Data[[#This Row],[AC (Acc. Confirmed)]]/Data[[#This Row],[AS (Acc. Suspects)]]</f>
        <v>0.1567215183218548</v>
      </c>
      <c r="AB34" s="14">
        <f>Data[[#This Row],[AR (Acc. Recovered)]]/Data[[#This Row],[AS (Acc. Suspects)]]</f>
        <v>1.1303296356658431E-3</v>
      </c>
      <c r="AC34" s="14">
        <f>Data[[#This Row],[AD (Acc. Deaths)]]/Data[[#This Row],[AS (Acc. Suspects)]]</f>
        <v>3.1281215498659377E-3</v>
      </c>
      <c r="AD34" s="13">
        <f>Data[[#This Row],[AC (Acc. Confirmed)]]/Data[[#This Row],[AN (Acc. Negatives)]]</f>
        <v>0.22437151889206683</v>
      </c>
      <c r="AE34" s="13">
        <f>Data[[#This Row],[AH (Acc. Hospital)]]/Data[[#This Row],[AC (Acc. Confirmed)]]</f>
        <v>8.1516269708151623E-2</v>
      </c>
      <c r="AF34" s="13">
        <f>Data[[#This Row],[AI (Acc. ICU)]]/Data[[#This Row],[AH (Acc. Hospital)]]</f>
        <v>0.2839506172839506</v>
      </c>
      <c r="AG34" s="13">
        <f>Data[[#This Row],[AL (Acc. Pending Lab)]]/Data[[#This Row],[AS (Acc. Suspects)]]</f>
        <v>0.14478734030808055</v>
      </c>
      <c r="AH34" s="13">
        <f>Data[[#This Row],[AN (Acc. Negatives)]]/Data[[#This Row],[AS (Acc. Suspects)]]</f>
        <v>0.69849114137006463</v>
      </c>
      <c r="AI34" s="15">
        <f>Data[[#This Row],[DNC (Daily New Confirmed)]]/Data[[#This Row],[DNS (Daily New Suspects)]]</f>
        <v>0.14977307110438728</v>
      </c>
      <c r="AJ34" s="20">
        <f>Data[[#This Row],[DNC (Daily New Confirmed)]]/Data[[#This Row],[DNN (Daily New Negatives)]]</f>
        <v>0.20173204279164544</v>
      </c>
      <c r="AK34" s="17">
        <v>27</v>
      </c>
      <c r="AL34" s="17">
        <f>WEEKNUM(Data[[#This Row],[Date]])</f>
        <v>14</v>
      </c>
      <c r="AM34" s="17">
        <f>MONTH(Data[[#This Row],[Date]])</f>
        <v>3</v>
      </c>
      <c r="AN34" s="18">
        <f>WEEKDAY(Data[[#This Row],[Date]])</f>
        <v>1</v>
      </c>
    </row>
    <row r="35" spans="1:40" ht="13.5" thickBot="1" x14ac:dyDescent="0.3">
      <c r="A35" s="11">
        <v>43920</v>
      </c>
      <c r="B35" s="22"/>
      <c r="C35" s="22"/>
      <c r="D35" s="22"/>
      <c r="E35" s="22"/>
      <c r="F35" s="12"/>
      <c r="G35" s="12"/>
      <c r="H35" s="12"/>
      <c r="I35" s="12"/>
      <c r="J35" s="12"/>
      <c r="K35" s="23"/>
      <c r="L35" s="23"/>
      <c r="M35" s="23"/>
      <c r="N35" s="23"/>
      <c r="O35" s="23"/>
      <c r="P35" s="23"/>
      <c r="Q35" s="23"/>
      <c r="R35" s="23"/>
      <c r="S35" s="23"/>
      <c r="T35" s="24"/>
      <c r="U35" s="24"/>
      <c r="V35" s="24"/>
      <c r="W35" s="25"/>
      <c r="X35" s="25"/>
      <c r="Y35" s="26"/>
      <c r="Z35" s="27"/>
      <c r="AA35" s="27"/>
      <c r="AB35" s="27"/>
      <c r="AC35" s="25"/>
      <c r="AD35" s="24"/>
      <c r="AE35" s="25"/>
      <c r="AF35" s="25"/>
      <c r="AG35" s="25"/>
      <c r="AH35" s="25"/>
      <c r="AI35" s="28"/>
      <c r="AJ35" s="21"/>
      <c r="AK35" s="17"/>
      <c r="AL35" s="17">
        <f>WEEKNUM(Data[[#This Row],[Date]])</f>
        <v>14</v>
      </c>
      <c r="AM35" s="17">
        <f>MONTH(Data[[#This Row],[Date]])</f>
        <v>3</v>
      </c>
      <c r="AN35" s="18">
        <f>WEEKDAY(Data[[#This Row],[Date]])</f>
        <v>2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7CD0-1347-4F21-976B-77318C089A29}">
  <dimension ref="A1:H66"/>
  <sheetViews>
    <sheetView topLeftCell="A4" workbookViewId="0">
      <selection activeCell="E36" sqref="E36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35">
        <v>43887</v>
      </c>
      <c r="B2" s="44">
        <v>0</v>
      </c>
      <c r="G2" t="s">
        <v>46</v>
      </c>
      <c r="H2" s="36">
        <f>_xlfn.FORECAST.ETS.STAT($B$2:$B$34,$A$2:$A$34,1,1,1)</f>
        <v>0.5</v>
      </c>
    </row>
    <row r="3" spans="1:8" x14ac:dyDescent="0.25">
      <c r="A3" s="35">
        <v>43888</v>
      </c>
      <c r="B3" s="44">
        <v>0</v>
      </c>
      <c r="G3" t="s">
        <v>47</v>
      </c>
      <c r="H3" s="36">
        <f>_xlfn.FORECAST.ETS.STAT($B$2:$B$34,$A$2:$A$34,2,1,1)</f>
        <v>0.499</v>
      </c>
    </row>
    <row r="4" spans="1:8" x14ac:dyDescent="0.25">
      <c r="A4" s="35">
        <v>43889</v>
      </c>
      <c r="B4" s="44">
        <v>0</v>
      </c>
      <c r="G4" t="s">
        <v>48</v>
      </c>
      <c r="H4" s="36">
        <f>_xlfn.FORECAST.ETS.STAT($B$2:$B$34,$A$2:$A$34,3,1,1)</f>
        <v>2.2204460492503131E-16</v>
      </c>
    </row>
    <row r="5" spans="1:8" x14ac:dyDescent="0.25">
      <c r="A5" s="35">
        <v>43890</v>
      </c>
      <c r="B5" s="44">
        <v>0</v>
      </c>
      <c r="G5" t="s">
        <v>49</v>
      </c>
      <c r="H5" s="36">
        <f>_xlfn.FORECAST.ETS.STAT($B$2:$B$34,$A$2:$A$34,4,1,1)</f>
        <v>4.0647758570976222</v>
      </c>
    </row>
    <row r="6" spans="1:8" x14ac:dyDescent="0.25">
      <c r="A6" s="35">
        <v>43891</v>
      </c>
      <c r="B6" s="44">
        <v>0</v>
      </c>
      <c r="G6" t="s">
        <v>50</v>
      </c>
      <c r="H6" s="36">
        <f>_xlfn.FORECAST.ETS.STAT($B$2:$B$34,$A$2:$A$34,5,1,1)</f>
        <v>5.5845493531121615E-2</v>
      </c>
    </row>
    <row r="7" spans="1:8" x14ac:dyDescent="0.25">
      <c r="A7" s="35">
        <v>43892</v>
      </c>
      <c r="B7" s="44">
        <v>2</v>
      </c>
      <c r="G7" t="s">
        <v>51</v>
      </c>
      <c r="H7" s="36">
        <f>_xlfn.FORECAST.ETS.STAT($B$2:$B$34,$A$2:$A$34,6,1,1)</f>
        <v>145.0385930828015</v>
      </c>
    </row>
    <row r="8" spans="1:8" x14ac:dyDescent="0.25">
      <c r="A8" s="35">
        <v>43893</v>
      </c>
      <c r="B8" s="44">
        <v>4</v>
      </c>
      <c r="G8" t="s">
        <v>52</v>
      </c>
      <c r="H8" s="36">
        <f>_xlfn.FORECAST.ETS.STAT($B$2:$B$34,$A$2:$A$34,7,1,1)</f>
        <v>168.74889279293251</v>
      </c>
    </row>
    <row r="9" spans="1:8" x14ac:dyDescent="0.25">
      <c r="A9" s="35">
        <v>43894</v>
      </c>
      <c r="B9" s="44">
        <v>6</v>
      </c>
    </row>
    <row r="10" spans="1:8" x14ac:dyDescent="0.25">
      <c r="A10" s="35">
        <v>43895</v>
      </c>
      <c r="B10" s="44">
        <v>9</v>
      </c>
    </row>
    <row r="11" spans="1:8" x14ac:dyDescent="0.25">
      <c r="A11" s="35">
        <v>43896</v>
      </c>
      <c r="B11" s="44">
        <v>13</v>
      </c>
    </row>
    <row r="12" spans="1:8" x14ac:dyDescent="0.25">
      <c r="A12" s="35">
        <v>43897</v>
      </c>
      <c r="B12" s="44">
        <v>21</v>
      </c>
    </row>
    <row r="13" spans="1:8" x14ac:dyDescent="0.25">
      <c r="A13" s="35">
        <v>43898</v>
      </c>
      <c r="B13" s="44">
        <v>30</v>
      </c>
    </row>
    <row r="14" spans="1:8" x14ac:dyDescent="0.25">
      <c r="A14" s="35">
        <v>43899</v>
      </c>
      <c r="B14" s="44">
        <v>39</v>
      </c>
    </row>
    <row r="15" spans="1:8" x14ac:dyDescent="0.25">
      <c r="A15" s="35">
        <v>43900</v>
      </c>
      <c r="B15" s="44">
        <v>41</v>
      </c>
    </row>
    <row r="16" spans="1:8" x14ac:dyDescent="0.25">
      <c r="A16" s="35">
        <v>43901</v>
      </c>
      <c r="B16" s="44">
        <v>59</v>
      </c>
    </row>
    <row r="17" spans="1:2" x14ac:dyDescent="0.25">
      <c r="A17" s="35">
        <v>43902</v>
      </c>
      <c r="B17" s="44">
        <v>78</v>
      </c>
    </row>
    <row r="18" spans="1:2" x14ac:dyDescent="0.25">
      <c r="A18" s="35">
        <v>43903</v>
      </c>
      <c r="B18" s="44">
        <v>112</v>
      </c>
    </row>
    <row r="19" spans="1:2" x14ac:dyDescent="0.25">
      <c r="A19" s="35">
        <v>43904</v>
      </c>
      <c r="B19" s="44">
        <v>169</v>
      </c>
    </row>
    <row r="20" spans="1:2" x14ac:dyDescent="0.25">
      <c r="A20" s="35">
        <v>43905</v>
      </c>
      <c r="B20" s="44">
        <v>245</v>
      </c>
    </row>
    <row r="21" spans="1:2" x14ac:dyDescent="0.25">
      <c r="A21" s="35">
        <v>43906</v>
      </c>
      <c r="B21" s="44">
        <v>331</v>
      </c>
    </row>
    <row r="22" spans="1:2" x14ac:dyDescent="0.25">
      <c r="A22" s="35">
        <v>43907</v>
      </c>
      <c r="B22" s="44">
        <v>448</v>
      </c>
    </row>
    <row r="23" spans="1:2" x14ac:dyDescent="0.25">
      <c r="A23" s="35">
        <v>43908</v>
      </c>
      <c r="B23" s="44">
        <v>642</v>
      </c>
    </row>
    <row r="24" spans="1:2" x14ac:dyDescent="0.25">
      <c r="A24" s="35">
        <v>43909</v>
      </c>
      <c r="B24" s="44">
        <v>785</v>
      </c>
    </row>
    <row r="25" spans="1:2" x14ac:dyDescent="0.25">
      <c r="A25" s="35">
        <v>43910</v>
      </c>
      <c r="B25" s="44">
        <v>1020</v>
      </c>
    </row>
    <row r="26" spans="1:2" x14ac:dyDescent="0.25">
      <c r="A26" s="35">
        <v>43911</v>
      </c>
      <c r="B26" s="44">
        <v>1280</v>
      </c>
    </row>
    <row r="27" spans="1:2" x14ac:dyDescent="0.25">
      <c r="A27" s="35">
        <v>43912</v>
      </c>
      <c r="B27" s="44">
        <v>1600</v>
      </c>
    </row>
    <row r="28" spans="1:2" x14ac:dyDescent="0.25">
      <c r="A28" s="35">
        <v>43913</v>
      </c>
      <c r="B28" s="44">
        <v>2060</v>
      </c>
    </row>
    <row r="29" spans="1:2" x14ac:dyDescent="0.25">
      <c r="A29" s="35">
        <v>43914</v>
      </c>
      <c r="B29" s="44">
        <v>2362</v>
      </c>
    </row>
    <row r="30" spans="1:2" x14ac:dyDescent="0.25">
      <c r="A30" s="35">
        <v>43915</v>
      </c>
      <c r="B30" s="44">
        <v>2995</v>
      </c>
    </row>
    <row r="31" spans="1:2" x14ac:dyDescent="0.25">
      <c r="A31" s="35">
        <v>43916</v>
      </c>
      <c r="B31" s="44">
        <v>3544</v>
      </c>
    </row>
    <row r="32" spans="1:2" x14ac:dyDescent="0.25">
      <c r="A32" s="35">
        <v>43917</v>
      </c>
      <c r="B32" s="44">
        <v>4268</v>
      </c>
    </row>
    <row r="33" spans="1:5" x14ac:dyDescent="0.25">
      <c r="A33" s="35">
        <v>43918</v>
      </c>
      <c r="B33" s="44">
        <v>5170</v>
      </c>
    </row>
    <row r="34" spans="1:5" x14ac:dyDescent="0.25">
      <c r="A34" s="35">
        <v>43919</v>
      </c>
      <c r="B34" s="44">
        <v>5962</v>
      </c>
      <c r="C34" s="44">
        <v>5962</v>
      </c>
      <c r="D34" s="44">
        <v>5962</v>
      </c>
      <c r="E34" s="44">
        <v>5962</v>
      </c>
    </row>
    <row r="35" spans="1:5" x14ac:dyDescent="0.25">
      <c r="A35" s="35">
        <v>43920</v>
      </c>
      <c r="C35" s="44">
        <f>_xlfn.FORECAST.ETS(A35,$B$2:$B$34,$A$2:$A$34,1,1)</f>
        <v>6809.9784765581808</v>
      </c>
      <c r="D35" s="44">
        <f>C35-_xlfn.FORECAST.ETS.CONFINT(A35,$B$2:$B$34,$A$2:$A$34,0.95,1,1)</f>
        <v>6608.63783325843</v>
      </c>
      <c r="E35" s="44">
        <f>C35+_xlfn.FORECAST.ETS.CONFINT(A35,$B$2:$B$34,$A$2:$A$34,0.95,1,1)</f>
        <v>7011.3191198579316</v>
      </c>
    </row>
    <row r="36" spans="1:5" x14ac:dyDescent="0.25">
      <c r="A36" s="35">
        <v>43921</v>
      </c>
      <c r="C36" s="44">
        <f>_xlfn.FORECAST.ETS(A36,$B$2:$B$34,$A$2:$A$34,1,1)</f>
        <v>7708.1093843476601</v>
      </c>
      <c r="D36" s="44">
        <f>C36-_xlfn.FORECAST.ETS.CONFINT(A36,$B$2:$B$34,$A$2:$A$34,0.95,1,1)</f>
        <v>7423.5130496602978</v>
      </c>
      <c r="E36" s="44">
        <f>C36+_xlfn.FORECAST.ETS.CONFINT(A36,$B$2:$B$34,$A$2:$A$34,0.95,1,1)</f>
        <v>7992.7057190350224</v>
      </c>
    </row>
    <row r="37" spans="1:5" x14ac:dyDescent="0.25">
      <c r="A37" s="35">
        <v>43922</v>
      </c>
      <c r="C37" s="44">
        <f>_xlfn.FORECAST.ETS(A37,$B$2:$B$34,$A$2:$A$34,1,1)</f>
        <v>8606.2402921371395</v>
      </c>
      <c r="D37" s="44">
        <f>C37-_xlfn.FORECAST.ETS.CONFINT(A37,$B$2:$B$34,$A$2:$A$34,0.95,1,1)</f>
        <v>8191.556520460892</v>
      </c>
      <c r="E37" s="44">
        <f>C37+_xlfn.FORECAST.ETS.CONFINT(A37,$B$2:$B$34,$A$2:$A$34,0.95,1,1)</f>
        <v>9020.924063813387</v>
      </c>
    </row>
    <row r="38" spans="1:5" x14ac:dyDescent="0.25">
      <c r="A38" s="35">
        <v>43923</v>
      </c>
      <c r="C38" s="44">
        <f>_xlfn.FORECAST.ETS(A38,$B$2:$B$34,$A$2:$A$34,1,1)</f>
        <v>9504.3711999266179</v>
      </c>
      <c r="D38" s="44">
        <f>C38-_xlfn.FORECAST.ETS.CONFINT(A38,$B$2:$B$34,$A$2:$A$34,0.95,1,1)</f>
        <v>8926.7651427770852</v>
      </c>
      <c r="E38" s="44">
        <f>C38+_xlfn.FORECAST.ETS.CONFINT(A38,$B$2:$B$34,$A$2:$A$34,0.95,1,1)</f>
        <v>10081.977257076151</v>
      </c>
    </row>
    <row r="39" spans="1:5" x14ac:dyDescent="0.25">
      <c r="A39" s="35">
        <v>43924</v>
      </c>
      <c r="C39" s="44">
        <f>_xlfn.FORECAST.ETS(A39,$B$2:$B$34,$A$2:$A$34,1,1)</f>
        <v>10402.502107716096</v>
      </c>
      <c r="D39" s="44">
        <f>C39-_xlfn.FORECAST.ETS.CONFINT(A39,$B$2:$B$34,$A$2:$A$34,0.95,1,1)</f>
        <v>9636.8772085003966</v>
      </c>
      <c r="E39" s="44">
        <f>C39+_xlfn.FORECAST.ETS.CONFINT(A39,$B$2:$B$34,$A$2:$A$34,0.95,1,1)</f>
        <v>11168.127006931796</v>
      </c>
    </row>
    <row r="40" spans="1:5" x14ac:dyDescent="0.25">
      <c r="A40" s="35">
        <v>43925</v>
      </c>
      <c r="C40" s="44">
        <f>_xlfn.FORECAST.ETS(A40,$B$2:$B$34,$A$2:$A$34,1,1)</f>
        <v>11300.633015505577</v>
      </c>
      <c r="D40" s="44">
        <f>C40-_xlfn.FORECAST.ETS.CONFINT(A40,$B$2:$B$34,$A$2:$A$34,0.95,1,1)</f>
        <v>10326.051643884764</v>
      </c>
      <c r="E40" s="44">
        <f>C40+_xlfn.FORECAST.ETS.CONFINT(A40,$B$2:$B$34,$A$2:$A$34,0.95,1,1)</f>
        <v>12275.214387126389</v>
      </c>
    </row>
    <row r="41" spans="1:5" x14ac:dyDescent="0.25">
      <c r="A41" s="35">
        <v>43926</v>
      </c>
      <c r="C41" s="44">
        <f>_xlfn.FORECAST.ETS(A41,$B$2:$B$34,$A$2:$A$34,1,1)</f>
        <v>12198.763923295057</v>
      </c>
      <c r="D41" s="44">
        <f>C41-_xlfn.FORECAST.ETS.CONFINT(A41,$B$2:$B$34,$A$2:$A$34,0.95,1,1)</f>
        <v>10996.807651054427</v>
      </c>
      <c r="E41" s="44">
        <f>C41+_xlfn.FORECAST.ETS.CONFINT(A41,$B$2:$B$34,$A$2:$A$34,0.95,1,1)</f>
        <v>13400.720195535687</v>
      </c>
    </row>
    <row r="42" spans="1:5" x14ac:dyDescent="0.25">
      <c r="A42" s="35">
        <v>43927</v>
      </c>
      <c r="C42" s="44">
        <f>_xlfn.FORECAST.ETS(A42,$B$2:$B$34,$A$2:$A$34,1,1)</f>
        <v>13096.894831084535</v>
      </c>
      <c r="D42" s="44">
        <f>C42-_xlfn.FORECAST.ETS.CONFINT(A42,$B$2:$B$34,$A$2:$A$34,0.95,1,1)</f>
        <v>11650.852089671645</v>
      </c>
      <c r="E42" s="44">
        <f>C42+_xlfn.FORECAST.ETS.CONFINT(A42,$B$2:$B$34,$A$2:$A$34,0.95,1,1)</f>
        <v>14542.937572497425</v>
      </c>
    </row>
    <row r="43" spans="1:5" x14ac:dyDescent="0.25">
      <c r="A43" s="35">
        <v>43928</v>
      </c>
      <c r="C43" s="44">
        <f>_xlfn.FORECAST.ETS(A43,$B$2:$B$34,$A$2:$A$34,1,1)</f>
        <v>13995.025738874014</v>
      </c>
      <c r="D43" s="44">
        <f>C43-_xlfn.FORECAST.ETS.CONFINT(A43,$B$2:$B$34,$A$2:$A$34,0.95,1,1)</f>
        <v>12289.441067553867</v>
      </c>
      <c r="E43" s="44">
        <f>C43+_xlfn.FORECAST.ETS.CONFINT(A43,$B$2:$B$34,$A$2:$A$34,0.95,1,1)</f>
        <v>15700.61041019416</v>
      </c>
    </row>
    <row r="44" spans="1:5" x14ac:dyDescent="0.25">
      <c r="A44" s="35">
        <v>43929</v>
      </c>
      <c r="C44" s="44">
        <f>_xlfn.FORECAST.ETS(A44,$B$2:$B$34,$A$2:$A$34,1,1)</f>
        <v>14893.156646663494</v>
      </c>
      <c r="D44" s="44">
        <f>C44-_xlfn.FORECAST.ETS.CONFINT(A44,$B$2:$B$34,$A$2:$A$34,0.95,1,1)</f>
        <v>12913.55433917453</v>
      </c>
      <c r="E44" s="44">
        <f>C44+_xlfn.FORECAST.ETS.CONFINT(A44,$B$2:$B$34,$A$2:$A$34,0.95,1,1)</f>
        <v>16872.758954152458</v>
      </c>
    </row>
    <row r="45" spans="1:5" x14ac:dyDescent="0.25">
      <c r="A45" s="35">
        <v>43930</v>
      </c>
      <c r="C45" s="44">
        <f>_xlfn.FORECAST.ETS(A45,$B$2:$B$34,$A$2:$A$34,1,1)</f>
        <v>15791.287554452974</v>
      </c>
      <c r="D45" s="44">
        <f>C45-_xlfn.FORECAST.ETS.CONFINT(A45,$B$2:$B$34,$A$2:$A$34,0.95,1,1)</f>
        <v>13523.988210166466</v>
      </c>
      <c r="E45" s="44">
        <f>C45+_xlfn.FORECAST.ETS.CONFINT(A45,$B$2:$B$34,$A$2:$A$34,0.95,1,1)</f>
        <v>18058.586898739482</v>
      </c>
    </row>
    <row r="46" spans="1:5" x14ac:dyDescent="0.25">
      <c r="A46" s="35">
        <v>43931</v>
      </c>
      <c r="C46" s="44">
        <f>_xlfn.FORECAST.ETS(A46,$B$2:$B$34,$A$2:$A$34,1,1)</f>
        <v>16689.418462242451</v>
      </c>
      <c r="D46" s="44">
        <f>C46-_xlfn.FORECAST.ETS.CONFINT(A46,$B$2:$B$34,$A$2:$A$34,0.95,1,1)</f>
        <v>14121.409473611286</v>
      </c>
      <c r="E46" s="44">
        <f>C46+_xlfn.FORECAST.ETS.CONFINT(A46,$B$2:$B$34,$A$2:$A$34,0.95,1,1)</f>
        <v>19257.427450873616</v>
      </c>
    </row>
    <row r="47" spans="1:5" x14ac:dyDescent="0.25">
      <c r="A47" s="35">
        <v>43932</v>
      </c>
      <c r="C47" s="44">
        <f>_xlfn.FORECAST.ETS(A47,$B$2:$B$34,$A$2:$A$34,1,1)</f>
        <v>17587.549370031931</v>
      </c>
      <c r="D47" s="44">
        <f>C47-_xlfn.FORECAST.ETS.CONFINT(A47,$B$2:$B$34,$A$2:$A$34,0.95,1,1)</f>
        <v>14706.389035137339</v>
      </c>
      <c r="E47" s="44">
        <f>C47+_xlfn.FORECAST.ETS.CONFINT(A47,$B$2:$B$34,$A$2:$A$34,0.95,1,1)</f>
        <v>20468.709704926525</v>
      </c>
    </row>
    <row r="48" spans="1:5" x14ac:dyDescent="0.25">
      <c r="A48" s="35">
        <v>43933</v>
      </c>
      <c r="C48" s="44">
        <f>_xlfn.FORECAST.ETS(A48,$B$2:$B$34,$A$2:$A$34,1,1)</f>
        <v>18485.680277821411</v>
      </c>
      <c r="D48" s="44">
        <f>C48-_xlfn.FORECAST.ETS.CONFINT(A48,$B$2:$B$34,$A$2:$A$34,0.95,1,1)</f>
        <v>15279.424131171645</v>
      </c>
      <c r="E48" s="44">
        <f>C48+_xlfn.FORECAST.ETS.CONFINT(A48,$B$2:$B$34,$A$2:$A$34,0.95,1,1)</f>
        <v>21691.936424471176</v>
      </c>
    </row>
    <row r="49" spans="1:5" x14ac:dyDescent="0.25">
      <c r="A49" s="35">
        <v>43934</v>
      </c>
      <c r="C49" s="44">
        <f>_xlfn.FORECAST.ETS(A49,$B$2:$B$34,$A$2:$A$34,1,1)</f>
        <v>19383.811185610892</v>
      </c>
      <c r="D49" s="44">
        <f>C49-_xlfn.FORECAST.ETS.CONFINT(A49,$B$2:$B$34,$A$2:$A$34,0.95,1,1)</f>
        <v>15840.953722254806</v>
      </c>
      <c r="E49" s="44">
        <f>C49+_xlfn.FORECAST.ETS.CONFINT(A49,$B$2:$B$34,$A$2:$A$34,0.95,1,1)</f>
        <v>22926.668648966977</v>
      </c>
    </row>
    <row r="50" spans="1:5" x14ac:dyDescent="0.25">
      <c r="A50" s="35">
        <v>43935</v>
      </c>
      <c r="C50" s="44">
        <f>_xlfn.FORECAST.ETS(A50,$B$2:$B$34,$A$2:$A$34,1,1)</f>
        <v>20281.942093400368</v>
      </c>
      <c r="D50" s="44">
        <f>C50-_xlfn.FORECAST.ETS.CONFINT(A50,$B$2:$B$34,$A$2:$A$34,0.95,1,1)</f>
        <v>16391.369578866746</v>
      </c>
      <c r="E50" s="44">
        <f>C50+_xlfn.FORECAST.ETS.CONFINT(A50,$B$2:$B$34,$A$2:$A$34,0.95,1,1)</f>
        <v>24172.51460793399</v>
      </c>
    </row>
    <row r="51" spans="1:5" x14ac:dyDescent="0.25">
      <c r="A51" s="35">
        <v>43936</v>
      </c>
      <c r="C51" s="44">
        <f>_xlfn.FORECAST.ETS(A51,$B$2:$B$34,$A$2:$A$34,1,1)</f>
        <v>21180.073001189849</v>
      </c>
      <c r="D51" s="44">
        <f>C51-_xlfn.FORECAST.ETS.CONFINT(A51,$B$2:$B$34,$A$2:$A$34,0.95,1,1)</f>
        <v>16931.024523497694</v>
      </c>
      <c r="E51" s="44">
        <f>C51+_xlfn.FORECAST.ETS.CONFINT(A51,$B$2:$B$34,$A$2:$A$34,0.95,1,1)</f>
        <v>25429.121478882003</v>
      </c>
    </row>
    <row r="52" spans="1:5" x14ac:dyDescent="0.25">
      <c r="A52" s="35">
        <v>43937</v>
      </c>
      <c r="C52" s="44">
        <f>_xlfn.FORECAST.ETS(A52,$B$2:$B$34,$A$2:$A$34,1,1)</f>
        <v>22078.203908979329</v>
      </c>
      <c r="D52" s="44">
        <f>C52-_xlfn.FORECAST.ETS.CONFINT(A52,$B$2:$B$34,$A$2:$A$34,0.95,1,1)</f>
        <v>17460.238722585258</v>
      </c>
      <c r="E52" s="44">
        <f>C52+_xlfn.FORECAST.ETS.CONFINT(A52,$B$2:$B$34,$A$2:$A$34,0.95,1,1)</f>
        <v>26696.1690953734</v>
      </c>
    </row>
    <row r="53" spans="1:5" x14ac:dyDescent="0.25">
      <c r="A53" s="35">
        <v>43938</v>
      </c>
      <c r="C53" s="44">
        <f>_xlfn.FORECAST.ETS(A53,$B$2:$B$34,$A$2:$A$34,1,1)</f>
        <v>22976.334816768809</v>
      </c>
      <c r="D53" s="44">
        <f>C53-_xlfn.FORECAST.ETS.CONFINT(A53,$B$2:$B$34,$A$2:$A$34,0.95,1,1)</f>
        <v>17979.304597324241</v>
      </c>
      <c r="E53" s="44">
        <f>C53+_xlfn.FORECAST.ETS.CONFINT(A53,$B$2:$B$34,$A$2:$A$34,0.95,1,1)</f>
        <v>27973.365036213378</v>
      </c>
    </row>
    <row r="54" spans="1:5" x14ac:dyDescent="0.25">
      <c r="A54" s="35">
        <v>43939</v>
      </c>
      <c r="C54" s="44">
        <f>_xlfn.FORECAST.ETS(A54,$B$2:$B$34,$A$2:$A$34,1,1)</f>
        <v>23874.465724558286</v>
      </c>
      <c r="D54" s="44">
        <f>C54-_xlfn.FORECAST.ETS.CONFINT(A54,$B$2:$B$34,$A$2:$A$34,0.95,1,1)</f>
        <v>18488.490729076886</v>
      </c>
      <c r="E54" s="44">
        <f>C54+_xlfn.FORECAST.ETS.CONFINT(A54,$B$2:$B$34,$A$2:$A$34,0.95,1,1)</f>
        <v>29260.440720039685</v>
      </c>
    </row>
    <row r="55" spans="1:5" x14ac:dyDescent="0.25">
      <c r="A55" s="35">
        <v>43940</v>
      </c>
      <c r="C55" s="44">
        <f>_xlfn.FORECAST.ETS(A55,$B$2:$B$34,$A$2:$A$34,1,1)</f>
        <v>24772.596632347766</v>
      </c>
      <c r="D55" s="44">
        <f>C55-_xlfn.FORECAST.ETS.CONFINT(A55,$B$2:$B$34,$A$2:$A$34,0.95,1,1)</f>
        <v>18988.045015432024</v>
      </c>
      <c r="E55" s="44">
        <f>C55+_xlfn.FORECAST.ETS.CONFINT(A55,$B$2:$B$34,$A$2:$A$34,0.95,1,1)</f>
        <v>30557.148249263508</v>
      </c>
    </row>
    <row r="56" spans="1:5" x14ac:dyDescent="0.25">
      <c r="A56" s="35">
        <v>43941</v>
      </c>
      <c r="C56" s="44">
        <f>_xlfn.FORECAST.ETS(A56,$B$2:$B$34,$A$2:$A$34,1,1)</f>
        <v>25670.727540137246</v>
      </c>
      <c r="D56" s="44">
        <f>C56-_xlfn.FORECAST.ETS.CONFINT(A56,$B$2:$B$34,$A$2:$A$34,0.95,1,1)</f>
        <v>19478.197256257627</v>
      </c>
      <c r="E56" s="44">
        <f>C56+_xlfn.FORECAST.ETS.CONFINT(A56,$B$2:$B$34,$A$2:$A$34,0.95,1,1)</f>
        <v>31863.257824016866</v>
      </c>
    </row>
    <row r="57" spans="1:5" x14ac:dyDescent="0.25">
      <c r="A57" s="35">
        <v>43942</v>
      </c>
      <c r="C57" s="44">
        <f>_xlfn.FORECAST.ETS(A57,$B$2:$B$34,$A$2:$A$34,1,1)</f>
        <v>26568.858447926727</v>
      </c>
      <c r="D57" s="44">
        <f>C57-_xlfn.FORECAST.ETS.CONFINT(A57,$B$2:$B$34,$A$2:$A$34,0.95,1,1)</f>
        <v>19959.161298415951</v>
      </c>
      <c r="E57" s="44">
        <f>C57+_xlfn.FORECAST.ETS.CONFINT(A57,$B$2:$B$34,$A$2:$A$34,0.95,1,1)</f>
        <v>33178.555597437502</v>
      </c>
    </row>
    <row r="58" spans="1:5" x14ac:dyDescent="0.25">
      <c r="A58" s="35">
        <v>43943</v>
      </c>
      <c r="C58" s="44">
        <f>_xlfn.FORECAST.ETS(A58,$B$2:$B$34,$A$2:$A$34,1,1)</f>
        <v>27466.989355716203</v>
      </c>
      <c r="D58" s="44">
        <f>C58-_xlfn.FORECAST.ETS.CONFINT(A58,$B$2:$B$34,$A$2:$A$34,0.95,1,1)</f>
        <v>20431.136833419732</v>
      </c>
      <c r="E58" s="44">
        <f>C58+_xlfn.FORECAST.ETS.CONFINT(A58,$B$2:$B$34,$A$2:$A$34,0.95,1,1)</f>
        <v>34502.841878012674</v>
      </c>
    </row>
    <row r="59" spans="1:5" x14ac:dyDescent="0.25">
      <c r="A59" s="35">
        <v>43944</v>
      </c>
      <c r="C59" s="44">
        <f>_xlfn.FORECAST.ETS(A59,$B$2:$B$34,$A$2:$A$34,1,1)</f>
        <v>28365.120263505683</v>
      </c>
      <c r="D59" s="44">
        <f>C59-_xlfn.FORECAST.ETS.CONFINT(A59,$B$2:$B$34,$A$2:$A$34,0.95,1,1)</f>
        <v>20894.310918406631</v>
      </c>
      <c r="E59" s="44">
        <f>C59+_xlfn.FORECAST.ETS.CONFINT(A59,$B$2:$B$34,$A$2:$A$34,0.95,1,1)</f>
        <v>35835.92960860474</v>
      </c>
    </row>
    <row r="60" spans="1:5" x14ac:dyDescent="0.25">
      <c r="A60" s="35">
        <v>43945</v>
      </c>
      <c r="C60" s="44">
        <f>_xlfn.FORECAST.ETS(A60,$B$2:$B$34,$A$2:$A$34,1,1)</f>
        <v>29263.251171295164</v>
      </c>
      <c r="D60" s="44">
        <f>C60-_xlfn.FORECAST.ETS.CONFINT(A60,$B$2:$B$34,$A$2:$A$34,0.95,1,1)</f>
        <v>21348.859273841445</v>
      </c>
      <c r="E60" s="44">
        <f>C60+_xlfn.FORECAST.ETS.CONFINT(A60,$B$2:$B$34,$A$2:$A$34,0.95,1,1)</f>
        <v>37177.643068748883</v>
      </c>
    </row>
    <row r="61" spans="1:5" x14ac:dyDescent="0.25">
      <c r="A61" s="35">
        <v>43946</v>
      </c>
      <c r="C61" s="44">
        <f>_xlfn.FORECAST.ETS(A61,$B$2:$B$34,$A$2:$A$34,1,1)</f>
        <v>30161.38207908464</v>
      </c>
      <c r="D61" s="44">
        <f>C61-_xlfn.FORECAST.ETS.CONFINT(A61,$B$2:$B$34,$A$2:$A$34,0.95,1,1)</f>
        <v>21794.947399080265</v>
      </c>
      <c r="E61" s="44">
        <f>C61+_xlfn.FORECAST.ETS.CONFINT(A61,$B$2:$B$34,$A$2:$A$34,0.95,1,1)</f>
        <v>38527.816759089015</v>
      </c>
    </row>
    <row r="62" spans="1:5" x14ac:dyDescent="0.25">
      <c r="A62" s="35">
        <v>43947</v>
      </c>
      <c r="C62" s="44">
        <f>_xlfn.FORECAST.ETS(A62,$B$2:$B$34,$A$2:$A$34,1,1)</f>
        <v>31059.512986874121</v>
      </c>
      <c r="D62" s="44">
        <f>C62-_xlfn.FORECAST.ETS.CONFINT(A62,$B$2:$B$34,$A$2:$A$34,0.95,1,1)</f>
        <v>22232.731537897111</v>
      </c>
      <c r="E62" s="44">
        <f>C62+_xlfn.FORECAST.ETS.CONFINT(A62,$B$2:$B$34,$A$2:$A$34,0.95,1,1)</f>
        <v>39886.29443585113</v>
      </c>
    </row>
    <row r="63" spans="1:5" x14ac:dyDescent="0.25">
      <c r="A63" s="35">
        <v>43948</v>
      </c>
      <c r="C63" s="44">
        <f>_xlfn.FORECAST.ETS(A63,$B$2:$B$34,$A$2:$A$34,1,1)</f>
        <v>31957.643894663601</v>
      </c>
      <c r="D63" s="44">
        <f>C63-_xlfn.FORECAST.ETS.CONFINT(A63,$B$2:$B$34,$A$2:$A$34,0.95,1,1)</f>
        <v>22662.359519323356</v>
      </c>
      <c r="E63" s="44">
        <f>C63+_xlfn.FORECAST.ETS.CONFINT(A63,$B$2:$B$34,$A$2:$A$34,0.95,1,1)</f>
        <v>41252.928270003846</v>
      </c>
    </row>
    <row r="64" spans="1:5" x14ac:dyDescent="0.25">
      <c r="A64" s="35">
        <v>43949</v>
      </c>
      <c r="C64" s="44">
        <f>_xlfn.FORECAST.ETS(A64,$B$2:$B$34,$A$2:$A$34,1,1)</f>
        <v>32855.774802453081</v>
      </c>
      <c r="D64" s="44">
        <f>C64-_xlfn.FORECAST.ETS.CONFINT(A64,$B$2:$B$34,$A$2:$A$34,0.95,1,1)</f>
        <v>23083.971494036137</v>
      </c>
      <c r="E64" s="44">
        <f>C64+_xlfn.FORECAST.ETS.CONFINT(A64,$B$2:$B$34,$A$2:$A$34,0.95,1,1)</f>
        <v>42627.578110870025</v>
      </c>
    </row>
    <row r="65" spans="1:5" x14ac:dyDescent="0.25">
      <c r="A65" s="35">
        <v>43950</v>
      </c>
      <c r="C65" s="44">
        <f>_xlfn.FORECAST.ETS(A65,$B$2:$B$34,$A$2:$A$34,1,1)</f>
        <v>33753.905710242558</v>
      </c>
      <c r="D65" s="44">
        <f>C65-_xlfn.FORECAST.ETS.CONFINT(A65,$B$2:$B$34,$A$2:$A$34,0.95,1,1)</f>
        <v>23497.70058260762</v>
      </c>
      <c r="E65" s="44">
        <f>C65+_xlfn.FORECAST.ETS.CONFINT(A65,$B$2:$B$34,$A$2:$A$34,0.95,1,1)</f>
        <v>44010.110837877495</v>
      </c>
    </row>
    <row r="66" spans="1:5" x14ac:dyDescent="0.25">
      <c r="A66" s="35">
        <v>43951</v>
      </c>
      <c r="C66" s="44">
        <f>_xlfn.FORECAST.ETS(A66,$B$2:$B$34,$A$2:$A$34,1,1)</f>
        <v>34652.036618032034</v>
      </c>
      <c r="D66" s="44">
        <f>C66-_xlfn.FORECAST.ETS.CONFINT(A66,$B$2:$B$34,$A$2:$A$34,0.95,1,1)</f>
        <v>23903.673448881855</v>
      </c>
      <c r="E66" s="44">
        <f>C66+_xlfn.FORECAST.ETS.CONFINT(A66,$B$2:$B$34,$A$2:$A$34,0.95,1,1)</f>
        <v>45400.399787182214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EB05-7350-4864-9282-7FAF5D57B720}">
  <dimension ref="A1:E66"/>
  <sheetViews>
    <sheetView workbookViewId="0">
      <selection activeCell="C2" sqref="C2:C66"/>
    </sheetView>
  </sheetViews>
  <sheetFormatPr defaultRowHeight="13.5" x14ac:dyDescent="0.25"/>
  <cols>
    <col min="1" max="1" width="11" style="1" customWidth="1"/>
    <col min="2" max="4" width="9.140625" style="47"/>
    <col min="5" max="5" width="10.5703125" style="47" customWidth="1"/>
    <col min="6" max="16384" width="9.140625" style="1"/>
  </cols>
  <sheetData>
    <row r="1" spans="1:5" x14ac:dyDescent="0.25">
      <c r="A1" s="1" t="s">
        <v>40</v>
      </c>
      <c r="B1" s="46" t="s">
        <v>55</v>
      </c>
      <c r="C1" s="64" t="s">
        <v>73</v>
      </c>
      <c r="D1" s="47" t="s">
        <v>54</v>
      </c>
      <c r="E1" s="47" t="s">
        <v>53</v>
      </c>
    </row>
    <row r="2" spans="1:5" x14ac:dyDescent="0.25">
      <c r="A2" s="45">
        <v>43887</v>
      </c>
      <c r="B2" s="48">
        <v>0</v>
      </c>
      <c r="C2" s="65"/>
      <c r="D2" s="49"/>
      <c r="E2" s="49"/>
    </row>
    <row r="3" spans="1:5" x14ac:dyDescent="0.25">
      <c r="A3" s="45">
        <v>43888</v>
      </c>
      <c r="B3" s="50">
        <v>0</v>
      </c>
      <c r="C3" s="66"/>
      <c r="D3" s="49"/>
      <c r="E3" s="49"/>
    </row>
    <row r="4" spans="1:5" x14ac:dyDescent="0.25">
      <c r="A4" s="45">
        <v>43889</v>
      </c>
      <c r="B4" s="48">
        <v>0</v>
      </c>
      <c r="C4" s="65"/>
      <c r="D4" s="49"/>
      <c r="E4" s="49"/>
    </row>
    <row r="5" spans="1:5" x14ac:dyDescent="0.25">
      <c r="A5" s="45">
        <v>43890</v>
      </c>
      <c r="B5" s="50">
        <v>0</v>
      </c>
      <c r="C5" s="66"/>
      <c r="D5" s="49"/>
      <c r="E5" s="49"/>
    </row>
    <row r="6" spans="1:5" x14ac:dyDescent="0.25">
      <c r="A6" s="45">
        <v>43891</v>
      </c>
      <c r="B6" s="48">
        <v>0</v>
      </c>
      <c r="C6" s="65"/>
      <c r="D6" s="49"/>
      <c r="E6" s="49"/>
    </row>
    <row r="7" spans="1:5" x14ac:dyDescent="0.25">
      <c r="A7" s="45">
        <v>43892</v>
      </c>
      <c r="B7" s="50">
        <v>2</v>
      </c>
      <c r="C7" s="66"/>
      <c r="D7" s="49"/>
      <c r="E7" s="49"/>
    </row>
    <row r="8" spans="1:5" x14ac:dyDescent="0.25">
      <c r="A8" s="45">
        <v>43893</v>
      </c>
      <c r="B8" s="48">
        <v>2</v>
      </c>
      <c r="C8" s="65"/>
      <c r="D8" s="49"/>
      <c r="E8" s="49"/>
    </row>
    <row r="9" spans="1:5" x14ac:dyDescent="0.25">
      <c r="A9" s="45">
        <v>43894</v>
      </c>
      <c r="B9" s="50">
        <v>2</v>
      </c>
      <c r="C9" s="66"/>
      <c r="D9" s="49"/>
      <c r="E9" s="49"/>
    </row>
    <row r="10" spans="1:5" x14ac:dyDescent="0.25">
      <c r="A10" s="45">
        <v>43895</v>
      </c>
      <c r="B10" s="48">
        <v>3</v>
      </c>
      <c r="C10" s="65"/>
      <c r="D10" s="49"/>
      <c r="E10" s="49"/>
    </row>
    <row r="11" spans="1:5" x14ac:dyDescent="0.25">
      <c r="A11" s="45">
        <v>43896</v>
      </c>
      <c r="B11" s="50">
        <v>4</v>
      </c>
      <c r="C11" s="66"/>
      <c r="D11" s="49"/>
      <c r="E11" s="49"/>
    </row>
    <row r="12" spans="1:5" x14ac:dyDescent="0.25">
      <c r="A12" s="45">
        <v>43897</v>
      </c>
      <c r="B12" s="48">
        <v>8</v>
      </c>
      <c r="C12" s="65"/>
      <c r="D12" s="49"/>
      <c r="E12" s="49"/>
    </row>
    <row r="13" spans="1:5" x14ac:dyDescent="0.25">
      <c r="A13" s="45">
        <v>43898</v>
      </c>
      <c r="B13" s="50">
        <v>9</v>
      </c>
      <c r="C13" s="66"/>
      <c r="D13" s="49"/>
      <c r="E13" s="49"/>
    </row>
    <row r="14" spans="1:5" x14ac:dyDescent="0.25">
      <c r="A14" s="45">
        <v>43899</v>
      </c>
      <c r="B14" s="48">
        <v>9</v>
      </c>
      <c r="C14" s="65"/>
      <c r="D14" s="49"/>
      <c r="E14" s="49"/>
    </row>
    <row r="15" spans="1:5" x14ac:dyDescent="0.25">
      <c r="A15" s="45">
        <v>43900</v>
      </c>
      <c r="B15" s="50">
        <v>2</v>
      </c>
      <c r="C15" s="66"/>
      <c r="D15" s="49"/>
      <c r="E15" s="49"/>
    </row>
    <row r="16" spans="1:5" x14ac:dyDescent="0.25">
      <c r="A16" s="45">
        <v>43901</v>
      </c>
      <c r="B16" s="48">
        <v>18</v>
      </c>
      <c r="C16" s="65"/>
      <c r="D16" s="49"/>
      <c r="E16" s="49"/>
    </row>
    <row r="17" spans="1:5" x14ac:dyDescent="0.25">
      <c r="A17" s="45">
        <v>43902</v>
      </c>
      <c r="B17" s="50">
        <v>19</v>
      </c>
      <c r="C17" s="66"/>
      <c r="D17" s="49"/>
      <c r="E17" s="49"/>
    </row>
    <row r="18" spans="1:5" x14ac:dyDescent="0.25">
      <c r="A18" s="45">
        <v>43903</v>
      </c>
      <c r="B18" s="48">
        <v>34</v>
      </c>
      <c r="C18" s="65"/>
      <c r="D18" s="49"/>
      <c r="E18" s="49"/>
    </row>
    <row r="19" spans="1:5" x14ac:dyDescent="0.25">
      <c r="A19" s="45">
        <v>43904</v>
      </c>
      <c r="B19" s="50">
        <v>57</v>
      </c>
      <c r="C19" s="66"/>
      <c r="D19" s="49"/>
      <c r="E19" s="49"/>
    </row>
    <row r="20" spans="1:5" x14ac:dyDescent="0.25">
      <c r="A20" s="45">
        <v>43905</v>
      </c>
      <c r="B20" s="48">
        <v>76</v>
      </c>
      <c r="C20" s="65"/>
      <c r="D20" s="49"/>
      <c r="E20" s="49"/>
    </row>
    <row r="21" spans="1:5" x14ac:dyDescent="0.25">
      <c r="A21" s="45">
        <v>43906</v>
      </c>
      <c r="B21" s="50">
        <v>86</v>
      </c>
      <c r="C21" s="66"/>
      <c r="D21" s="49"/>
      <c r="E21" s="49"/>
    </row>
    <row r="22" spans="1:5" x14ac:dyDescent="0.25">
      <c r="A22" s="45">
        <v>43907</v>
      </c>
      <c r="B22" s="48">
        <v>117</v>
      </c>
      <c r="C22" s="65"/>
      <c r="D22" s="49"/>
      <c r="E22" s="49"/>
    </row>
    <row r="23" spans="1:5" x14ac:dyDescent="0.25">
      <c r="A23" s="45">
        <v>43908</v>
      </c>
      <c r="B23" s="50">
        <v>194</v>
      </c>
      <c r="C23" s="66"/>
      <c r="D23" s="49"/>
      <c r="E23" s="49"/>
    </row>
    <row r="24" spans="1:5" x14ac:dyDescent="0.25">
      <c r="A24" s="45">
        <v>43909</v>
      </c>
      <c r="B24" s="48">
        <v>143</v>
      </c>
      <c r="C24" s="65"/>
      <c r="D24" s="49"/>
      <c r="E24" s="49"/>
    </row>
    <row r="25" spans="1:5" x14ac:dyDescent="0.25">
      <c r="A25" s="45">
        <v>43910</v>
      </c>
      <c r="B25" s="50">
        <v>235</v>
      </c>
      <c r="C25" s="66"/>
      <c r="D25" s="49"/>
      <c r="E25" s="49"/>
    </row>
    <row r="26" spans="1:5" x14ac:dyDescent="0.25">
      <c r="A26" s="45">
        <v>43911</v>
      </c>
      <c r="B26" s="48">
        <v>260</v>
      </c>
      <c r="C26" s="65"/>
      <c r="D26" s="49"/>
      <c r="E26" s="49"/>
    </row>
    <row r="27" spans="1:5" x14ac:dyDescent="0.25">
      <c r="A27" s="45">
        <v>43912</v>
      </c>
      <c r="B27" s="50">
        <v>320</v>
      </c>
      <c r="C27" s="66"/>
      <c r="D27" s="49"/>
      <c r="E27" s="49"/>
    </row>
    <row r="28" spans="1:5" x14ac:dyDescent="0.25">
      <c r="A28" s="45">
        <v>43913</v>
      </c>
      <c r="B28" s="48">
        <v>460</v>
      </c>
      <c r="C28" s="65"/>
      <c r="D28" s="49"/>
      <c r="E28" s="49"/>
    </row>
    <row r="29" spans="1:5" x14ac:dyDescent="0.25">
      <c r="A29" s="45">
        <v>43914</v>
      </c>
      <c r="B29" s="50">
        <v>302</v>
      </c>
      <c r="C29" s="66"/>
      <c r="D29" s="49"/>
      <c r="E29" s="49"/>
    </row>
    <row r="30" spans="1:5" x14ac:dyDescent="0.25">
      <c r="A30" s="45">
        <v>43915</v>
      </c>
      <c r="B30" s="48">
        <v>633</v>
      </c>
      <c r="C30" s="65"/>
      <c r="D30" s="49"/>
      <c r="E30" s="49"/>
    </row>
    <row r="31" spans="1:5" x14ac:dyDescent="0.25">
      <c r="A31" s="45">
        <v>43916</v>
      </c>
      <c r="B31" s="50">
        <v>549</v>
      </c>
      <c r="C31" s="66"/>
      <c r="D31" s="49"/>
      <c r="E31" s="49"/>
    </row>
    <row r="32" spans="1:5" x14ac:dyDescent="0.25">
      <c r="A32" s="45">
        <v>43917</v>
      </c>
      <c r="B32" s="48">
        <v>724</v>
      </c>
      <c r="C32" s="65"/>
      <c r="D32" s="49"/>
      <c r="E32" s="49">
        <v>724</v>
      </c>
    </row>
    <row r="33" spans="1:5" x14ac:dyDescent="0.25">
      <c r="A33" s="45">
        <v>43918</v>
      </c>
      <c r="B33" s="50">
        <v>902</v>
      </c>
      <c r="C33" s="66"/>
      <c r="D33" s="49">
        <v>902</v>
      </c>
      <c r="E33" s="49">
        <f t="shared" ref="E33:E66" si="0">_xlfn.FORECAST.ETS(A33,$B$2:$B$32,$A$2:$A$32,1,1)</f>
        <v>742.59879032258038</v>
      </c>
    </row>
    <row r="34" spans="1:5" x14ac:dyDescent="0.25">
      <c r="A34" s="45">
        <v>43919</v>
      </c>
      <c r="B34" s="49"/>
      <c r="C34" s="49">
        <v>792</v>
      </c>
      <c r="D34" s="49">
        <v>1019.0673635534285</v>
      </c>
      <c r="E34" s="49">
        <f t="shared" si="0"/>
        <v>761.19758064516134</v>
      </c>
    </row>
    <row r="35" spans="1:5" x14ac:dyDescent="0.25">
      <c r="A35" s="45">
        <v>43920</v>
      </c>
      <c r="B35" s="49"/>
      <c r="C35" s="49">
        <v>918.73466937219087</v>
      </c>
      <c r="D35" s="49">
        <v>1170.2353978857382</v>
      </c>
      <c r="E35" s="49">
        <f t="shared" si="0"/>
        <v>779.79637096774172</v>
      </c>
    </row>
    <row r="36" spans="1:5" x14ac:dyDescent="0.25">
      <c r="A36" s="45">
        <v>43921</v>
      </c>
      <c r="B36" s="49"/>
      <c r="C36" s="49">
        <v>1018.2671096525905</v>
      </c>
      <c r="D36" s="49">
        <v>1321.4034322180478</v>
      </c>
      <c r="E36" s="49">
        <f t="shared" si="0"/>
        <v>798.39516129032256</v>
      </c>
    </row>
    <row r="37" spans="1:5" x14ac:dyDescent="0.25">
      <c r="A37" s="45">
        <v>43922</v>
      </c>
      <c r="B37" s="49"/>
      <c r="C37" s="49">
        <v>1117.79954993299</v>
      </c>
      <c r="D37" s="49">
        <v>1472.5714665503574</v>
      </c>
      <c r="E37" s="49">
        <f t="shared" si="0"/>
        <v>816.99395161290295</v>
      </c>
    </row>
    <row r="38" spans="1:5" x14ac:dyDescent="0.25">
      <c r="A38" s="45">
        <v>43923</v>
      </c>
      <c r="B38" s="49"/>
      <c r="C38" s="49">
        <v>1217.3319902133896</v>
      </c>
      <c r="D38" s="49">
        <v>1623.739500882667</v>
      </c>
      <c r="E38" s="49">
        <f t="shared" si="0"/>
        <v>835.5927419354839</v>
      </c>
    </row>
    <row r="39" spans="1:5" x14ac:dyDescent="0.25">
      <c r="A39" s="45">
        <v>43924</v>
      </c>
      <c r="B39" s="49"/>
      <c r="C39" s="49">
        <v>1316.8644304937893</v>
      </c>
      <c r="D39" s="49">
        <v>1774.9075352149766</v>
      </c>
      <c r="E39" s="49">
        <f t="shared" si="0"/>
        <v>854.19153225806429</v>
      </c>
    </row>
    <row r="40" spans="1:5" x14ac:dyDescent="0.25">
      <c r="A40" s="45">
        <v>43925</v>
      </c>
      <c r="B40" s="49"/>
      <c r="C40" s="49">
        <v>1416.3968707741888</v>
      </c>
      <c r="D40" s="49">
        <v>1926.0755695472862</v>
      </c>
      <c r="E40" s="49">
        <f t="shared" si="0"/>
        <v>872.79032258064512</v>
      </c>
    </row>
    <row r="41" spans="1:5" x14ac:dyDescent="0.25">
      <c r="A41" s="45">
        <v>43926</v>
      </c>
      <c r="B41" s="49"/>
      <c r="C41" s="49">
        <v>1515.9293110545887</v>
      </c>
      <c r="D41" s="49">
        <v>2077.2436038795959</v>
      </c>
      <c r="E41" s="49">
        <f t="shared" si="0"/>
        <v>891.38911290322551</v>
      </c>
    </row>
    <row r="42" spans="1:5" x14ac:dyDescent="0.25">
      <c r="A42" s="45">
        <v>43927</v>
      </c>
      <c r="B42" s="49"/>
      <c r="C42" s="49">
        <v>1615.4617513349881</v>
      </c>
      <c r="D42" s="49">
        <v>2228.4116382119055</v>
      </c>
      <c r="E42" s="49">
        <f t="shared" si="0"/>
        <v>909.98790322580646</v>
      </c>
    </row>
    <row r="43" spans="1:5" x14ac:dyDescent="0.25">
      <c r="A43" s="45">
        <v>43928</v>
      </c>
      <c r="B43" s="49"/>
      <c r="C43" s="49">
        <v>1714.9941916153875</v>
      </c>
      <c r="D43" s="49">
        <v>2379.5796725442151</v>
      </c>
      <c r="E43" s="49">
        <f t="shared" si="0"/>
        <v>928.58669354838685</v>
      </c>
    </row>
    <row r="44" spans="1:5" x14ac:dyDescent="0.25">
      <c r="A44" s="45">
        <v>43929</v>
      </c>
      <c r="B44" s="49"/>
      <c r="C44" s="49">
        <v>1814.5266318957874</v>
      </c>
      <c r="D44" s="49">
        <v>2530.7477068765247</v>
      </c>
      <c r="E44" s="49">
        <f t="shared" si="0"/>
        <v>947.18548387096769</v>
      </c>
    </row>
    <row r="45" spans="1:5" x14ac:dyDescent="0.25">
      <c r="A45" s="45">
        <v>43930</v>
      </c>
      <c r="B45" s="49"/>
      <c r="C45" s="49">
        <v>1914.0590721761869</v>
      </c>
      <c r="D45" s="49">
        <v>2681.9157412088343</v>
      </c>
      <c r="E45" s="49">
        <f t="shared" si="0"/>
        <v>965.78427419354819</v>
      </c>
    </row>
    <row r="46" spans="1:5" x14ac:dyDescent="0.25">
      <c r="A46" s="45">
        <v>43931</v>
      </c>
      <c r="B46" s="49"/>
      <c r="C46" s="49">
        <v>2013.5915124565863</v>
      </c>
      <c r="D46" s="49">
        <v>2833.083775541144</v>
      </c>
      <c r="E46" s="49">
        <f t="shared" si="0"/>
        <v>984.38306451612902</v>
      </c>
    </row>
    <row r="47" spans="1:5" x14ac:dyDescent="0.25">
      <c r="A47" s="45">
        <v>43932</v>
      </c>
      <c r="B47" s="49"/>
      <c r="C47" s="49">
        <v>2113.1239527369862</v>
      </c>
      <c r="D47" s="49">
        <v>2984.2518098734536</v>
      </c>
      <c r="E47" s="49">
        <f t="shared" si="0"/>
        <v>1002.9818548387094</v>
      </c>
    </row>
    <row r="48" spans="1:5" x14ac:dyDescent="0.25">
      <c r="A48" s="45">
        <v>43933</v>
      </c>
      <c r="B48" s="49"/>
      <c r="C48" s="49">
        <v>2212.6563930173857</v>
      </c>
      <c r="D48" s="49">
        <v>3135.4198442057632</v>
      </c>
      <c r="E48" s="49">
        <f t="shared" si="0"/>
        <v>1021.5806451612904</v>
      </c>
    </row>
    <row r="49" spans="1:5" x14ac:dyDescent="0.25">
      <c r="A49" s="45">
        <v>43934</v>
      </c>
      <c r="B49" s="49"/>
      <c r="C49" s="49">
        <v>2312.1888332977851</v>
      </c>
      <c r="D49" s="49">
        <v>3286.5878785380728</v>
      </c>
      <c r="E49" s="49">
        <f t="shared" si="0"/>
        <v>1040.1794354838705</v>
      </c>
    </row>
    <row r="50" spans="1:5" x14ac:dyDescent="0.25">
      <c r="A50" s="45">
        <v>43935</v>
      </c>
      <c r="B50" s="49"/>
      <c r="C50" s="49">
        <v>2411.721273578185</v>
      </c>
      <c r="D50" s="49">
        <v>3437.7559128703824</v>
      </c>
      <c r="E50" s="49">
        <f t="shared" si="0"/>
        <v>1058.7782258064517</v>
      </c>
    </row>
    <row r="51" spans="1:5" x14ac:dyDescent="0.25">
      <c r="A51" s="45">
        <v>43936</v>
      </c>
      <c r="B51" s="49"/>
      <c r="C51" s="49">
        <v>2511.2537138585844</v>
      </c>
      <c r="D51" s="49">
        <v>3588.923947202692</v>
      </c>
      <c r="E51" s="49">
        <f t="shared" si="0"/>
        <v>1077.377016129032</v>
      </c>
    </row>
    <row r="52" spans="1:5" x14ac:dyDescent="0.25">
      <c r="A52" s="45">
        <v>43937</v>
      </c>
      <c r="B52" s="49"/>
      <c r="C52" s="49">
        <v>2610.7861541389839</v>
      </c>
      <c r="D52" s="49">
        <v>3740.0919815350017</v>
      </c>
      <c r="E52" s="49">
        <f t="shared" si="0"/>
        <v>1095.9758064516129</v>
      </c>
    </row>
    <row r="53" spans="1:5" x14ac:dyDescent="0.25">
      <c r="A53" s="45">
        <v>43938</v>
      </c>
      <c r="B53" s="49"/>
      <c r="C53" s="49">
        <v>2710.3185944193838</v>
      </c>
      <c r="D53" s="49">
        <v>3891.2600158673113</v>
      </c>
      <c r="E53" s="49">
        <f t="shared" si="0"/>
        <v>1114.5745967741932</v>
      </c>
    </row>
    <row r="54" spans="1:5" x14ac:dyDescent="0.25">
      <c r="A54" s="45">
        <v>43939</v>
      </c>
      <c r="B54" s="49"/>
      <c r="C54" s="49">
        <v>2809.8510346997832</v>
      </c>
      <c r="D54" s="49">
        <v>4042.4280501996209</v>
      </c>
      <c r="E54" s="49">
        <f t="shared" si="0"/>
        <v>1133.1733870967744</v>
      </c>
    </row>
    <row r="55" spans="1:5" x14ac:dyDescent="0.25">
      <c r="A55" s="45">
        <v>43940</v>
      </c>
      <c r="B55" s="49"/>
      <c r="C55" s="49">
        <v>2909.3834749801827</v>
      </c>
      <c r="D55" s="49">
        <v>4193.5960845319305</v>
      </c>
      <c r="E55" s="49">
        <f t="shared" si="0"/>
        <v>1151.7721774193544</v>
      </c>
    </row>
    <row r="56" spans="1:5" x14ac:dyDescent="0.25">
      <c r="A56" s="45">
        <v>43941</v>
      </c>
      <c r="B56" s="49"/>
      <c r="C56" s="49">
        <v>3008.9159152605826</v>
      </c>
      <c r="D56" s="49">
        <v>4344.7641188642401</v>
      </c>
      <c r="E56" s="49">
        <f t="shared" si="0"/>
        <v>1170.3709677419356</v>
      </c>
    </row>
    <row r="57" spans="1:5" x14ac:dyDescent="0.25">
      <c r="A57" s="45">
        <v>43942</v>
      </c>
      <c r="B57" s="49"/>
      <c r="C57" s="49">
        <v>3108.448355540982</v>
      </c>
      <c r="D57" s="49">
        <v>4495.9321531965497</v>
      </c>
      <c r="E57" s="49">
        <f t="shared" si="0"/>
        <v>1188.9697580645159</v>
      </c>
    </row>
    <row r="58" spans="1:5" x14ac:dyDescent="0.25">
      <c r="A58" s="45">
        <v>43943</v>
      </c>
      <c r="B58" s="49"/>
      <c r="C58" s="49">
        <v>3207.9807958213814</v>
      </c>
      <c r="D58" s="49">
        <v>4647.1001875288594</v>
      </c>
      <c r="E58" s="49">
        <f t="shared" si="0"/>
        <v>1207.5685483870968</v>
      </c>
    </row>
    <row r="59" spans="1:5" x14ac:dyDescent="0.25">
      <c r="A59" s="45">
        <v>43944</v>
      </c>
      <c r="B59" s="49"/>
      <c r="C59" s="49">
        <v>3307.5132361017813</v>
      </c>
      <c r="D59" s="49">
        <v>4798.268221861169</v>
      </c>
      <c r="E59" s="49">
        <f t="shared" si="0"/>
        <v>1226.1673387096771</v>
      </c>
    </row>
    <row r="60" spans="1:5" x14ac:dyDescent="0.25">
      <c r="A60" s="45">
        <v>43945</v>
      </c>
      <c r="B60" s="49"/>
      <c r="C60" s="49">
        <v>3407.0456763821808</v>
      </c>
      <c r="D60" s="49">
        <v>4949.4362561934786</v>
      </c>
      <c r="E60" s="49">
        <f t="shared" si="0"/>
        <v>1244.7661290322583</v>
      </c>
    </row>
    <row r="61" spans="1:5" x14ac:dyDescent="0.25">
      <c r="A61" s="45">
        <v>43946</v>
      </c>
      <c r="B61" s="49"/>
      <c r="C61" s="49">
        <v>3506.5781166625802</v>
      </c>
      <c r="D61" s="49">
        <v>5100.6042905257882</v>
      </c>
      <c r="E61" s="49">
        <f t="shared" si="0"/>
        <v>1263.3649193548383</v>
      </c>
    </row>
    <row r="62" spans="1:5" x14ac:dyDescent="0.25">
      <c r="A62" s="45">
        <v>43947</v>
      </c>
      <c r="B62" s="49"/>
      <c r="C62" s="49">
        <v>3606.1105569429801</v>
      </c>
      <c r="D62" s="49">
        <v>5251.7723248580978</v>
      </c>
      <c r="E62" s="49">
        <f t="shared" si="0"/>
        <v>1281.9637096774193</v>
      </c>
    </row>
    <row r="63" spans="1:5" x14ac:dyDescent="0.25">
      <c r="A63" s="45">
        <v>43948</v>
      </c>
      <c r="B63" s="49"/>
      <c r="C63" s="49">
        <v>3705.6429972233796</v>
      </c>
      <c r="D63" s="49">
        <v>5402.9403591904074</v>
      </c>
      <c r="E63" s="49">
        <f t="shared" si="0"/>
        <v>1300.5624999999998</v>
      </c>
    </row>
    <row r="64" spans="1:5" x14ac:dyDescent="0.25">
      <c r="A64" s="45">
        <v>43949</v>
      </c>
      <c r="B64" s="49"/>
      <c r="C64" s="49">
        <v>3805.175437503779</v>
      </c>
      <c r="D64" s="49">
        <v>5554.1083935227171</v>
      </c>
      <c r="E64" s="49">
        <f t="shared" si="0"/>
        <v>1319.1612903225807</v>
      </c>
    </row>
    <row r="65" spans="1:5" x14ac:dyDescent="0.25">
      <c r="A65" s="45">
        <v>43950</v>
      </c>
      <c r="B65" s="49"/>
      <c r="C65" s="49">
        <v>3904.7078777841789</v>
      </c>
      <c r="D65" s="49">
        <v>5705.2764278550267</v>
      </c>
      <c r="E65" s="49">
        <f t="shared" si="0"/>
        <v>1337.7600806451608</v>
      </c>
    </row>
    <row r="66" spans="1:5" x14ac:dyDescent="0.25">
      <c r="A66" s="45">
        <v>43951</v>
      </c>
      <c r="B66" s="49"/>
      <c r="C66" s="49">
        <v>4004.2403180645783</v>
      </c>
      <c r="D66" s="49">
        <v>5856.4444621873363</v>
      </c>
      <c r="E66" s="49">
        <f t="shared" si="0"/>
        <v>1356.3588709677422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4BD7-E1DF-403B-AB1E-970B0705D8EA}">
  <dimension ref="A1:H66"/>
  <sheetViews>
    <sheetView workbookViewId="0">
      <selection activeCell="B34" sqref="B34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35">
        <v>43887</v>
      </c>
      <c r="B2" s="44">
        <v>0</v>
      </c>
      <c r="G2" t="s">
        <v>46</v>
      </c>
      <c r="H2" s="36">
        <f>_xlfn.FORECAST.ETS.STAT($B$2:$B$33,$A$2:$A$33,1,1,1)</f>
        <v>0.66666700000000001</v>
      </c>
    </row>
    <row r="3" spans="1:8" x14ac:dyDescent="0.25">
      <c r="A3" s="35">
        <v>43888</v>
      </c>
      <c r="B3" s="44">
        <v>0</v>
      </c>
      <c r="G3" t="s">
        <v>47</v>
      </c>
      <c r="H3" s="36">
        <f>_xlfn.FORECAST.ETS.STAT($B$2:$B$33,$A$2:$A$33,2,1,1)</f>
        <v>0.5</v>
      </c>
    </row>
    <row r="4" spans="1:8" x14ac:dyDescent="0.25">
      <c r="A4" s="35">
        <v>43889</v>
      </c>
      <c r="B4" s="44">
        <v>0</v>
      </c>
      <c r="G4" t="s">
        <v>48</v>
      </c>
      <c r="H4" s="36">
        <f>_xlfn.FORECAST.ETS.STAT($B$2:$B$33,$A$2:$A$33,3,1,1)</f>
        <v>2.2204460492503131E-16</v>
      </c>
    </row>
    <row r="5" spans="1:8" x14ac:dyDescent="0.25">
      <c r="A5" s="35">
        <v>43890</v>
      </c>
      <c r="B5" s="44">
        <v>0</v>
      </c>
      <c r="G5" t="s">
        <v>49</v>
      </c>
      <c r="H5" s="36">
        <f>_xlfn.FORECAST.ETS.STAT($B$2:$B$33,$A$2:$A$33,4,1,1)</f>
        <v>10.566242892572177</v>
      </c>
    </row>
    <row r="6" spans="1:8" x14ac:dyDescent="0.25">
      <c r="A6" s="35">
        <v>43891</v>
      </c>
      <c r="B6" s="44">
        <v>0</v>
      </c>
      <c r="G6" t="s">
        <v>50</v>
      </c>
      <c r="H6" s="36">
        <f>_xlfn.FORECAST.ETS.STAT($B$2:$B$33,$A$2:$A$33,5,1,1)</f>
        <v>0.2538944029670111</v>
      </c>
    </row>
    <row r="7" spans="1:8" x14ac:dyDescent="0.25">
      <c r="A7" s="35">
        <v>43892</v>
      </c>
      <c r="B7" s="44">
        <v>2</v>
      </c>
      <c r="G7" t="s">
        <v>51</v>
      </c>
      <c r="H7" s="36">
        <f>_xlfn.FORECAST.ETS.STAT($B$2:$B$33,$A$2:$A$33,6,1,1)</f>
        <v>104.65612007881013</v>
      </c>
    </row>
    <row r="8" spans="1:8" x14ac:dyDescent="0.25">
      <c r="A8" s="35">
        <v>43893</v>
      </c>
      <c r="B8" s="44">
        <v>2</v>
      </c>
      <c r="G8" t="s">
        <v>52</v>
      </c>
      <c r="H8" s="36">
        <f>_xlfn.FORECAST.ETS.STAT($B$2:$B$33,$A$2:$A$33,7,1,1)</f>
        <v>131.13337471771837</v>
      </c>
    </row>
    <row r="9" spans="1:8" x14ac:dyDescent="0.25">
      <c r="A9" s="35">
        <v>43894</v>
      </c>
      <c r="B9" s="44">
        <v>2</v>
      </c>
    </row>
    <row r="10" spans="1:8" x14ac:dyDescent="0.25">
      <c r="A10" s="35">
        <v>43895</v>
      </c>
      <c r="B10" s="44">
        <v>3</v>
      </c>
    </row>
    <row r="11" spans="1:8" x14ac:dyDescent="0.25">
      <c r="A11" s="35">
        <v>43896</v>
      </c>
      <c r="B11" s="44">
        <v>4</v>
      </c>
    </row>
    <row r="12" spans="1:8" x14ac:dyDescent="0.25">
      <c r="A12" s="35">
        <v>43897</v>
      </c>
      <c r="B12" s="44">
        <v>8</v>
      </c>
    </row>
    <row r="13" spans="1:8" x14ac:dyDescent="0.25">
      <c r="A13" s="35">
        <v>43898</v>
      </c>
      <c r="B13" s="44">
        <v>9</v>
      </c>
    </row>
    <row r="14" spans="1:8" x14ac:dyDescent="0.25">
      <c r="A14" s="35">
        <v>43899</v>
      </c>
      <c r="B14" s="44">
        <v>9</v>
      </c>
    </row>
    <row r="15" spans="1:8" x14ac:dyDescent="0.25">
      <c r="A15" s="35">
        <v>43900</v>
      </c>
      <c r="B15" s="44">
        <v>2</v>
      </c>
    </row>
    <row r="16" spans="1:8" x14ac:dyDescent="0.25">
      <c r="A16" s="35">
        <v>43901</v>
      </c>
      <c r="B16" s="44">
        <v>18</v>
      </c>
    </row>
    <row r="17" spans="1:2" x14ac:dyDescent="0.25">
      <c r="A17" s="35">
        <v>43902</v>
      </c>
      <c r="B17" s="44">
        <v>19</v>
      </c>
    </row>
    <row r="18" spans="1:2" x14ac:dyDescent="0.25">
      <c r="A18" s="35">
        <v>43903</v>
      </c>
      <c r="B18" s="44">
        <v>34</v>
      </c>
    </row>
    <row r="19" spans="1:2" x14ac:dyDescent="0.25">
      <c r="A19" s="35">
        <v>43904</v>
      </c>
      <c r="B19" s="44">
        <v>57</v>
      </c>
    </row>
    <row r="20" spans="1:2" x14ac:dyDescent="0.25">
      <c r="A20" s="35">
        <v>43905</v>
      </c>
      <c r="B20" s="44">
        <v>76</v>
      </c>
    </row>
    <row r="21" spans="1:2" x14ac:dyDescent="0.25">
      <c r="A21" s="35">
        <v>43906</v>
      </c>
      <c r="B21" s="44">
        <v>86</v>
      </c>
    </row>
    <row r="22" spans="1:2" x14ac:dyDescent="0.25">
      <c r="A22" s="35">
        <v>43907</v>
      </c>
      <c r="B22" s="44">
        <v>117</v>
      </c>
    </row>
    <row r="23" spans="1:2" x14ac:dyDescent="0.25">
      <c r="A23" s="35">
        <v>43908</v>
      </c>
      <c r="B23" s="44">
        <v>194</v>
      </c>
    </row>
    <row r="24" spans="1:2" x14ac:dyDescent="0.25">
      <c r="A24" s="35">
        <v>43909</v>
      </c>
      <c r="B24" s="44">
        <v>143</v>
      </c>
    </row>
    <row r="25" spans="1:2" x14ac:dyDescent="0.25">
      <c r="A25" s="35">
        <v>43910</v>
      </c>
      <c r="B25" s="44">
        <v>235</v>
      </c>
    </row>
    <row r="26" spans="1:2" x14ac:dyDescent="0.25">
      <c r="A26" s="35">
        <v>43911</v>
      </c>
      <c r="B26" s="44">
        <v>260</v>
      </c>
    </row>
    <row r="27" spans="1:2" x14ac:dyDescent="0.25">
      <c r="A27" s="35">
        <v>43912</v>
      </c>
      <c r="B27" s="44">
        <v>320</v>
      </c>
    </row>
    <row r="28" spans="1:2" x14ac:dyDescent="0.25">
      <c r="A28" s="35">
        <v>43913</v>
      </c>
      <c r="B28" s="44">
        <v>460</v>
      </c>
    </row>
    <row r="29" spans="1:2" x14ac:dyDescent="0.25">
      <c r="A29" s="35">
        <v>43914</v>
      </c>
      <c r="B29" s="44">
        <v>302</v>
      </c>
    </row>
    <row r="30" spans="1:2" x14ac:dyDescent="0.25">
      <c r="A30" s="35">
        <v>43915</v>
      </c>
      <c r="B30" s="44">
        <v>633</v>
      </c>
    </row>
    <row r="31" spans="1:2" x14ac:dyDescent="0.25">
      <c r="A31" s="35">
        <v>43916</v>
      </c>
      <c r="B31" s="44">
        <v>549</v>
      </c>
    </row>
    <row r="32" spans="1:2" x14ac:dyDescent="0.25">
      <c r="A32" s="35">
        <v>43917</v>
      </c>
      <c r="B32" s="44">
        <v>724</v>
      </c>
    </row>
    <row r="33" spans="1:5" x14ac:dyDescent="0.25">
      <c r="A33" s="35">
        <v>43918</v>
      </c>
      <c r="B33" s="44">
        <v>902</v>
      </c>
      <c r="C33" s="44">
        <v>902</v>
      </c>
      <c r="D33" s="44">
        <v>902</v>
      </c>
      <c r="E33" s="44">
        <v>902</v>
      </c>
    </row>
    <row r="34" spans="1:5" x14ac:dyDescent="0.25">
      <c r="A34" s="35">
        <v>43919</v>
      </c>
      <c r="C34" s="44">
        <f t="shared" ref="C34:C66" si="0">_xlfn.FORECAST.ETS(A34,$B$2:$B$33,$A$2:$A$33,1,1)</f>
        <v>1019.0673635534285</v>
      </c>
      <c r="D34" s="44">
        <f t="shared" ref="D34:D66" si="1">C34-_xlfn.FORECAST.ETS.CONFINT(A34,$B$2:$B$33,$A$2:$A$33,0.95,1,1)</f>
        <v>873.22378317047355</v>
      </c>
      <c r="E34" s="44">
        <f t="shared" ref="E34:E66" si="2">C34+_xlfn.FORECAST.ETS.CONFINT(A34,$B$2:$B$33,$A$2:$A$33,0.95,1,1)</f>
        <v>1164.9109439363835</v>
      </c>
    </row>
    <row r="35" spans="1:5" x14ac:dyDescent="0.25">
      <c r="A35" s="35">
        <v>43920</v>
      </c>
      <c r="C35" s="44">
        <f t="shared" si="0"/>
        <v>1170.2353978857382</v>
      </c>
      <c r="D35" s="44">
        <f t="shared" si="1"/>
        <v>946.13346544959836</v>
      </c>
      <c r="E35" s="44">
        <f t="shared" si="2"/>
        <v>1394.337330321878</v>
      </c>
    </row>
    <row r="36" spans="1:5" x14ac:dyDescent="0.25">
      <c r="A36" s="35">
        <v>43921</v>
      </c>
      <c r="C36" s="44">
        <f t="shared" si="0"/>
        <v>1321.4034322180478</v>
      </c>
      <c r="D36" s="44">
        <f t="shared" si="1"/>
        <v>990.78884521193277</v>
      </c>
      <c r="E36" s="44">
        <f t="shared" si="2"/>
        <v>1652.0180192241628</v>
      </c>
    </row>
    <row r="37" spans="1:5" x14ac:dyDescent="0.25">
      <c r="A37" s="35">
        <v>43922</v>
      </c>
      <c r="C37" s="44">
        <f t="shared" si="0"/>
        <v>1472.5714665503574</v>
      </c>
      <c r="D37" s="44">
        <f t="shared" si="1"/>
        <v>1015.2329573832254</v>
      </c>
      <c r="E37" s="44">
        <f t="shared" si="2"/>
        <v>1929.9099757174895</v>
      </c>
    </row>
    <row r="38" spans="1:5" x14ac:dyDescent="0.25">
      <c r="A38" s="35">
        <v>43923</v>
      </c>
      <c r="C38" s="44">
        <f t="shared" si="0"/>
        <v>1623.739500882667</v>
      </c>
      <c r="D38" s="44">
        <f t="shared" si="1"/>
        <v>1023.3942905502747</v>
      </c>
      <c r="E38" s="44">
        <f t="shared" si="2"/>
        <v>2224.0847112150595</v>
      </c>
    </row>
    <row r="39" spans="1:5" x14ac:dyDescent="0.25">
      <c r="A39" s="35">
        <v>43924</v>
      </c>
      <c r="C39" s="44">
        <f t="shared" si="0"/>
        <v>1774.9075352149766</v>
      </c>
      <c r="D39" s="44">
        <f t="shared" si="1"/>
        <v>1017.4718884989192</v>
      </c>
      <c r="E39" s="44">
        <f t="shared" si="2"/>
        <v>2532.343181931034</v>
      </c>
    </row>
    <row r="40" spans="1:5" x14ac:dyDescent="0.25">
      <c r="A40" s="35">
        <v>43925</v>
      </c>
      <c r="C40" s="44">
        <f t="shared" si="0"/>
        <v>1926.0755695472862</v>
      </c>
      <c r="D40" s="44">
        <f t="shared" si="1"/>
        <v>998.88796772225203</v>
      </c>
      <c r="E40" s="44">
        <f t="shared" si="2"/>
        <v>2853.2631713723204</v>
      </c>
    </row>
    <row r="41" spans="1:5" x14ac:dyDescent="0.25">
      <c r="A41" s="35">
        <v>43926</v>
      </c>
      <c r="C41" s="44">
        <f t="shared" si="0"/>
        <v>2077.2436038795959</v>
      </c>
      <c r="D41" s="44">
        <f t="shared" si="1"/>
        <v>968.66170941975861</v>
      </c>
      <c r="E41" s="44">
        <f t="shared" si="2"/>
        <v>3185.8254983394331</v>
      </c>
    </row>
    <row r="42" spans="1:5" x14ac:dyDescent="0.25">
      <c r="A42" s="35">
        <v>43927</v>
      </c>
      <c r="C42" s="44">
        <f t="shared" si="0"/>
        <v>2228.4116382119055</v>
      </c>
      <c r="D42" s="44">
        <f t="shared" si="1"/>
        <v>927.57543133421268</v>
      </c>
      <c r="E42" s="44">
        <f t="shared" si="2"/>
        <v>3529.2478450895983</v>
      </c>
    </row>
    <row r="43" spans="1:5" x14ac:dyDescent="0.25">
      <c r="A43" s="35">
        <v>43928</v>
      </c>
      <c r="C43" s="44">
        <f t="shared" si="0"/>
        <v>2379.5796725442151</v>
      </c>
      <c r="D43" s="44">
        <f t="shared" si="1"/>
        <v>876.2583212866532</v>
      </c>
      <c r="E43" s="44">
        <f t="shared" si="2"/>
        <v>3882.9010238017772</v>
      </c>
    </row>
    <row r="44" spans="1:5" x14ac:dyDescent="0.25">
      <c r="A44" s="35">
        <v>43929</v>
      </c>
      <c r="C44" s="44">
        <f t="shared" si="0"/>
        <v>2530.7477068765247</v>
      </c>
      <c r="D44" s="44">
        <f t="shared" si="1"/>
        <v>815.23328380618</v>
      </c>
      <c r="E44" s="44">
        <f t="shared" si="2"/>
        <v>4246.2621299468692</v>
      </c>
    </row>
    <row r="45" spans="1:5" x14ac:dyDescent="0.25">
      <c r="A45" s="35">
        <v>43930</v>
      </c>
      <c r="C45" s="44">
        <f t="shared" si="0"/>
        <v>2681.9157412088343</v>
      </c>
      <c r="D45" s="44">
        <f t="shared" si="1"/>
        <v>744.94543582468873</v>
      </c>
      <c r="E45" s="44">
        <f t="shared" si="2"/>
        <v>4618.8860465929802</v>
      </c>
    </row>
    <row r="46" spans="1:5" x14ac:dyDescent="0.25">
      <c r="A46" s="35">
        <v>43931</v>
      </c>
      <c r="C46" s="44">
        <f t="shared" si="0"/>
        <v>2833.083775541144</v>
      </c>
      <c r="D46" s="44">
        <f t="shared" si="1"/>
        <v>665.78062539139182</v>
      </c>
      <c r="E46" s="44">
        <f t="shared" si="2"/>
        <v>5000.3869256908965</v>
      </c>
    </row>
    <row r="47" spans="1:5" x14ac:dyDescent="0.25">
      <c r="A47" s="35">
        <v>43932</v>
      </c>
      <c r="C47" s="44">
        <f t="shared" si="0"/>
        <v>2984.2518098734536</v>
      </c>
      <c r="D47" s="44">
        <f t="shared" si="1"/>
        <v>578.0781143853028</v>
      </c>
      <c r="E47" s="44">
        <f t="shared" si="2"/>
        <v>5390.4255053616043</v>
      </c>
    </row>
    <row r="48" spans="1:5" x14ac:dyDescent="0.25">
      <c r="A48" s="35">
        <v>43933</v>
      </c>
      <c r="C48" s="44">
        <f t="shared" si="0"/>
        <v>3135.4198442057632</v>
      </c>
      <c r="D48" s="44">
        <f t="shared" si="1"/>
        <v>482.13963594663483</v>
      </c>
      <c r="E48" s="44">
        <f t="shared" si="2"/>
        <v>5788.700052464892</v>
      </c>
    </row>
    <row r="49" spans="1:5" x14ac:dyDescent="0.25">
      <c r="A49" s="35">
        <v>43934</v>
      </c>
      <c r="C49" s="44">
        <f t="shared" si="0"/>
        <v>3286.5878785380728</v>
      </c>
      <c r="D49" s="44">
        <f t="shared" si="1"/>
        <v>378.23608557010357</v>
      </c>
      <c r="E49" s="44">
        <f t="shared" si="2"/>
        <v>6194.939671506042</v>
      </c>
    </row>
    <row r="50" spans="1:5" x14ac:dyDescent="0.25">
      <c r="A50" s="35">
        <v>43935</v>
      </c>
      <c r="C50" s="44">
        <f t="shared" si="0"/>
        <v>3437.7559128703824</v>
      </c>
      <c r="D50" s="44">
        <f t="shared" si="1"/>
        <v>266.61260292840598</v>
      </c>
      <c r="E50" s="44">
        <f t="shared" si="2"/>
        <v>6608.8992228123589</v>
      </c>
    </row>
    <row r="51" spans="1:5" x14ac:dyDescent="0.25">
      <c r="A51" s="35">
        <v>43936</v>
      </c>
      <c r="C51" s="44">
        <f t="shared" si="0"/>
        <v>3588.923947202692</v>
      </c>
      <c r="D51" s="44">
        <f t="shared" si="1"/>
        <v>147.49252116812386</v>
      </c>
      <c r="E51" s="44">
        <f t="shared" si="2"/>
        <v>7030.3553732372602</v>
      </c>
    </row>
    <row r="52" spans="1:5" x14ac:dyDescent="0.25">
      <c r="A52" s="35">
        <v>43937</v>
      </c>
      <c r="C52" s="44">
        <f t="shared" si="0"/>
        <v>3740.0919815350017</v>
      </c>
      <c r="D52" s="44">
        <f t="shared" si="1"/>
        <v>21.080495890575548</v>
      </c>
      <c r="E52" s="44">
        <f t="shared" si="2"/>
        <v>7459.1034671794278</v>
      </c>
    </row>
    <row r="53" spans="1:5" x14ac:dyDescent="0.25">
      <c r="A53" s="35">
        <v>43938</v>
      </c>
      <c r="C53" s="44">
        <f t="shared" si="0"/>
        <v>3891.2600158673113</v>
      </c>
      <c r="D53" s="44">
        <f t="shared" si="1"/>
        <v>-112.43497475444383</v>
      </c>
      <c r="E53" s="44">
        <f t="shared" si="2"/>
        <v>7894.9550064890664</v>
      </c>
    </row>
    <row r="54" spans="1:5" x14ac:dyDescent="0.25">
      <c r="A54" s="35">
        <v>43939</v>
      </c>
      <c r="C54" s="44">
        <f t="shared" si="0"/>
        <v>4042.4280501996209</v>
      </c>
      <c r="D54" s="44">
        <f t="shared" si="1"/>
        <v>-252.87949150114855</v>
      </c>
      <c r="E54" s="44">
        <f t="shared" si="2"/>
        <v>8337.7355919003894</v>
      </c>
    </row>
    <row r="55" spans="1:5" x14ac:dyDescent="0.25">
      <c r="A55" s="35">
        <v>43940</v>
      </c>
      <c r="C55" s="44">
        <f t="shared" si="0"/>
        <v>4193.5960845319305</v>
      </c>
      <c r="D55" s="44">
        <f t="shared" si="1"/>
        <v>-400.09105162677133</v>
      </c>
      <c r="E55" s="44">
        <f t="shared" si="2"/>
        <v>8787.2832206906314</v>
      </c>
    </row>
    <row r="56" spans="1:5" x14ac:dyDescent="0.25">
      <c r="A56" s="35">
        <v>43941</v>
      </c>
      <c r="C56" s="44">
        <f t="shared" si="0"/>
        <v>4344.7641188642401</v>
      </c>
      <c r="D56" s="44">
        <f t="shared" si="1"/>
        <v>-553.91862594119175</v>
      </c>
      <c r="E56" s="44">
        <f t="shared" si="2"/>
        <v>9243.4468636696729</v>
      </c>
    </row>
    <row r="57" spans="1:5" x14ac:dyDescent="0.25">
      <c r="A57" s="35">
        <v>43942</v>
      </c>
      <c r="C57" s="44">
        <f t="shared" si="0"/>
        <v>4495.9321531965497</v>
      </c>
      <c r="D57" s="44">
        <f t="shared" si="1"/>
        <v>-714.22095787366106</v>
      </c>
      <c r="E57" s="44">
        <f t="shared" si="2"/>
        <v>9706.0852642667596</v>
      </c>
    </row>
    <row r="58" spans="1:5" x14ac:dyDescent="0.25">
      <c r="A58" s="35">
        <v>43943</v>
      </c>
      <c r="C58" s="44">
        <f t="shared" si="0"/>
        <v>4647.1001875288594</v>
      </c>
      <c r="D58" s="44">
        <f t="shared" si="1"/>
        <v>-880.8655413355782</v>
      </c>
      <c r="E58" s="44">
        <f t="shared" si="2"/>
        <v>10175.065916393298</v>
      </c>
    </row>
    <row r="59" spans="1:5" x14ac:dyDescent="0.25">
      <c r="A59" s="35">
        <v>43944</v>
      </c>
      <c r="C59" s="44">
        <f t="shared" si="0"/>
        <v>4798.268221861169</v>
      </c>
      <c r="D59" s="44">
        <f t="shared" si="1"/>
        <v>-1053.727744075527</v>
      </c>
      <c r="E59" s="44">
        <f t="shared" si="2"/>
        <v>10650.264187797864</v>
      </c>
    </row>
    <row r="60" spans="1:5" x14ac:dyDescent="0.25">
      <c r="A60" s="35">
        <v>43945</v>
      </c>
      <c r="C60" s="44">
        <f t="shared" si="0"/>
        <v>4949.4362561934786</v>
      </c>
      <c r="D60" s="44">
        <f t="shared" si="1"/>
        <v>-1232.6900506109178</v>
      </c>
      <c r="E60" s="44">
        <f t="shared" si="2"/>
        <v>11131.562562997875</v>
      </c>
    </row>
    <row r="61" spans="1:5" x14ac:dyDescent="0.25">
      <c r="A61" s="35">
        <v>43946</v>
      </c>
      <c r="C61" s="44">
        <f t="shared" si="0"/>
        <v>5100.6042905257882</v>
      </c>
      <c r="D61" s="44">
        <f t="shared" si="1"/>
        <v>-1417.641404314194</v>
      </c>
      <c r="E61" s="44">
        <f t="shared" si="2"/>
        <v>11618.84998536577</v>
      </c>
    </row>
    <row r="62" spans="1:5" x14ac:dyDescent="0.25">
      <c r="A62" s="35">
        <v>43947</v>
      </c>
      <c r="C62" s="44">
        <f t="shared" si="0"/>
        <v>5251.7723248580978</v>
      </c>
      <c r="D62" s="44">
        <f t="shared" si="1"/>
        <v>-1608.4766323853519</v>
      </c>
      <c r="E62" s="44">
        <f t="shared" si="2"/>
        <v>12112.021282101548</v>
      </c>
    </row>
    <row r="63" spans="1:5" x14ac:dyDescent="0.25">
      <c r="A63" s="35">
        <v>43948</v>
      </c>
      <c r="C63" s="44">
        <f t="shared" si="0"/>
        <v>5402.9403591904074</v>
      </c>
      <c r="D63" s="44">
        <f t="shared" si="1"/>
        <v>-1805.0959406232978</v>
      </c>
      <c r="E63" s="44">
        <f t="shared" si="2"/>
        <v>12610.976659004113</v>
      </c>
    </row>
    <row r="64" spans="1:5" x14ac:dyDescent="0.25">
      <c r="A64" s="35">
        <v>43949</v>
      </c>
      <c r="C64" s="44">
        <f t="shared" si="0"/>
        <v>5554.1083935227171</v>
      </c>
      <c r="D64" s="44">
        <f t="shared" si="1"/>
        <v>-2007.4044673726503</v>
      </c>
      <c r="E64" s="44">
        <f t="shared" si="2"/>
        <v>13115.621254418085</v>
      </c>
    </row>
    <row r="65" spans="1:5" x14ac:dyDescent="0.25">
      <c r="A65" s="35">
        <v>43950</v>
      </c>
      <c r="C65" s="44">
        <f t="shared" si="0"/>
        <v>5705.2764278550267</v>
      </c>
      <c r="D65" s="44">
        <f t="shared" si="1"/>
        <v>-2215.3118879515259</v>
      </c>
      <c r="E65" s="44">
        <f t="shared" si="2"/>
        <v>13625.864743661579</v>
      </c>
    </row>
    <row r="66" spans="1:5" x14ac:dyDescent="0.25">
      <c r="A66" s="35">
        <v>43951</v>
      </c>
      <c r="C66" s="44">
        <f t="shared" si="0"/>
        <v>5856.4444621873363</v>
      </c>
      <c r="D66" s="44">
        <f t="shared" si="1"/>
        <v>-2428.7320623905953</v>
      </c>
      <c r="E66" s="44">
        <f t="shared" si="2"/>
        <v>14141.620986765269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2845-739C-4A4F-9BE4-7243AAFA2AAB}">
  <dimension ref="A1:H66"/>
  <sheetViews>
    <sheetView workbookViewId="0">
      <selection activeCell="C2" sqref="C2:C66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35">
        <v>43887</v>
      </c>
      <c r="B2" s="44">
        <v>0</v>
      </c>
      <c r="G2" t="s">
        <v>46</v>
      </c>
      <c r="H2" s="36">
        <f>_xlfn.FORECAST.ETS.STAT($B$2:$B$34,$A$2:$A$34,1,1,1)</f>
        <v>0.1</v>
      </c>
    </row>
    <row r="3" spans="1:8" x14ac:dyDescent="0.25">
      <c r="A3" s="35">
        <v>43888</v>
      </c>
      <c r="B3" s="44">
        <v>0</v>
      </c>
      <c r="G3" t="s">
        <v>47</v>
      </c>
      <c r="H3" s="36">
        <f>_xlfn.FORECAST.ETS.STAT($B$2:$B$34,$A$2:$A$34,2,1,1)</f>
        <v>9.9000000000000005E-2</v>
      </c>
    </row>
    <row r="4" spans="1:8" x14ac:dyDescent="0.25">
      <c r="A4" s="35">
        <v>43889</v>
      </c>
      <c r="B4" s="44">
        <v>0</v>
      </c>
      <c r="G4" t="s">
        <v>48</v>
      </c>
      <c r="H4" s="36">
        <f>_xlfn.FORECAST.ETS.STAT($B$2:$B$34,$A$2:$A$34,3,1,1)</f>
        <v>2.2204460492503131E-16</v>
      </c>
    </row>
    <row r="5" spans="1:8" x14ac:dyDescent="0.25">
      <c r="A5" s="35">
        <v>43890</v>
      </c>
      <c r="B5" s="44">
        <v>0</v>
      </c>
      <c r="G5" t="s">
        <v>49</v>
      </c>
      <c r="H5" s="36">
        <f>_xlfn.FORECAST.ETS.STAT($B$2:$B$34,$A$2:$A$34,4,1,1)</f>
        <v>7.6797669116334601</v>
      </c>
    </row>
    <row r="6" spans="1:8" x14ac:dyDescent="0.25">
      <c r="A6" s="35">
        <v>43891</v>
      </c>
      <c r="B6" s="44">
        <v>0</v>
      </c>
      <c r="G6" t="s">
        <v>50</v>
      </c>
      <c r="H6" s="36">
        <f>_xlfn.FORECAST.ETS.STAT($B$2:$B$34,$A$2:$A$34,5,1,1)</f>
        <v>0.19413906978735238</v>
      </c>
    </row>
    <row r="7" spans="1:8" x14ac:dyDescent="0.25">
      <c r="A7" s="35">
        <v>43892</v>
      </c>
      <c r="B7" s="44">
        <v>2</v>
      </c>
      <c r="G7" t="s">
        <v>51</v>
      </c>
      <c r="H7" s="36">
        <f>_xlfn.FORECAST.ETS.STAT($B$2:$B$34,$A$2:$A$34,6,1,1)</f>
        <v>90.411801368775741</v>
      </c>
    </row>
    <row r="8" spans="1:8" x14ac:dyDescent="0.25">
      <c r="A8" s="35">
        <v>43893</v>
      </c>
      <c r="B8" s="44">
        <v>2</v>
      </c>
      <c r="G8" t="s">
        <v>52</v>
      </c>
      <c r="H8" s="36">
        <f>_xlfn.FORECAST.ETS.STAT($B$2:$B$34,$A$2:$A$34,7,1,1)</f>
        <v>111.1937256546446</v>
      </c>
    </row>
    <row r="9" spans="1:8" x14ac:dyDescent="0.25">
      <c r="A9" s="35">
        <v>43894</v>
      </c>
      <c r="B9" s="44">
        <v>2</v>
      </c>
    </row>
    <row r="10" spans="1:8" x14ac:dyDescent="0.25">
      <c r="A10" s="35">
        <v>43895</v>
      </c>
      <c r="B10" s="44">
        <v>3</v>
      </c>
    </row>
    <row r="11" spans="1:8" x14ac:dyDescent="0.25">
      <c r="A11" s="35">
        <v>43896</v>
      </c>
      <c r="B11" s="44">
        <v>4</v>
      </c>
    </row>
    <row r="12" spans="1:8" x14ac:dyDescent="0.25">
      <c r="A12" s="35">
        <v>43897</v>
      </c>
      <c r="B12" s="44">
        <v>8</v>
      </c>
    </row>
    <row r="13" spans="1:8" x14ac:dyDescent="0.25">
      <c r="A13" s="35">
        <v>43898</v>
      </c>
      <c r="B13" s="44">
        <v>9</v>
      </c>
    </row>
    <row r="14" spans="1:8" x14ac:dyDescent="0.25">
      <c r="A14" s="35">
        <v>43899</v>
      </c>
      <c r="B14" s="44">
        <v>9</v>
      </c>
    </row>
    <row r="15" spans="1:8" x14ac:dyDescent="0.25">
      <c r="A15" s="35">
        <v>43900</v>
      </c>
      <c r="B15" s="44">
        <v>2</v>
      </c>
    </row>
    <row r="16" spans="1:8" x14ac:dyDescent="0.25">
      <c r="A16" s="35">
        <v>43901</v>
      </c>
      <c r="B16" s="44">
        <v>18</v>
      </c>
    </row>
    <row r="17" spans="1:2" x14ac:dyDescent="0.25">
      <c r="A17" s="35">
        <v>43902</v>
      </c>
      <c r="B17" s="44">
        <v>19</v>
      </c>
    </row>
    <row r="18" spans="1:2" x14ac:dyDescent="0.25">
      <c r="A18" s="35">
        <v>43903</v>
      </c>
      <c r="B18" s="44">
        <v>34</v>
      </c>
    </row>
    <row r="19" spans="1:2" x14ac:dyDescent="0.25">
      <c r="A19" s="35">
        <v>43904</v>
      </c>
      <c r="B19" s="44">
        <v>57</v>
      </c>
    </row>
    <row r="20" spans="1:2" x14ac:dyDescent="0.25">
      <c r="A20" s="35">
        <v>43905</v>
      </c>
      <c r="B20" s="44">
        <v>76</v>
      </c>
    </row>
    <row r="21" spans="1:2" x14ac:dyDescent="0.25">
      <c r="A21" s="35">
        <v>43906</v>
      </c>
      <c r="B21" s="44">
        <v>86</v>
      </c>
    </row>
    <row r="22" spans="1:2" x14ac:dyDescent="0.25">
      <c r="A22" s="35">
        <v>43907</v>
      </c>
      <c r="B22" s="44">
        <v>117</v>
      </c>
    </row>
    <row r="23" spans="1:2" x14ac:dyDescent="0.25">
      <c r="A23" s="35">
        <v>43908</v>
      </c>
      <c r="B23" s="44">
        <v>194</v>
      </c>
    </row>
    <row r="24" spans="1:2" x14ac:dyDescent="0.25">
      <c r="A24" s="35">
        <v>43909</v>
      </c>
      <c r="B24" s="44">
        <v>143</v>
      </c>
    </row>
    <row r="25" spans="1:2" x14ac:dyDescent="0.25">
      <c r="A25" s="35">
        <v>43910</v>
      </c>
      <c r="B25" s="44">
        <v>235</v>
      </c>
    </row>
    <row r="26" spans="1:2" x14ac:dyDescent="0.25">
      <c r="A26" s="35">
        <v>43911</v>
      </c>
      <c r="B26" s="44">
        <v>260</v>
      </c>
    </row>
    <row r="27" spans="1:2" x14ac:dyDescent="0.25">
      <c r="A27" s="35">
        <v>43912</v>
      </c>
      <c r="B27" s="44">
        <v>320</v>
      </c>
    </row>
    <row r="28" spans="1:2" x14ac:dyDescent="0.25">
      <c r="A28" s="35">
        <v>43913</v>
      </c>
      <c r="B28" s="44">
        <v>460</v>
      </c>
    </row>
    <row r="29" spans="1:2" x14ac:dyDescent="0.25">
      <c r="A29" s="35">
        <v>43914</v>
      </c>
      <c r="B29" s="44">
        <v>302</v>
      </c>
    </row>
    <row r="30" spans="1:2" x14ac:dyDescent="0.25">
      <c r="A30" s="35">
        <v>43915</v>
      </c>
      <c r="B30" s="44">
        <v>633</v>
      </c>
    </row>
    <row r="31" spans="1:2" x14ac:dyDescent="0.25">
      <c r="A31" s="35">
        <v>43916</v>
      </c>
      <c r="B31" s="44">
        <v>549</v>
      </c>
    </row>
    <row r="32" spans="1:2" x14ac:dyDescent="0.25">
      <c r="A32" s="35">
        <v>43917</v>
      </c>
      <c r="B32" s="44">
        <v>724</v>
      </c>
    </row>
    <row r="33" spans="1:5" x14ac:dyDescent="0.25">
      <c r="A33" s="35">
        <v>43918</v>
      </c>
      <c r="B33" s="44">
        <v>902</v>
      </c>
    </row>
    <row r="34" spans="1:5" x14ac:dyDescent="0.25">
      <c r="A34" s="35">
        <v>43919</v>
      </c>
      <c r="B34" s="44">
        <v>792</v>
      </c>
      <c r="C34" s="44">
        <v>792</v>
      </c>
      <c r="D34" s="44">
        <v>792</v>
      </c>
      <c r="E34" s="44">
        <v>792</v>
      </c>
    </row>
    <row r="35" spans="1:5" x14ac:dyDescent="0.25">
      <c r="A35" s="35">
        <v>43920</v>
      </c>
      <c r="C35" s="44">
        <f>_xlfn.FORECAST.ETS(A35,$B$2:$B$34,$A$2:$A$34,1,1)</f>
        <v>918.73466937219087</v>
      </c>
      <c r="D35" s="44">
        <f>C35-_xlfn.FORECAST.ETS.CONFINT(A35,$B$2:$B$34,$A$2:$A$34,0.95,1,1)</f>
        <v>779.48536380043083</v>
      </c>
      <c r="E35" s="44">
        <f>C35+_xlfn.FORECAST.ETS.CONFINT(A35,$B$2:$B$34,$A$2:$A$34,0.95,1,1)</f>
        <v>1057.9839749439509</v>
      </c>
    </row>
    <row r="36" spans="1:5" x14ac:dyDescent="0.25">
      <c r="A36" s="35">
        <v>43921</v>
      </c>
      <c r="C36" s="44">
        <f>_xlfn.FORECAST.ETS(A36,$B$2:$B$34,$A$2:$A$34,1,1)</f>
        <v>1018.2671096525905</v>
      </c>
      <c r="D36" s="44">
        <f>C36-_xlfn.FORECAST.ETS.CONFINT(A36,$B$2:$B$34,$A$2:$A$34,0.95,1,1)</f>
        <v>876.28736775595826</v>
      </c>
      <c r="E36" s="44">
        <f>C36+_xlfn.FORECAST.ETS.CONFINT(A36,$B$2:$B$34,$A$2:$A$34,0.95,1,1)</f>
        <v>1160.2468515492228</v>
      </c>
    </row>
    <row r="37" spans="1:5" x14ac:dyDescent="0.25">
      <c r="A37" s="35">
        <v>43922</v>
      </c>
      <c r="C37" s="44">
        <f>_xlfn.FORECAST.ETS(A37,$B$2:$B$34,$A$2:$A$34,1,1)</f>
        <v>1117.79954993299</v>
      </c>
      <c r="D37" s="44">
        <f>C37-_xlfn.FORECAST.ETS.CONFINT(A37,$B$2:$B$34,$A$2:$A$34,0.95,1,1)</f>
        <v>969.88001286371832</v>
      </c>
      <c r="E37" s="44">
        <f>C37+_xlfn.FORECAST.ETS.CONFINT(A37,$B$2:$B$34,$A$2:$A$34,0.95,1,1)</f>
        <v>1265.7190870022616</v>
      </c>
    </row>
    <row r="38" spans="1:5" x14ac:dyDescent="0.25">
      <c r="A38" s="35">
        <v>43923</v>
      </c>
      <c r="C38" s="44">
        <f>_xlfn.FORECAST.ETS(A38,$B$2:$B$34,$A$2:$A$34,1,1)</f>
        <v>1217.3319902133896</v>
      </c>
      <c r="D38" s="44">
        <f>C38-_xlfn.FORECAST.ETS.CONFINT(A38,$B$2:$B$34,$A$2:$A$34,0.95,1,1)</f>
        <v>1059.4197166859053</v>
      </c>
      <c r="E38" s="44">
        <f>C38+_xlfn.FORECAST.ETS.CONFINT(A38,$B$2:$B$34,$A$2:$A$34,0.95,1,1)</f>
        <v>1375.244263740874</v>
      </c>
    </row>
    <row r="39" spans="1:5" x14ac:dyDescent="0.25">
      <c r="A39" s="35">
        <v>43924</v>
      </c>
      <c r="C39" s="44">
        <f>_xlfn.FORECAST.ETS(A39,$B$2:$B$34,$A$2:$A$34,1,1)</f>
        <v>1316.8644304937893</v>
      </c>
      <c r="D39" s="44">
        <f>C39-_xlfn.FORECAST.ETS.CONFINT(A39,$B$2:$B$34,$A$2:$A$34,0.95,1,1)</f>
        <v>1144.5083247833443</v>
      </c>
      <c r="E39" s="44">
        <f>C39+_xlfn.FORECAST.ETS.CONFINT(A39,$B$2:$B$34,$A$2:$A$34,0.95,1,1)</f>
        <v>1489.2205362042343</v>
      </c>
    </row>
    <row r="40" spans="1:5" x14ac:dyDescent="0.25">
      <c r="A40" s="35">
        <v>43925</v>
      </c>
      <c r="C40" s="44">
        <f>_xlfn.FORECAST.ETS(A40,$B$2:$B$34,$A$2:$A$34,1,1)</f>
        <v>1416.3968707741888</v>
      </c>
      <c r="D40" s="44">
        <f>C40-_xlfn.FORECAST.ETS.CONFINT(A40,$B$2:$B$34,$A$2:$A$34,0.95,1,1)</f>
        <v>1225.1606226487806</v>
      </c>
      <c r="E40" s="44">
        <f>C40+_xlfn.FORECAST.ETS.CONFINT(A40,$B$2:$B$34,$A$2:$A$34,0.95,1,1)</f>
        <v>1607.6331188995969</v>
      </c>
    </row>
    <row r="41" spans="1:5" x14ac:dyDescent="0.25">
      <c r="A41" s="35">
        <v>43926</v>
      </c>
      <c r="C41" s="44">
        <f>_xlfn.FORECAST.ETS(A41,$B$2:$B$34,$A$2:$A$34,1,1)</f>
        <v>1515.9293110545887</v>
      </c>
      <c r="D41" s="44">
        <f>C41-_xlfn.FORECAST.ETS.CONFINT(A41,$B$2:$B$34,$A$2:$A$34,0.95,1,1)</f>
        <v>1301.6621824277313</v>
      </c>
      <c r="E41" s="44">
        <f>C41+_xlfn.FORECAST.ETS.CONFINT(A41,$B$2:$B$34,$A$2:$A$34,0.95,1,1)</f>
        <v>1730.196439681446</v>
      </c>
    </row>
    <row r="42" spans="1:5" x14ac:dyDescent="0.25">
      <c r="A42" s="35">
        <v>43927</v>
      </c>
      <c r="C42" s="44">
        <f>_xlfn.FORECAST.ETS(A42,$B$2:$B$34,$A$2:$A$34,1,1)</f>
        <v>1615.4617513349881</v>
      </c>
      <c r="D42" s="44">
        <f>C42-_xlfn.FORECAST.ETS.CONFINT(A42,$B$2:$B$34,$A$2:$A$34,0.95,1,1)</f>
        <v>1374.4140037214529</v>
      </c>
      <c r="E42" s="44">
        <f>C42+_xlfn.FORECAST.ETS.CONFINT(A42,$B$2:$B$34,$A$2:$A$34,0.95,1,1)</f>
        <v>1856.5094989485233</v>
      </c>
    </row>
    <row r="43" spans="1:5" x14ac:dyDescent="0.25">
      <c r="A43" s="35">
        <v>43928</v>
      </c>
      <c r="C43" s="44">
        <f>_xlfn.FORECAST.ETS(A43,$B$2:$B$34,$A$2:$A$34,1,1)</f>
        <v>1714.9941916153875</v>
      </c>
      <c r="D43" s="44">
        <f>C43-_xlfn.FORECAST.ETS.CONFINT(A43,$B$2:$B$34,$A$2:$A$34,0.95,1,1)</f>
        <v>1443.8259131038601</v>
      </c>
      <c r="E43" s="44">
        <f>C43+_xlfn.FORECAST.ETS.CONFINT(A43,$B$2:$B$34,$A$2:$A$34,0.95,1,1)</f>
        <v>1986.162470126915</v>
      </c>
    </row>
    <row r="44" spans="1:5" x14ac:dyDescent="0.25">
      <c r="A44" s="35">
        <v>43929</v>
      </c>
      <c r="C44" s="44">
        <f>_xlfn.FORECAST.ETS(A44,$B$2:$B$34,$A$2:$A$34,1,1)</f>
        <v>1814.5266318957874</v>
      </c>
      <c r="D44" s="44">
        <f>C44-_xlfn.FORECAST.ETS.CONFINT(A44,$B$2:$B$34,$A$2:$A$34,0.95,1,1)</f>
        <v>1510.2649873377195</v>
      </c>
      <c r="E44" s="44">
        <f>C44+_xlfn.FORECAST.ETS.CONFINT(A44,$B$2:$B$34,$A$2:$A$34,0.95,1,1)</f>
        <v>2118.7882764538554</v>
      </c>
    </row>
    <row r="45" spans="1:5" x14ac:dyDescent="0.25">
      <c r="A45" s="35">
        <v>43930</v>
      </c>
      <c r="C45" s="44">
        <f>_xlfn.FORECAST.ETS(A45,$B$2:$B$34,$A$2:$A$34,1,1)</f>
        <v>1914.0590721761869</v>
      </c>
      <c r="D45" s="44">
        <f>C45-_xlfn.FORECAST.ETS.CONFINT(A45,$B$2:$B$34,$A$2:$A$34,0.95,1,1)</f>
        <v>1574.0401817016655</v>
      </c>
      <c r="E45" s="44">
        <f>C45+_xlfn.FORECAST.ETS.CONFINT(A45,$B$2:$B$34,$A$2:$A$34,0.95,1,1)</f>
        <v>2254.0779626507083</v>
      </c>
    </row>
    <row r="46" spans="1:5" x14ac:dyDescent="0.25">
      <c r="A46" s="35">
        <v>43931</v>
      </c>
      <c r="C46" s="44">
        <f>_xlfn.FORECAST.ETS(A46,$B$2:$B$34,$A$2:$A$34,1,1)</f>
        <v>2013.5915124565863</v>
      </c>
      <c r="D46" s="44">
        <f>C46-_xlfn.FORECAST.ETS.CONFINT(A46,$B$2:$B$34,$A$2:$A$34,0.95,1,1)</f>
        <v>1635.4044980350432</v>
      </c>
      <c r="E46" s="44">
        <f>C46+_xlfn.FORECAST.ETS.CONFINT(A46,$B$2:$B$34,$A$2:$A$34,0.95,1,1)</f>
        <v>2391.7785268781295</v>
      </c>
    </row>
    <row r="47" spans="1:5" x14ac:dyDescent="0.25">
      <c r="A47" s="35">
        <v>43932</v>
      </c>
      <c r="C47" s="44">
        <f>_xlfn.FORECAST.ETS(A47,$B$2:$B$34,$A$2:$A$34,1,1)</f>
        <v>2113.1239527369862</v>
      </c>
      <c r="D47" s="44">
        <f>C47-_xlfn.FORECAST.ETS.CONFINT(A47,$B$2:$B$34,$A$2:$A$34,0.95,1,1)</f>
        <v>1694.5633784386064</v>
      </c>
      <c r="E47" s="44">
        <f>C47+_xlfn.FORECAST.ETS.CONFINT(A47,$B$2:$B$34,$A$2:$A$34,0.95,1,1)</f>
        <v>2531.684527035366</v>
      </c>
    </row>
    <row r="48" spans="1:5" x14ac:dyDescent="0.25">
      <c r="A48" s="35">
        <v>43933</v>
      </c>
      <c r="C48" s="44">
        <f>_xlfn.FORECAST.ETS(A48,$B$2:$B$34,$A$2:$A$34,1,1)</f>
        <v>2212.6563930173857</v>
      </c>
      <c r="D48" s="44">
        <f>C48-_xlfn.FORECAST.ETS.CONFINT(A48,$B$2:$B$34,$A$2:$A$34,0.95,1,1)</f>
        <v>1751.6840019413114</v>
      </c>
      <c r="E48" s="44">
        <f>C48+_xlfn.FORECAST.ETS.CONFINT(A48,$B$2:$B$34,$A$2:$A$34,0.95,1,1)</f>
        <v>2673.6287840934597</v>
      </c>
    </row>
    <row r="49" spans="1:5" x14ac:dyDescent="0.25">
      <c r="A49" s="35">
        <v>43934</v>
      </c>
      <c r="C49" s="44">
        <f>_xlfn.FORECAST.ETS(A49,$B$2:$B$34,$A$2:$A$34,1,1)</f>
        <v>2312.1888332977851</v>
      </c>
      <c r="D49" s="44">
        <f>C49-_xlfn.FORECAST.ETS.CONFINT(A49,$B$2:$B$34,$A$2:$A$34,0.95,1,1)</f>
        <v>1806.9034873550859</v>
      </c>
      <c r="E49" s="44">
        <f>C49+_xlfn.FORECAST.ETS.CONFINT(A49,$B$2:$B$34,$A$2:$A$34,0.95,1,1)</f>
        <v>2817.4741792404843</v>
      </c>
    </row>
    <row r="50" spans="1:5" x14ac:dyDescent="0.25">
      <c r="A50" s="35">
        <v>43935</v>
      </c>
      <c r="C50" s="44">
        <f>_xlfn.FORECAST.ETS(A50,$B$2:$B$34,$A$2:$A$34,1,1)</f>
        <v>2411.721273578185</v>
      </c>
      <c r="D50" s="44">
        <f>C50-_xlfn.FORECAST.ETS.CONFINT(A50,$B$2:$B$34,$A$2:$A$34,0.95,1,1)</f>
        <v>1860.3355185552145</v>
      </c>
      <c r="E50" s="44">
        <f>C50+_xlfn.FORECAST.ETS.CONFINT(A50,$B$2:$B$34,$A$2:$A$34,0.95,1,1)</f>
        <v>2963.1070286011554</v>
      </c>
    </row>
    <row r="51" spans="1:5" x14ac:dyDescent="0.25">
      <c r="A51" s="35">
        <v>43936</v>
      </c>
      <c r="C51" s="44">
        <f>_xlfn.FORECAST.ETS(A51,$B$2:$B$34,$A$2:$A$34,1,1)</f>
        <v>2511.2537138585844</v>
      </c>
      <c r="D51" s="44">
        <f>C51-_xlfn.FORECAST.ETS.CONFINT(A51,$B$2:$B$34,$A$2:$A$34,0.95,1,1)</f>
        <v>1912.0754887844507</v>
      </c>
      <c r="E51" s="44">
        <f>C51+_xlfn.FORECAST.ETS.CONFINT(A51,$B$2:$B$34,$A$2:$A$34,0.95,1,1)</f>
        <v>3110.4319389327184</v>
      </c>
    </row>
    <row r="52" spans="1:5" x14ac:dyDescent="0.25">
      <c r="A52" s="35">
        <v>43937</v>
      </c>
      <c r="C52" s="44">
        <f>_xlfn.FORECAST.ETS(A52,$B$2:$B$34,$A$2:$A$34,1,1)</f>
        <v>2610.7861541389839</v>
      </c>
      <c r="D52" s="44">
        <f>C52-_xlfn.FORECAST.ETS.CONFINT(A52,$B$2:$B$34,$A$2:$A$34,0.95,1,1)</f>
        <v>1962.2044287397953</v>
      </c>
      <c r="E52" s="44">
        <f>C52+_xlfn.FORECAST.ETS.CONFINT(A52,$B$2:$B$34,$A$2:$A$34,0.95,1,1)</f>
        <v>3259.3678795381725</v>
      </c>
    </row>
    <row r="53" spans="1:5" x14ac:dyDescent="0.25">
      <c r="A53" s="35">
        <v>43938</v>
      </c>
      <c r="C53" s="44">
        <f>_xlfn.FORECAST.ETS(A53,$B$2:$B$34,$A$2:$A$34,1,1)</f>
        <v>2710.3185944193838</v>
      </c>
      <c r="D53" s="44">
        <f>C53-_xlfn.FORECAST.ETS.CONFINT(A53,$B$2:$B$34,$A$2:$A$34,0.95,1,1)</f>
        <v>2010.7919914843769</v>
      </c>
      <c r="E53" s="44">
        <f>C53+_xlfn.FORECAST.ETS.CONFINT(A53,$B$2:$B$34,$A$2:$A$34,0.95,1,1)</f>
        <v>3409.8451973543906</v>
      </c>
    </row>
    <row r="54" spans="1:5" x14ac:dyDescent="0.25">
      <c r="A54" s="35">
        <v>43939</v>
      </c>
      <c r="C54" s="44">
        <f>_xlfn.FORECAST.ETS(A54,$B$2:$B$34,$A$2:$A$34,1,1)</f>
        <v>2809.8510346997832</v>
      </c>
      <c r="D54" s="44">
        <f>C54-_xlfn.FORECAST.ETS.CONFINT(A54,$B$2:$B$34,$A$2:$A$34,0.95,1,1)</f>
        <v>2057.8987247132141</v>
      </c>
      <c r="E54" s="44">
        <f>C54+_xlfn.FORECAST.ETS.CONFINT(A54,$B$2:$B$34,$A$2:$A$34,0.95,1,1)</f>
        <v>3561.8033446863524</v>
      </c>
    </row>
    <row r="55" spans="1:5" x14ac:dyDescent="0.25">
      <c r="A55" s="35">
        <v>43940</v>
      </c>
      <c r="C55" s="44">
        <f>_xlfn.FORECAST.ETS(A55,$B$2:$B$34,$A$2:$A$34,1,1)</f>
        <v>2909.3834749801827</v>
      </c>
      <c r="D55" s="44">
        <f>C55-_xlfn.FORECAST.ETS.CONFINT(A55,$B$2:$B$34,$A$2:$A$34,0.95,1,1)</f>
        <v>2103.5778102086006</v>
      </c>
      <c r="E55" s="44">
        <f>C55+_xlfn.FORECAST.ETS.CONFINT(A55,$B$2:$B$34,$A$2:$A$34,0.95,1,1)</f>
        <v>3715.1891397517647</v>
      </c>
    </row>
    <row r="56" spans="1:5" x14ac:dyDescent="0.25">
      <c r="A56" s="35">
        <v>43941</v>
      </c>
      <c r="C56" s="44">
        <f>_xlfn.FORECAST.ETS(A56,$B$2:$B$34,$A$2:$A$34,1,1)</f>
        <v>3008.9159152605826</v>
      </c>
      <c r="D56" s="44">
        <f>C56-_xlfn.FORECAST.ETS.CONFINT(A56,$B$2:$B$34,$A$2:$A$34,0.95,1,1)</f>
        <v>2147.8764057835597</v>
      </c>
      <c r="E56" s="44">
        <f>C56+_xlfn.FORECAST.ETS.CONFINT(A56,$B$2:$B$34,$A$2:$A$34,0.95,1,1)</f>
        <v>3869.9554247376054</v>
      </c>
    </row>
    <row r="57" spans="1:5" x14ac:dyDescent="0.25">
      <c r="A57" s="35">
        <v>43942</v>
      </c>
      <c r="C57" s="44">
        <f>_xlfn.FORECAST.ETS(A57,$B$2:$B$34,$A$2:$A$34,1,1)</f>
        <v>3108.448355540982</v>
      </c>
      <c r="D57" s="44">
        <f>C57-_xlfn.FORECAST.ETS.CONFINT(A57,$B$2:$B$34,$A$2:$A$34,0.95,1,1)</f>
        <v>2190.836689847556</v>
      </c>
      <c r="E57" s="44">
        <f>C57+_xlfn.FORECAST.ETS.CONFINT(A57,$B$2:$B$34,$A$2:$A$34,0.95,1,1)</f>
        <v>4026.0600212344079</v>
      </c>
    </row>
    <row r="58" spans="1:5" x14ac:dyDescent="0.25">
      <c r="A58" s="35">
        <v>43943</v>
      </c>
      <c r="C58" s="44">
        <f>_xlfn.FORECAST.ETS(A58,$B$2:$B$34,$A$2:$A$34,1,1)</f>
        <v>3207.9807958213814</v>
      </c>
      <c r="D58" s="44">
        <f>C58-_xlfn.FORECAST.ETS.CONFINT(A58,$B$2:$B$34,$A$2:$A$34,0.95,1,1)</f>
        <v>2232.4966822645247</v>
      </c>
      <c r="E58" s="44">
        <f>C58+_xlfn.FORECAST.ETS.CONFINT(A58,$B$2:$B$34,$A$2:$A$34,0.95,1,1)</f>
        <v>4183.4649093782382</v>
      </c>
    </row>
    <row r="59" spans="1:5" x14ac:dyDescent="0.25">
      <c r="A59" s="35">
        <v>43944</v>
      </c>
      <c r="C59" s="44">
        <f>_xlfn.FORECAST.ETS(A59,$B$2:$B$34,$A$2:$A$34,1,1)</f>
        <v>3307.5132361017813</v>
      </c>
      <c r="D59" s="44">
        <f>C59-_xlfn.FORECAST.ETS.CONFINT(A59,$B$2:$B$34,$A$2:$A$34,0.95,1,1)</f>
        <v>2272.8908957036037</v>
      </c>
      <c r="E59" s="44">
        <f>C59+_xlfn.FORECAST.ETS.CONFINT(A59,$B$2:$B$34,$A$2:$A$34,0.95,1,1)</f>
        <v>4342.1355764999589</v>
      </c>
    </row>
    <row r="60" spans="1:5" x14ac:dyDescent="0.25">
      <c r="A60" s="35">
        <v>43945</v>
      </c>
      <c r="C60" s="44">
        <f>_xlfn.FORECAST.ETS(A60,$B$2:$B$34,$A$2:$A$34,1,1)</f>
        <v>3407.0456763821808</v>
      </c>
      <c r="D60" s="44">
        <f>C60-_xlfn.FORECAST.ETS.CONFINT(A60,$B$2:$B$34,$A$2:$A$34,0.95,1,1)</f>
        <v>2312.0508574997384</v>
      </c>
      <c r="E60" s="44">
        <f>C60+_xlfn.FORECAST.ETS.CONFINT(A60,$B$2:$B$34,$A$2:$A$34,0.95,1,1)</f>
        <v>4502.0404952646231</v>
      </c>
    </row>
    <row r="61" spans="1:5" x14ac:dyDescent="0.25">
      <c r="A61" s="35">
        <v>43946</v>
      </c>
      <c r="C61" s="44">
        <f>_xlfn.FORECAST.ETS(A61,$B$2:$B$34,$A$2:$A$34,1,1)</f>
        <v>3506.5781166625802</v>
      </c>
      <c r="D61" s="44">
        <f>C61-_xlfn.FORECAST.ETS.CONFINT(A61,$B$2:$B$34,$A$2:$A$34,0.95,1,1)</f>
        <v>2350.005531736706</v>
      </c>
      <c r="E61" s="44">
        <f>C61+_xlfn.FORECAST.ETS.CONFINT(A61,$B$2:$B$34,$A$2:$A$34,0.95,1,1)</f>
        <v>4663.1507015884545</v>
      </c>
    </row>
    <row r="62" spans="1:5" x14ac:dyDescent="0.25">
      <c r="A62" s="35">
        <v>43947</v>
      </c>
      <c r="C62" s="44">
        <f>_xlfn.FORECAST.ETS(A62,$B$2:$B$34,$A$2:$A$34,1,1)</f>
        <v>3606.1105569429801</v>
      </c>
      <c r="D62" s="44">
        <f>C62-_xlfn.FORECAST.ETS.CONFINT(A62,$B$2:$B$34,$A$2:$A$34,0.95,1,1)</f>
        <v>2386.7816637667693</v>
      </c>
      <c r="E62" s="44">
        <f>C62+_xlfn.FORECAST.ETS.CONFINT(A62,$B$2:$B$34,$A$2:$A$34,0.95,1,1)</f>
        <v>4825.439450119191</v>
      </c>
    </row>
    <row r="63" spans="1:5" x14ac:dyDescent="0.25">
      <c r="A63" s="35">
        <v>43948</v>
      </c>
      <c r="C63" s="44">
        <f>_xlfn.FORECAST.ETS(A63,$B$2:$B$34,$A$2:$A$34,1,1)</f>
        <v>3705.6429972233796</v>
      </c>
      <c r="D63" s="44">
        <f>C63-_xlfn.FORECAST.ETS.CONFINT(A63,$B$2:$B$34,$A$2:$A$34,0.95,1,1)</f>
        <v>2422.404063902251</v>
      </c>
      <c r="E63" s="44">
        <f>C63+_xlfn.FORECAST.ETS.CONFINT(A63,$B$2:$B$34,$A$2:$A$34,0.95,1,1)</f>
        <v>4988.8819305445086</v>
      </c>
    </row>
    <row r="64" spans="1:5" x14ac:dyDescent="0.25">
      <c r="A64" s="35">
        <v>43949</v>
      </c>
      <c r="C64" s="44">
        <f>_xlfn.FORECAST.ETS(A64,$B$2:$B$34,$A$2:$A$34,1,1)</f>
        <v>3805.175437503779</v>
      </c>
      <c r="D64" s="44">
        <f>C64-_xlfn.FORECAST.ETS.CONFINT(A64,$B$2:$B$34,$A$2:$A$34,0.95,1,1)</f>
        <v>2456.8958429879626</v>
      </c>
      <c r="E64" s="44">
        <f>C64+_xlfn.FORECAST.ETS.CONFINT(A64,$B$2:$B$34,$A$2:$A$34,0.95,1,1)</f>
        <v>5153.4550320195958</v>
      </c>
    </row>
    <row r="65" spans="1:5" x14ac:dyDescent="0.25">
      <c r="A65" s="35">
        <v>43950</v>
      </c>
      <c r="C65" s="44">
        <f>_xlfn.FORECAST.ETS(A65,$B$2:$B$34,$A$2:$A$34,1,1)</f>
        <v>3904.7078777841789</v>
      </c>
      <c r="D65" s="44">
        <f>C65-_xlfn.FORECAST.ETS.CONFINT(A65,$B$2:$B$34,$A$2:$A$34,0.95,1,1)</f>
        <v>2490.2786095847318</v>
      </c>
      <c r="E65" s="44">
        <f>C65+_xlfn.FORECAST.ETS.CONFINT(A65,$B$2:$B$34,$A$2:$A$34,0.95,1,1)</f>
        <v>5319.1371459836264</v>
      </c>
    </row>
    <row r="66" spans="1:5" x14ac:dyDescent="0.25">
      <c r="A66" s="35">
        <v>43951</v>
      </c>
      <c r="C66" s="44">
        <f>_xlfn.FORECAST.ETS(A66,$B$2:$B$34,$A$2:$A$34,1,1)</f>
        <v>4004.2403180645783</v>
      </c>
      <c r="D66" s="44">
        <f>C66-_xlfn.FORECAST.ETS.CONFINT(A66,$B$2:$B$34,$A$2:$A$34,0.95,1,1)</f>
        <v>2522.5726362746445</v>
      </c>
      <c r="E66" s="44">
        <f>C66+_xlfn.FORECAST.ETS.CONFINT(A66,$B$2:$B$34,$A$2:$A$34,0.95,1,1)</f>
        <v>5485.9079998545121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CA9E-42A9-4637-BA5A-5F8EFD96FD95}">
  <dimension ref="A1"/>
  <sheetViews>
    <sheetView workbookViewId="0">
      <selection activeCell="S17" sqref="S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27BE-9E30-476B-B050-C456CF349742}">
  <dimension ref="A1"/>
  <sheetViews>
    <sheetView workbookViewId="0">
      <selection activeCell="K27" sqref="K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FC48-1772-41D0-AA7B-D9F7A743284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4C25-93AC-42DC-B959-CB2908F2F8A8}">
  <dimension ref="A1:V35"/>
  <sheetViews>
    <sheetView workbookViewId="0">
      <selection activeCell="P14" sqref="P14"/>
    </sheetView>
  </sheetViews>
  <sheetFormatPr defaultRowHeight="15" x14ac:dyDescent="0.25"/>
  <cols>
    <col min="1" max="1" width="9.140625" style="74"/>
    <col min="2" max="4" width="9.140625" style="69"/>
    <col min="5" max="5" width="9.28515625" style="69" customWidth="1"/>
    <col min="6" max="6" width="9.140625" style="69"/>
    <col min="7" max="7" width="9.28515625" style="69" customWidth="1"/>
    <col min="8" max="10" width="9.140625" style="69"/>
    <col min="11" max="11" width="10" style="69" customWidth="1"/>
    <col min="12" max="12" width="9.85546875" style="69" customWidth="1"/>
    <col min="13" max="14" width="10" style="69" customWidth="1"/>
    <col min="15" max="15" width="9.85546875" style="69" customWidth="1"/>
    <col min="16" max="16" width="10" style="69" customWidth="1"/>
    <col min="17" max="17" width="9.5703125" style="69" customWidth="1"/>
    <col min="18" max="18" width="9.42578125" style="69" customWidth="1"/>
    <col min="19" max="19" width="9.5703125" style="69" customWidth="1"/>
    <col min="20" max="20" width="10.140625" style="69" customWidth="1"/>
    <col min="21" max="21" width="10" style="69" customWidth="1"/>
    <col min="22" max="22" width="10.140625" style="69" customWidth="1"/>
    <col min="23" max="16384" width="9.140625" style="74"/>
  </cols>
  <sheetData>
    <row r="1" spans="1:22" ht="15.75" thickBot="1" x14ac:dyDescent="0.3">
      <c r="A1" s="75" t="s">
        <v>0</v>
      </c>
      <c r="B1" s="69" t="s">
        <v>100</v>
      </c>
      <c r="C1" s="69" t="s">
        <v>101</v>
      </c>
      <c r="D1" s="69" t="s">
        <v>102</v>
      </c>
      <c r="E1" s="69" t="s">
        <v>103</v>
      </c>
      <c r="F1" s="69" t="s">
        <v>104</v>
      </c>
      <c r="G1" s="69" t="s">
        <v>105</v>
      </c>
      <c r="H1" s="69" t="s">
        <v>106</v>
      </c>
      <c r="I1" s="69" t="s">
        <v>107</v>
      </c>
      <c r="J1" s="69" t="s">
        <v>108</v>
      </c>
      <c r="K1" s="69" t="s">
        <v>109</v>
      </c>
      <c r="L1" s="69" t="s">
        <v>110</v>
      </c>
      <c r="M1" s="69" t="s">
        <v>111</v>
      </c>
      <c r="N1" s="69" t="s">
        <v>112</v>
      </c>
      <c r="O1" s="69" t="s">
        <v>113</v>
      </c>
      <c r="P1" s="69" t="s">
        <v>114</v>
      </c>
      <c r="Q1" s="69" t="s">
        <v>115</v>
      </c>
      <c r="R1" s="69" t="s">
        <v>116</v>
      </c>
      <c r="S1" s="69" t="s">
        <v>117</v>
      </c>
      <c r="T1" s="69" t="s">
        <v>118</v>
      </c>
      <c r="U1" s="69" t="s">
        <v>119</v>
      </c>
      <c r="V1" s="69" t="s">
        <v>120</v>
      </c>
    </row>
    <row r="2" spans="1:22" ht="15.75" thickBot="1" x14ac:dyDescent="0.3">
      <c r="A2" s="72">
        <v>43887</v>
      </c>
    </row>
    <row r="3" spans="1:22" ht="15.75" thickBot="1" x14ac:dyDescent="0.3">
      <c r="A3" s="11">
        <v>43888</v>
      </c>
    </row>
    <row r="4" spans="1:22" ht="15.75" thickBot="1" x14ac:dyDescent="0.3">
      <c r="A4" s="72">
        <v>43889</v>
      </c>
    </row>
    <row r="5" spans="1:22" ht="15.75" thickBot="1" x14ac:dyDescent="0.3">
      <c r="A5" s="11">
        <v>43890</v>
      </c>
    </row>
    <row r="6" spans="1:22" ht="15.75" thickBot="1" x14ac:dyDescent="0.3">
      <c r="A6" s="72">
        <v>43891</v>
      </c>
    </row>
    <row r="7" spans="1:22" ht="15.75" thickBot="1" x14ac:dyDescent="0.3">
      <c r="A7" s="11">
        <v>43892</v>
      </c>
    </row>
    <row r="8" spans="1:22" ht="15.75" thickBot="1" x14ac:dyDescent="0.3">
      <c r="A8" s="72">
        <v>43893</v>
      </c>
    </row>
    <row r="9" spans="1:22" ht="15.75" thickBot="1" x14ac:dyDescent="0.3">
      <c r="A9" s="11">
        <v>43894</v>
      </c>
    </row>
    <row r="10" spans="1:22" ht="15.75" thickBot="1" x14ac:dyDescent="0.3">
      <c r="A10" s="72">
        <v>43895</v>
      </c>
    </row>
    <row r="11" spans="1:22" ht="15.75" thickBot="1" x14ac:dyDescent="0.3">
      <c r="A11" s="11">
        <v>43896</v>
      </c>
    </row>
    <row r="12" spans="1:22" ht="15.75" thickBot="1" x14ac:dyDescent="0.3">
      <c r="A12" s="72">
        <v>43897</v>
      </c>
    </row>
    <row r="13" spans="1:22" ht="15.75" thickBot="1" x14ac:dyDescent="0.3">
      <c r="A13" s="11">
        <v>43898</v>
      </c>
    </row>
    <row r="14" spans="1:22" ht="15.75" thickBot="1" x14ac:dyDescent="0.3">
      <c r="A14" s="72">
        <v>43899</v>
      </c>
    </row>
    <row r="15" spans="1:22" ht="15.75" thickBot="1" x14ac:dyDescent="0.3">
      <c r="A15" s="11">
        <v>43900</v>
      </c>
    </row>
    <row r="16" spans="1:22" ht="15.75" thickBot="1" x14ac:dyDescent="0.3">
      <c r="A16" s="72">
        <v>43901</v>
      </c>
    </row>
    <row r="17" spans="1:22" ht="15.75" thickBot="1" x14ac:dyDescent="0.3">
      <c r="A17" s="11">
        <v>43902</v>
      </c>
    </row>
    <row r="18" spans="1:22" ht="15.75" thickBot="1" x14ac:dyDescent="0.3">
      <c r="A18" s="72">
        <v>43903</v>
      </c>
    </row>
    <row r="19" spans="1:22" ht="15.75" thickBot="1" x14ac:dyDescent="0.3">
      <c r="A19" s="11">
        <v>43904</v>
      </c>
    </row>
    <row r="20" spans="1:22" ht="15.75" thickBot="1" x14ac:dyDescent="0.3">
      <c r="A20" s="72">
        <v>43905</v>
      </c>
    </row>
    <row r="21" spans="1:22" ht="15.75" thickBot="1" x14ac:dyDescent="0.3">
      <c r="A21" s="11">
        <v>43906</v>
      </c>
    </row>
    <row r="22" spans="1:22" ht="15.75" thickBot="1" x14ac:dyDescent="0.3">
      <c r="A22" s="72">
        <v>43907</v>
      </c>
    </row>
    <row r="23" spans="1:22" ht="15.75" thickBot="1" x14ac:dyDescent="0.3">
      <c r="A23" s="11">
        <v>43908</v>
      </c>
    </row>
    <row r="24" spans="1:22" ht="15.75" thickBot="1" x14ac:dyDescent="0.3">
      <c r="A24" s="72">
        <v>43909</v>
      </c>
    </row>
    <row r="25" spans="1:22" ht="15.75" thickBot="1" x14ac:dyDescent="0.3">
      <c r="A25" s="11">
        <v>43910</v>
      </c>
    </row>
    <row r="26" spans="1:22" ht="15.75" thickBot="1" x14ac:dyDescent="0.3">
      <c r="A26" s="72">
        <v>43911</v>
      </c>
    </row>
    <row r="27" spans="1:22" ht="15.75" thickBot="1" x14ac:dyDescent="0.3">
      <c r="A27" s="11">
        <v>43912</v>
      </c>
    </row>
    <row r="28" spans="1:22" ht="15.75" thickBot="1" x14ac:dyDescent="0.3">
      <c r="A28" s="72">
        <v>43913</v>
      </c>
    </row>
    <row r="29" spans="1:22" ht="15.75" thickBot="1" x14ac:dyDescent="0.3">
      <c r="A29" s="11">
        <v>43914</v>
      </c>
    </row>
    <row r="30" spans="1:22" ht="15.75" thickBot="1" x14ac:dyDescent="0.3">
      <c r="A30" s="72">
        <v>43915</v>
      </c>
      <c r="B30" s="69">
        <v>1517</v>
      </c>
      <c r="C30" s="69">
        <v>20</v>
      </c>
      <c r="D30" s="69">
        <v>3</v>
      </c>
      <c r="E30" s="69">
        <v>365</v>
      </c>
      <c r="F30" s="69">
        <v>10</v>
      </c>
      <c r="G30" s="69">
        <v>8</v>
      </c>
      <c r="H30" s="69">
        <v>992</v>
      </c>
      <c r="I30" s="69">
        <v>12</v>
      </c>
      <c r="J30" s="69">
        <v>11</v>
      </c>
      <c r="K30" s="69">
        <v>12</v>
      </c>
      <c r="L30" s="69">
        <v>0</v>
      </c>
      <c r="M30" s="69">
        <v>0</v>
      </c>
      <c r="N30" s="69">
        <v>62</v>
      </c>
      <c r="O30" s="69">
        <v>1</v>
      </c>
      <c r="P30" s="69">
        <v>0</v>
      </c>
      <c r="Q30" s="69">
        <v>17</v>
      </c>
      <c r="R30" s="69">
        <v>0</v>
      </c>
      <c r="S30" s="69">
        <v>0</v>
      </c>
      <c r="T30" s="69">
        <v>16</v>
      </c>
      <c r="U30" s="69">
        <v>0</v>
      </c>
      <c r="V30" s="69">
        <v>0</v>
      </c>
    </row>
    <row r="31" spans="1:22" ht="15.75" thickBot="1" x14ac:dyDescent="0.3">
      <c r="A31" s="11">
        <v>43916</v>
      </c>
      <c r="B31" s="69">
        <v>1858</v>
      </c>
      <c r="C31" s="69">
        <v>28</v>
      </c>
      <c r="D31" s="69">
        <v>3</v>
      </c>
      <c r="E31" s="69">
        <v>435</v>
      </c>
      <c r="F31" s="69">
        <v>13</v>
      </c>
      <c r="G31" s="69">
        <v>8</v>
      </c>
      <c r="H31" s="69">
        <v>1082</v>
      </c>
      <c r="I31" s="69">
        <v>18</v>
      </c>
      <c r="J31" s="69">
        <v>11</v>
      </c>
      <c r="K31" s="69">
        <v>20</v>
      </c>
      <c r="L31" s="69">
        <v>0</v>
      </c>
      <c r="M31" s="69">
        <v>0</v>
      </c>
      <c r="N31" s="69">
        <v>89</v>
      </c>
      <c r="O31" s="69">
        <v>1</v>
      </c>
      <c r="P31" s="69">
        <v>1</v>
      </c>
      <c r="Q31" s="69">
        <v>24</v>
      </c>
      <c r="R31" s="69">
        <v>0</v>
      </c>
      <c r="S31" s="69">
        <v>0</v>
      </c>
      <c r="T31" s="69">
        <v>15</v>
      </c>
      <c r="U31" s="69">
        <v>0</v>
      </c>
      <c r="V31" s="69">
        <v>0</v>
      </c>
    </row>
    <row r="32" spans="1:22" ht="15.75" thickBot="1" x14ac:dyDescent="0.3">
      <c r="A32" s="72">
        <v>43917</v>
      </c>
      <c r="B32" s="69">
        <v>2443</v>
      </c>
      <c r="C32" s="69">
        <v>33</v>
      </c>
      <c r="D32" s="69">
        <v>16</v>
      </c>
      <c r="E32" s="69">
        <v>520</v>
      </c>
      <c r="F32" s="69">
        <v>18</v>
      </c>
      <c r="G32" s="69">
        <v>10</v>
      </c>
      <c r="H32" s="69">
        <v>1110</v>
      </c>
      <c r="I32" s="69">
        <v>24</v>
      </c>
      <c r="J32" s="69">
        <v>17</v>
      </c>
      <c r="K32" s="69">
        <v>30</v>
      </c>
      <c r="L32" s="69">
        <v>0</v>
      </c>
      <c r="M32" s="69">
        <v>0</v>
      </c>
      <c r="N32" s="69">
        <v>99</v>
      </c>
      <c r="O32" s="69">
        <v>1</v>
      </c>
      <c r="P32" s="69">
        <v>0</v>
      </c>
      <c r="Q32" s="69">
        <v>24</v>
      </c>
      <c r="R32" s="69">
        <v>0</v>
      </c>
      <c r="S32" s="69">
        <v>0</v>
      </c>
      <c r="T32" s="69">
        <v>21</v>
      </c>
      <c r="U32" s="69">
        <v>0</v>
      </c>
      <c r="V32" s="69">
        <v>0</v>
      </c>
    </row>
    <row r="33" spans="1:22" ht="15.75" thickBot="1" x14ac:dyDescent="0.3">
      <c r="A33" s="11">
        <v>43918</v>
      </c>
      <c r="B33" s="69">
        <v>3035</v>
      </c>
      <c r="C33" s="69">
        <v>44</v>
      </c>
      <c r="D33" s="69">
        <v>16</v>
      </c>
      <c r="E33" s="69">
        <v>647</v>
      </c>
      <c r="F33" s="69">
        <v>28</v>
      </c>
      <c r="G33" s="69">
        <v>10</v>
      </c>
      <c r="H33" s="69">
        <v>1287</v>
      </c>
      <c r="I33" s="69">
        <v>27</v>
      </c>
      <c r="J33" s="69">
        <v>17</v>
      </c>
      <c r="K33" s="69">
        <v>34</v>
      </c>
      <c r="L33" s="69">
        <v>0</v>
      </c>
      <c r="M33" s="69">
        <v>0</v>
      </c>
      <c r="N33" s="69">
        <v>106</v>
      </c>
      <c r="O33" s="69">
        <v>1</v>
      </c>
      <c r="P33" s="69">
        <v>0</v>
      </c>
      <c r="Q33" s="69">
        <v>30</v>
      </c>
      <c r="R33" s="69">
        <v>0</v>
      </c>
      <c r="S33" s="69">
        <v>0</v>
      </c>
      <c r="T33" s="69">
        <v>31</v>
      </c>
      <c r="U33" s="69">
        <v>0</v>
      </c>
      <c r="V33" s="69">
        <v>0</v>
      </c>
    </row>
    <row r="34" spans="1:22" ht="15.75" thickBot="1" x14ac:dyDescent="0.3">
      <c r="A34" s="72">
        <v>43919</v>
      </c>
      <c r="B34" s="69">
        <v>3550</v>
      </c>
      <c r="C34" s="69">
        <v>61</v>
      </c>
      <c r="D34" s="69">
        <v>16</v>
      </c>
      <c r="E34" s="69">
        <v>709</v>
      </c>
      <c r="F34" s="69">
        <v>28</v>
      </c>
      <c r="G34" s="69">
        <v>10</v>
      </c>
      <c r="H34" s="69">
        <v>1478</v>
      </c>
      <c r="I34" s="69">
        <v>28</v>
      </c>
      <c r="J34" s="69">
        <v>17</v>
      </c>
      <c r="K34" s="69">
        <v>41</v>
      </c>
      <c r="L34" s="69">
        <v>0</v>
      </c>
      <c r="M34" s="69">
        <v>0</v>
      </c>
      <c r="N34" s="69">
        <v>108</v>
      </c>
      <c r="O34" s="69">
        <v>2</v>
      </c>
      <c r="P34" s="69">
        <v>0</v>
      </c>
      <c r="Q34" s="69">
        <v>33</v>
      </c>
      <c r="R34" s="69">
        <v>0</v>
      </c>
      <c r="S34" s="69">
        <v>0</v>
      </c>
      <c r="T34" s="69">
        <v>43</v>
      </c>
      <c r="U34" s="69">
        <v>0</v>
      </c>
      <c r="V34" s="69">
        <v>0</v>
      </c>
    </row>
    <row r="35" spans="1:22" ht="15.75" thickBot="1" x14ac:dyDescent="0.3">
      <c r="A35" s="11">
        <v>43920</v>
      </c>
    </row>
  </sheetData>
  <conditionalFormatting sqref="E31 B31 H31 K31 N31 Q31 T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 E32 H32 K32 N32 Q32 T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 B33 H33 K33 N33 Q33 T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 E34 H34 K34 N34 Q34 T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 B30 H30 K30 N30 Q30 T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36E1-1BBD-40F5-9E1B-B42A6361CB79}">
  <dimension ref="A1:AE35"/>
  <sheetViews>
    <sheetView tabSelected="1" workbookViewId="0">
      <selection activeCell="U20" sqref="U20"/>
    </sheetView>
  </sheetViews>
  <sheetFormatPr defaultRowHeight="12.75" x14ac:dyDescent="0.25"/>
  <cols>
    <col min="1" max="1" width="9.140625" style="69"/>
    <col min="2" max="31" width="6.42578125" style="69" customWidth="1"/>
    <col min="32" max="16384" width="9.140625" style="69"/>
  </cols>
  <sheetData>
    <row r="1" spans="1:31" ht="13.5" thickBot="1" x14ac:dyDescent="0.3">
      <c r="A1" s="71" t="s">
        <v>0</v>
      </c>
      <c r="B1" s="73" t="s">
        <v>74</v>
      </c>
      <c r="C1" s="73" t="s">
        <v>75</v>
      </c>
      <c r="D1" s="73" t="s">
        <v>76</v>
      </c>
      <c r="E1" s="73" t="s">
        <v>77</v>
      </c>
      <c r="F1" s="73" t="s">
        <v>78</v>
      </c>
      <c r="G1" s="73" t="s">
        <v>79</v>
      </c>
      <c r="H1" s="73" t="s">
        <v>80</v>
      </c>
      <c r="I1" s="73" t="s">
        <v>81</v>
      </c>
      <c r="J1" s="73" t="s">
        <v>82</v>
      </c>
      <c r="K1" s="73" t="s">
        <v>83</v>
      </c>
      <c r="L1" s="73" t="s">
        <v>84</v>
      </c>
      <c r="M1" s="73" t="s">
        <v>85</v>
      </c>
      <c r="N1" s="73" t="s">
        <v>91</v>
      </c>
      <c r="O1" s="73" t="s">
        <v>86</v>
      </c>
      <c r="P1" s="73" t="s">
        <v>87</v>
      </c>
      <c r="Q1" s="73" t="s">
        <v>88</v>
      </c>
      <c r="R1" s="73" t="s">
        <v>89</v>
      </c>
      <c r="S1" s="73" t="s">
        <v>90</v>
      </c>
      <c r="T1" s="73" t="s">
        <v>92</v>
      </c>
      <c r="U1" s="69" t="s">
        <v>121</v>
      </c>
      <c r="V1" s="69" t="s">
        <v>122</v>
      </c>
      <c r="W1" s="69" t="s">
        <v>123</v>
      </c>
      <c r="X1" s="69" t="s">
        <v>124</v>
      </c>
      <c r="Y1" s="69" t="s">
        <v>125</v>
      </c>
      <c r="Z1" s="69" t="s">
        <v>126</v>
      </c>
      <c r="AA1" s="69" t="s">
        <v>127</v>
      </c>
      <c r="AB1" s="69" t="s">
        <v>128</v>
      </c>
      <c r="AC1" s="69" t="s">
        <v>129</v>
      </c>
      <c r="AD1" s="69" t="s">
        <v>130</v>
      </c>
      <c r="AE1" s="69" t="s">
        <v>131</v>
      </c>
    </row>
    <row r="2" spans="1:31" ht="13.5" thickBot="1" x14ac:dyDescent="0.3">
      <c r="A2" s="72">
        <v>43887</v>
      </c>
    </row>
    <row r="3" spans="1:31" ht="13.5" thickBot="1" x14ac:dyDescent="0.3">
      <c r="A3" s="11">
        <v>43888</v>
      </c>
    </row>
    <row r="4" spans="1:31" ht="13.5" thickBot="1" x14ac:dyDescent="0.3">
      <c r="A4" s="72">
        <v>43889</v>
      </c>
    </row>
    <row r="5" spans="1:31" ht="13.5" thickBot="1" x14ac:dyDescent="0.3">
      <c r="A5" s="11">
        <v>43890</v>
      </c>
    </row>
    <row r="6" spans="1:31" ht="13.5" thickBot="1" x14ac:dyDescent="0.3">
      <c r="A6" s="72">
        <v>43891</v>
      </c>
    </row>
    <row r="7" spans="1:31" ht="13.5" thickBot="1" x14ac:dyDescent="0.3">
      <c r="A7" s="11">
        <v>43892</v>
      </c>
    </row>
    <row r="8" spans="1:31" ht="13.5" thickBot="1" x14ac:dyDescent="0.3">
      <c r="A8" s="72">
        <v>43893</v>
      </c>
    </row>
    <row r="9" spans="1:31" ht="13.5" thickBot="1" x14ac:dyDescent="0.3">
      <c r="A9" s="11">
        <v>43894</v>
      </c>
    </row>
    <row r="10" spans="1:31" ht="13.5" thickBot="1" x14ac:dyDescent="0.3">
      <c r="A10" s="72">
        <v>43895</v>
      </c>
    </row>
    <row r="11" spans="1:31" ht="13.5" thickBot="1" x14ac:dyDescent="0.3">
      <c r="A11" s="11">
        <v>43896</v>
      </c>
    </row>
    <row r="12" spans="1:31" ht="13.5" thickBot="1" x14ac:dyDescent="0.3">
      <c r="A12" s="72">
        <v>43897</v>
      </c>
    </row>
    <row r="13" spans="1:31" ht="13.5" thickBot="1" x14ac:dyDescent="0.3">
      <c r="A13" s="11">
        <v>43898</v>
      </c>
    </row>
    <row r="14" spans="1:31" ht="13.5" thickBot="1" x14ac:dyDescent="0.3">
      <c r="A14" s="72">
        <v>43899</v>
      </c>
    </row>
    <row r="15" spans="1:31" ht="13.5" thickBot="1" x14ac:dyDescent="0.3">
      <c r="A15" s="11">
        <v>43900</v>
      </c>
    </row>
    <row r="16" spans="1:31" ht="13.5" thickBot="1" x14ac:dyDescent="0.3">
      <c r="A16" s="72">
        <v>43901</v>
      </c>
    </row>
    <row r="17" spans="1:31" ht="13.5" thickBot="1" x14ac:dyDescent="0.3">
      <c r="A17" s="11">
        <v>43902</v>
      </c>
    </row>
    <row r="18" spans="1:31" ht="13.5" thickBot="1" x14ac:dyDescent="0.3">
      <c r="A18" s="72">
        <v>43903</v>
      </c>
    </row>
    <row r="19" spans="1:31" ht="13.5" thickBot="1" x14ac:dyDescent="0.3">
      <c r="A19" s="11">
        <v>43904</v>
      </c>
    </row>
    <row r="20" spans="1:31" ht="13.5" thickBot="1" x14ac:dyDescent="0.3">
      <c r="A20" s="72">
        <v>43905</v>
      </c>
    </row>
    <row r="21" spans="1:31" ht="13.5" thickBot="1" x14ac:dyDescent="0.3">
      <c r="A21" s="11">
        <v>43906</v>
      </c>
    </row>
    <row r="22" spans="1:31" ht="13.5" thickBot="1" x14ac:dyDescent="0.3">
      <c r="A22" s="72">
        <v>43907</v>
      </c>
    </row>
    <row r="23" spans="1:31" ht="13.5" thickBot="1" x14ac:dyDescent="0.3">
      <c r="A23" s="11">
        <v>43908</v>
      </c>
    </row>
    <row r="24" spans="1:31" ht="13.5" thickBot="1" x14ac:dyDescent="0.3">
      <c r="A24" s="72">
        <v>43909</v>
      </c>
    </row>
    <row r="25" spans="1:31" ht="13.5" thickBot="1" x14ac:dyDescent="0.3">
      <c r="A25" s="11">
        <v>43910</v>
      </c>
    </row>
    <row r="26" spans="1:31" ht="13.5" thickBot="1" x14ac:dyDescent="0.3">
      <c r="A26" s="72">
        <v>43911</v>
      </c>
    </row>
    <row r="27" spans="1:31" ht="13.5" thickBot="1" x14ac:dyDescent="0.3">
      <c r="A27" s="11">
        <v>43912</v>
      </c>
    </row>
    <row r="28" spans="1:31" ht="13.5" thickBot="1" x14ac:dyDescent="0.3">
      <c r="A28" s="72">
        <v>43913</v>
      </c>
    </row>
    <row r="29" spans="1:31" ht="13.5" thickBot="1" x14ac:dyDescent="0.3">
      <c r="A29" s="11">
        <v>43914</v>
      </c>
    </row>
    <row r="30" spans="1:31" ht="13.5" thickBot="1" x14ac:dyDescent="0.3">
      <c r="A30" s="72">
        <v>43915</v>
      </c>
      <c r="B30" s="69">
        <v>13</v>
      </c>
      <c r="C30" s="69">
        <v>21</v>
      </c>
      <c r="D30" s="69">
        <v>35</v>
      </c>
      <c r="E30" s="69">
        <v>42</v>
      </c>
      <c r="F30" s="69">
        <v>157</v>
      </c>
      <c r="G30" s="69">
        <v>191</v>
      </c>
      <c r="H30" s="69">
        <v>230</v>
      </c>
      <c r="I30" s="69">
        <v>260</v>
      </c>
      <c r="J30" s="69">
        <v>272</v>
      </c>
      <c r="K30" s="69">
        <v>279</v>
      </c>
      <c r="L30" s="69">
        <v>252</v>
      </c>
      <c r="M30" s="69">
        <v>283</v>
      </c>
      <c r="N30" s="69">
        <v>198</v>
      </c>
      <c r="O30" s="69">
        <v>226</v>
      </c>
      <c r="P30" s="69">
        <v>142</v>
      </c>
      <c r="Q30" s="69">
        <v>134</v>
      </c>
      <c r="R30" s="69">
        <v>110</v>
      </c>
      <c r="S30" s="69">
        <v>150</v>
      </c>
      <c r="T30" s="69">
        <f>SUM(B30:S30)</f>
        <v>2995</v>
      </c>
      <c r="U30" s="69">
        <f t="shared" ref="U30" si="0">B30+D30+F30+H30+J30+L30+N30+P30+R30</f>
        <v>1409</v>
      </c>
      <c r="V30" s="69">
        <f t="shared" ref="V30" si="1">C30+E30+G30+I30+K30+M30+O30+Q30+S30</f>
        <v>1586</v>
      </c>
      <c r="W30" s="69">
        <f t="shared" ref="W30" si="2">B30+C30</f>
        <v>34</v>
      </c>
      <c r="X30" s="69">
        <f t="shared" ref="X30" si="3">D30+E30</f>
        <v>77</v>
      </c>
      <c r="Y30" s="69">
        <f t="shared" ref="Y30" si="4">F30+G30</f>
        <v>348</v>
      </c>
      <c r="Z30" s="69">
        <f t="shared" ref="Z30" si="5">H30+I30</f>
        <v>490</v>
      </c>
      <c r="AA30" s="69">
        <f t="shared" ref="AA30" si="6">J30+K30</f>
        <v>551</v>
      </c>
      <c r="AB30" s="69">
        <f t="shared" ref="AB30" si="7">L30+M30</f>
        <v>535</v>
      </c>
      <c r="AC30" s="69">
        <f t="shared" ref="AC30" si="8">N30+O30</f>
        <v>424</v>
      </c>
      <c r="AD30" s="69">
        <f t="shared" ref="AD30" si="9">P30+Q30</f>
        <v>276</v>
      </c>
      <c r="AE30" s="69">
        <f t="shared" ref="AE30" si="10">R30+S30</f>
        <v>260</v>
      </c>
    </row>
    <row r="31" spans="1:31" ht="13.5" thickBot="1" x14ac:dyDescent="0.3">
      <c r="A31" s="11">
        <v>43916</v>
      </c>
      <c r="B31" s="69">
        <v>14</v>
      </c>
      <c r="C31" s="69">
        <v>29</v>
      </c>
      <c r="D31" s="69">
        <v>49</v>
      </c>
      <c r="E31" s="69">
        <v>51</v>
      </c>
      <c r="F31" s="69">
        <v>166</v>
      </c>
      <c r="G31" s="69">
        <v>234</v>
      </c>
      <c r="H31" s="69">
        <v>268</v>
      </c>
      <c r="I31" s="69">
        <v>310</v>
      </c>
      <c r="J31" s="69">
        <v>304</v>
      </c>
      <c r="K31" s="69">
        <v>367</v>
      </c>
      <c r="L31" s="69">
        <v>277</v>
      </c>
      <c r="M31" s="69">
        <v>360</v>
      </c>
      <c r="N31" s="69">
        <v>255</v>
      </c>
      <c r="O31" s="69">
        <v>229</v>
      </c>
      <c r="P31" s="69">
        <v>184</v>
      </c>
      <c r="Q31" s="69">
        <v>133</v>
      </c>
      <c r="R31" s="69">
        <v>128</v>
      </c>
      <c r="S31" s="69">
        <v>186</v>
      </c>
      <c r="T31" s="69">
        <f>SUM(B31:S31)</f>
        <v>3544</v>
      </c>
      <c r="U31" s="69">
        <f t="shared" ref="U31:U33" si="11">B31+D31+F31+H31+J31+L31+N31+P31+R31</f>
        <v>1645</v>
      </c>
      <c r="V31" s="69">
        <f t="shared" ref="V31:V33" si="12">C31+E31+G31+I31+K31+M31+O31+Q31+S31</f>
        <v>1899</v>
      </c>
      <c r="W31" s="69">
        <f t="shared" ref="W31:W33" si="13">B31+C31</f>
        <v>43</v>
      </c>
      <c r="X31" s="69">
        <f t="shared" ref="X31:X33" si="14">D31+E31</f>
        <v>100</v>
      </c>
      <c r="Y31" s="69">
        <f t="shared" ref="Y31:Y33" si="15">F31+G31</f>
        <v>400</v>
      </c>
      <c r="Z31" s="69">
        <f t="shared" ref="Z31:Z33" si="16">H31+I31</f>
        <v>578</v>
      </c>
      <c r="AA31" s="69">
        <f t="shared" ref="AA31:AA33" si="17">J31+K31</f>
        <v>671</v>
      </c>
      <c r="AB31" s="69">
        <f t="shared" ref="AB31:AB33" si="18">L31+M31</f>
        <v>637</v>
      </c>
      <c r="AC31" s="69">
        <f t="shared" ref="AC31:AC33" si="19">N31+O31</f>
        <v>484</v>
      </c>
      <c r="AD31" s="69">
        <f t="shared" ref="AD31:AD33" si="20">P31+Q31</f>
        <v>317</v>
      </c>
      <c r="AE31" s="69">
        <f t="shared" ref="AE31:AE33" si="21">R31+S31</f>
        <v>314</v>
      </c>
    </row>
    <row r="32" spans="1:31" ht="13.5" thickBot="1" x14ac:dyDescent="0.3">
      <c r="A32" s="72">
        <v>43917</v>
      </c>
      <c r="B32" s="69">
        <v>19</v>
      </c>
      <c r="C32" s="69">
        <v>30</v>
      </c>
      <c r="D32" s="69">
        <v>50</v>
      </c>
      <c r="E32" s="69">
        <v>54</v>
      </c>
      <c r="F32" s="69">
        <v>179</v>
      </c>
      <c r="G32" s="69">
        <v>254</v>
      </c>
      <c r="H32" s="69">
        <v>307</v>
      </c>
      <c r="I32" s="69">
        <v>364</v>
      </c>
      <c r="J32" s="69">
        <v>359</v>
      </c>
      <c r="K32" s="69">
        <v>462</v>
      </c>
      <c r="L32" s="69">
        <v>346</v>
      </c>
      <c r="M32" s="69">
        <v>429</v>
      </c>
      <c r="N32" s="69">
        <v>319</v>
      </c>
      <c r="O32" s="69">
        <v>294</v>
      </c>
      <c r="P32" s="69">
        <v>236</v>
      </c>
      <c r="Q32" s="69">
        <v>179</v>
      </c>
      <c r="R32" s="69">
        <v>161</v>
      </c>
      <c r="S32" s="69">
        <v>222</v>
      </c>
      <c r="T32" s="69">
        <f>SUM(B32:S32)</f>
        <v>4264</v>
      </c>
      <c r="U32" s="69">
        <f t="shared" si="11"/>
        <v>1976</v>
      </c>
      <c r="V32" s="69">
        <f t="shared" si="12"/>
        <v>2288</v>
      </c>
      <c r="W32" s="69">
        <f t="shared" si="13"/>
        <v>49</v>
      </c>
      <c r="X32" s="69">
        <f t="shared" si="14"/>
        <v>104</v>
      </c>
      <c r="Y32" s="69">
        <f t="shared" si="15"/>
        <v>433</v>
      </c>
      <c r="Z32" s="69">
        <f t="shared" si="16"/>
        <v>671</v>
      </c>
      <c r="AA32" s="69">
        <f t="shared" si="17"/>
        <v>821</v>
      </c>
      <c r="AB32" s="69">
        <f t="shared" si="18"/>
        <v>775</v>
      </c>
      <c r="AC32" s="69">
        <f t="shared" si="19"/>
        <v>613</v>
      </c>
      <c r="AD32" s="69">
        <f t="shared" si="20"/>
        <v>415</v>
      </c>
      <c r="AE32" s="69">
        <f t="shared" si="21"/>
        <v>383</v>
      </c>
    </row>
    <row r="33" spans="1:31" ht="13.5" thickBot="1" x14ac:dyDescent="0.3">
      <c r="A33" s="11">
        <v>43918</v>
      </c>
      <c r="B33" s="69">
        <v>22</v>
      </c>
      <c r="C33" s="69">
        <v>34</v>
      </c>
      <c r="D33" s="69">
        <v>56</v>
      </c>
      <c r="E33" s="69">
        <v>67</v>
      </c>
      <c r="F33" s="69">
        <v>216</v>
      </c>
      <c r="G33" s="69">
        <v>302</v>
      </c>
      <c r="H33" s="69">
        <v>362</v>
      </c>
      <c r="I33" s="69">
        <v>439</v>
      </c>
      <c r="J33" s="69">
        <v>434</v>
      </c>
      <c r="K33" s="69">
        <v>568</v>
      </c>
      <c r="L33" s="69">
        <v>398</v>
      </c>
      <c r="M33" s="69">
        <v>533</v>
      </c>
      <c r="N33" s="69">
        <v>377</v>
      </c>
      <c r="O33" s="69">
        <v>359</v>
      </c>
      <c r="P33" s="69">
        <v>286</v>
      </c>
      <c r="Q33" s="69">
        <v>224</v>
      </c>
      <c r="R33" s="69">
        <v>208</v>
      </c>
      <c r="S33" s="69">
        <v>285</v>
      </c>
      <c r="T33" s="69">
        <f>SUM(B33:S33)</f>
        <v>5170</v>
      </c>
      <c r="U33" s="69">
        <f t="shared" si="11"/>
        <v>2359</v>
      </c>
      <c r="V33" s="69">
        <f t="shared" si="12"/>
        <v>2811</v>
      </c>
      <c r="W33" s="69">
        <f t="shared" si="13"/>
        <v>56</v>
      </c>
      <c r="X33" s="69">
        <f t="shared" si="14"/>
        <v>123</v>
      </c>
      <c r="Y33" s="69">
        <f t="shared" si="15"/>
        <v>518</v>
      </c>
      <c r="Z33" s="69">
        <f t="shared" si="16"/>
        <v>801</v>
      </c>
      <c r="AA33" s="69">
        <f t="shared" si="17"/>
        <v>1002</v>
      </c>
      <c r="AB33" s="69">
        <f t="shared" si="18"/>
        <v>931</v>
      </c>
      <c r="AC33" s="69">
        <f t="shared" si="19"/>
        <v>736</v>
      </c>
      <c r="AD33" s="69">
        <f t="shared" si="20"/>
        <v>510</v>
      </c>
      <c r="AE33" s="69">
        <f t="shared" si="21"/>
        <v>493</v>
      </c>
    </row>
    <row r="34" spans="1:31" ht="13.5" thickBot="1" x14ac:dyDescent="0.3">
      <c r="A34" s="72">
        <v>43919</v>
      </c>
      <c r="B34" s="69">
        <v>24</v>
      </c>
      <c r="C34" s="69">
        <v>40</v>
      </c>
      <c r="D34" s="69">
        <v>63</v>
      </c>
      <c r="E34" s="69">
        <v>75</v>
      </c>
      <c r="F34" s="69">
        <v>241</v>
      </c>
      <c r="G34" s="69">
        <v>347</v>
      </c>
      <c r="H34" s="69">
        <v>407</v>
      </c>
      <c r="I34" s="69">
        <v>495</v>
      </c>
      <c r="J34" s="69">
        <v>482</v>
      </c>
      <c r="K34" s="69">
        <v>664</v>
      </c>
      <c r="L34" s="69">
        <v>469</v>
      </c>
      <c r="M34" s="69">
        <v>615</v>
      </c>
      <c r="N34" s="69">
        <v>438</v>
      </c>
      <c r="O34" s="69">
        <v>412</v>
      </c>
      <c r="P34" s="69">
        <v>336</v>
      </c>
      <c r="Q34" s="69">
        <v>275</v>
      </c>
      <c r="R34" s="69">
        <v>245</v>
      </c>
      <c r="S34" s="69">
        <v>334</v>
      </c>
      <c r="T34" s="69">
        <f>SUM(B34:S34)</f>
        <v>5962</v>
      </c>
      <c r="U34" s="69">
        <f>B34+D34+F34+H34+J34+L34+N34+P34+R34</f>
        <v>2705</v>
      </c>
      <c r="V34" s="69">
        <f>C34+E34+G34+I34+K34+M34+O34+Q34+S34</f>
        <v>3257</v>
      </c>
      <c r="W34" s="69">
        <f>B34+C34</f>
        <v>64</v>
      </c>
      <c r="X34" s="69">
        <f>D34+E34</f>
        <v>138</v>
      </c>
      <c r="Y34" s="69">
        <f>F34+G34</f>
        <v>588</v>
      </c>
      <c r="Z34" s="69">
        <f>H34+I34</f>
        <v>902</v>
      </c>
      <c r="AA34" s="69">
        <f>J34+K34</f>
        <v>1146</v>
      </c>
      <c r="AB34" s="69">
        <f>L34+M34</f>
        <v>1084</v>
      </c>
      <c r="AC34" s="69">
        <f>N34+O34</f>
        <v>850</v>
      </c>
      <c r="AD34" s="69">
        <f>P34+Q34</f>
        <v>611</v>
      </c>
      <c r="AE34" s="69">
        <f>R34+S34</f>
        <v>579</v>
      </c>
    </row>
    <row r="35" spans="1:31" ht="13.5" thickBot="1" x14ac:dyDescent="0.3">
      <c r="A35" s="11">
        <v>43920</v>
      </c>
    </row>
  </sheetData>
  <conditionalFormatting sqref="B31:S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S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S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E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AE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E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:AE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:AE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S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D65A-D475-494E-B2EC-834B1B8E2F4F}">
  <dimension ref="A1:H35"/>
  <sheetViews>
    <sheetView workbookViewId="0">
      <selection activeCell="M21" sqref="M21"/>
    </sheetView>
  </sheetViews>
  <sheetFormatPr defaultRowHeight="12.75" x14ac:dyDescent="0.25"/>
  <cols>
    <col min="1" max="1" width="8.42578125" style="69" bestFit="1" customWidth="1"/>
    <col min="2" max="3" width="9.140625" style="69"/>
    <col min="4" max="4" width="17" style="69" customWidth="1"/>
    <col min="5" max="5" width="9.140625" style="69"/>
    <col min="6" max="6" width="11" style="69" customWidth="1"/>
    <col min="7" max="7" width="9.5703125" style="69" customWidth="1"/>
    <col min="8" max="16384" width="9.140625" style="69"/>
  </cols>
  <sheetData>
    <row r="1" spans="1:8" ht="13.5" thickBot="1" x14ac:dyDescent="0.3">
      <c r="A1" s="2" t="s">
        <v>0</v>
      </c>
      <c r="B1" s="68" t="s">
        <v>93</v>
      </c>
      <c r="C1" s="68" t="s">
        <v>94</v>
      </c>
      <c r="D1" s="68" t="s">
        <v>95</v>
      </c>
      <c r="E1" s="68" t="s">
        <v>96</v>
      </c>
      <c r="F1" s="68" t="s">
        <v>97</v>
      </c>
      <c r="G1" s="68" t="s">
        <v>98</v>
      </c>
      <c r="H1" s="68" t="s">
        <v>99</v>
      </c>
    </row>
    <row r="2" spans="1:8" ht="13.5" thickBot="1" x14ac:dyDescent="0.3">
      <c r="A2" s="11">
        <v>43887</v>
      </c>
      <c r="B2" s="70"/>
      <c r="C2" s="70"/>
      <c r="D2" s="70"/>
      <c r="E2" s="70"/>
      <c r="F2" s="70"/>
      <c r="G2" s="70"/>
      <c r="H2" s="70"/>
    </row>
    <row r="3" spans="1:8" ht="13.5" thickBot="1" x14ac:dyDescent="0.3">
      <c r="A3" s="11">
        <v>43888</v>
      </c>
      <c r="B3" s="70"/>
      <c r="C3" s="70"/>
      <c r="D3" s="70"/>
      <c r="E3" s="70"/>
      <c r="F3" s="70"/>
      <c r="G3" s="70"/>
      <c r="H3" s="70"/>
    </row>
    <row r="4" spans="1:8" ht="13.5" thickBot="1" x14ac:dyDescent="0.3">
      <c r="A4" s="11">
        <v>43889</v>
      </c>
      <c r="B4" s="70"/>
      <c r="C4" s="70"/>
      <c r="D4" s="70"/>
      <c r="E4" s="70"/>
      <c r="F4" s="70"/>
      <c r="G4" s="70"/>
      <c r="H4" s="70"/>
    </row>
    <row r="5" spans="1:8" ht="13.5" thickBot="1" x14ac:dyDescent="0.3">
      <c r="A5" s="11">
        <v>43890</v>
      </c>
      <c r="B5" s="70"/>
      <c r="C5" s="70"/>
      <c r="D5" s="70"/>
      <c r="E5" s="70"/>
      <c r="F5" s="70"/>
      <c r="G5" s="70"/>
      <c r="H5" s="70"/>
    </row>
    <row r="6" spans="1:8" ht="13.5" thickBot="1" x14ac:dyDescent="0.3">
      <c r="A6" s="11">
        <v>43891</v>
      </c>
      <c r="B6" s="70"/>
      <c r="C6" s="70"/>
      <c r="D6" s="70"/>
      <c r="E6" s="70"/>
      <c r="F6" s="70"/>
      <c r="G6" s="70"/>
      <c r="H6" s="70"/>
    </row>
    <row r="7" spans="1:8" ht="13.5" thickBot="1" x14ac:dyDescent="0.3">
      <c r="A7" s="11">
        <v>43892</v>
      </c>
      <c r="B7" s="70"/>
      <c r="C7" s="70"/>
      <c r="D7" s="70"/>
      <c r="E7" s="70"/>
      <c r="F7" s="70"/>
      <c r="G7" s="70"/>
      <c r="H7" s="70"/>
    </row>
    <row r="8" spans="1:8" ht="13.5" thickBot="1" x14ac:dyDescent="0.3">
      <c r="A8" s="11">
        <v>43893</v>
      </c>
      <c r="B8" s="70"/>
      <c r="C8" s="70"/>
      <c r="D8" s="70"/>
      <c r="E8" s="70"/>
      <c r="F8" s="70"/>
      <c r="G8" s="70"/>
      <c r="H8" s="70"/>
    </row>
    <row r="9" spans="1:8" ht="13.5" thickBot="1" x14ac:dyDescent="0.3">
      <c r="A9" s="11">
        <v>43894</v>
      </c>
      <c r="B9" s="70"/>
      <c r="C9" s="70"/>
      <c r="D9" s="70"/>
      <c r="E9" s="70"/>
      <c r="F9" s="70"/>
      <c r="G9" s="70"/>
      <c r="H9" s="70"/>
    </row>
    <row r="10" spans="1:8" ht="13.5" thickBot="1" x14ac:dyDescent="0.3">
      <c r="A10" s="11">
        <v>43895</v>
      </c>
      <c r="B10" s="70"/>
      <c r="C10" s="70"/>
      <c r="D10" s="70"/>
      <c r="E10" s="70"/>
      <c r="F10" s="70"/>
      <c r="G10" s="70"/>
      <c r="H10" s="70"/>
    </row>
    <row r="11" spans="1:8" ht="13.5" thickBot="1" x14ac:dyDescent="0.3">
      <c r="A11" s="11">
        <v>43896</v>
      </c>
      <c r="B11" s="70"/>
      <c r="C11" s="70"/>
      <c r="D11" s="70"/>
      <c r="E11" s="70"/>
      <c r="F11" s="70"/>
      <c r="G11" s="70"/>
      <c r="H11" s="70"/>
    </row>
    <row r="12" spans="1:8" ht="13.5" thickBot="1" x14ac:dyDescent="0.3">
      <c r="A12" s="11">
        <v>43897</v>
      </c>
      <c r="B12" s="70"/>
      <c r="C12" s="70"/>
      <c r="D12" s="70"/>
      <c r="E12" s="70"/>
      <c r="F12" s="70"/>
      <c r="G12" s="70"/>
      <c r="H12" s="70"/>
    </row>
    <row r="13" spans="1:8" ht="13.5" thickBot="1" x14ac:dyDescent="0.3">
      <c r="A13" s="11">
        <v>43898</v>
      </c>
      <c r="B13" s="70"/>
      <c r="C13" s="70"/>
      <c r="D13" s="70"/>
      <c r="E13" s="70"/>
      <c r="F13" s="70"/>
      <c r="G13" s="70"/>
      <c r="H13" s="70"/>
    </row>
    <row r="14" spans="1:8" ht="13.5" thickBot="1" x14ac:dyDescent="0.3">
      <c r="A14" s="11">
        <v>43899</v>
      </c>
      <c r="B14" s="70"/>
      <c r="C14" s="70"/>
      <c r="D14" s="70"/>
      <c r="E14" s="70"/>
      <c r="F14" s="70"/>
      <c r="G14" s="70"/>
      <c r="H14" s="70"/>
    </row>
    <row r="15" spans="1:8" ht="13.5" thickBot="1" x14ac:dyDescent="0.3">
      <c r="A15" s="11">
        <v>43900</v>
      </c>
      <c r="B15" s="70"/>
      <c r="C15" s="70"/>
      <c r="D15" s="70"/>
      <c r="E15" s="70"/>
      <c r="F15" s="70"/>
      <c r="G15" s="70"/>
      <c r="H15" s="70"/>
    </row>
    <row r="16" spans="1:8" ht="13.5" thickBot="1" x14ac:dyDescent="0.3">
      <c r="A16" s="11">
        <v>43901</v>
      </c>
      <c r="B16" s="70"/>
      <c r="C16" s="70"/>
      <c r="D16" s="70"/>
      <c r="E16" s="70"/>
      <c r="F16" s="70"/>
      <c r="G16" s="70"/>
      <c r="H16" s="70"/>
    </row>
    <row r="17" spans="1:8" ht="13.5" thickBot="1" x14ac:dyDescent="0.3">
      <c r="A17" s="11">
        <v>43902</v>
      </c>
      <c r="B17" s="70"/>
      <c r="C17" s="70"/>
      <c r="D17" s="70"/>
      <c r="E17" s="70"/>
      <c r="F17" s="70"/>
      <c r="G17" s="70"/>
      <c r="H17" s="70"/>
    </row>
    <row r="18" spans="1:8" ht="13.5" thickBot="1" x14ac:dyDescent="0.3">
      <c r="A18" s="11">
        <v>43903</v>
      </c>
      <c r="B18" s="70"/>
      <c r="C18" s="70"/>
      <c r="D18" s="70"/>
      <c r="E18" s="70"/>
      <c r="F18" s="70"/>
      <c r="G18" s="70"/>
      <c r="H18" s="70"/>
    </row>
    <row r="19" spans="1:8" ht="13.5" thickBot="1" x14ac:dyDescent="0.3">
      <c r="A19" s="11">
        <v>43904</v>
      </c>
      <c r="B19" s="70"/>
      <c r="C19" s="70"/>
      <c r="D19" s="70"/>
      <c r="E19" s="70"/>
      <c r="F19" s="70"/>
      <c r="G19" s="70"/>
      <c r="H19" s="70"/>
    </row>
    <row r="20" spans="1:8" ht="13.5" thickBot="1" x14ac:dyDescent="0.3">
      <c r="A20" s="11">
        <v>43905</v>
      </c>
      <c r="B20" s="70"/>
      <c r="C20" s="70"/>
      <c r="D20" s="70"/>
      <c r="E20" s="70"/>
      <c r="F20" s="70"/>
      <c r="G20" s="70"/>
      <c r="H20" s="70"/>
    </row>
    <row r="21" spans="1:8" ht="13.5" thickBot="1" x14ac:dyDescent="0.3">
      <c r="A21" s="11">
        <v>43906</v>
      </c>
      <c r="B21" s="70"/>
      <c r="C21" s="70"/>
      <c r="D21" s="70"/>
      <c r="E21" s="70"/>
      <c r="F21" s="70"/>
      <c r="G21" s="70"/>
      <c r="H21" s="70"/>
    </row>
    <row r="22" spans="1:8" ht="13.5" thickBot="1" x14ac:dyDescent="0.3">
      <c r="A22" s="11">
        <v>43907</v>
      </c>
      <c r="B22" s="70"/>
      <c r="C22" s="70"/>
      <c r="D22" s="70"/>
      <c r="E22" s="70"/>
      <c r="F22" s="70"/>
      <c r="G22" s="70"/>
      <c r="H22" s="70"/>
    </row>
    <row r="23" spans="1:8" ht="13.5" thickBot="1" x14ac:dyDescent="0.3">
      <c r="A23" s="11">
        <v>43908</v>
      </c>
      <c r="B23" s="70"/>
      <c r="C23" s="70"/>
      <c r="D23" s="70"/>
      <c r="E23" s="70"/>
      <c r="F23" s="70"/>
      <c r="G23" s="70"/>
      <c r="H23" s="70"/>
    </row>
    <row r="24" spans="1:8" ht="13.5" thickBot="1" x14ac:dyDescent="0.3">
      <c r="A24" s="11">
        <v>43909</v>
      </c>
      <c r="B24" s="70"/>
      <c r="C24" s="70"/>
      <c r="D24" s="70"/>
      <c r="E24" s="70"/>
      <c r="F24" s="70"/>
      <c r="G24" s="70"/>
      <c r="H24" s="70"/>
    </row>
    <row r="25" spans="1:8" ht="13.5" thickBot="1" x14ac:dyDescent="0.3">
      <c r="A25" s="11">
        <v>43910</v>
      </c>
      <c r="B25" s="70"/>
      <c r="C25" s="70"/>
      <c r="D25" s="70"/>
      <c r="E25" s="70"/>
      <c r="F25" s="70"/>
      <c r="G25" s="70"/>
      <c r="H25" s="70"/>
    </row>
    <row r="26" spans="1:8" ht="13.5" thickBot="1" x14ac:dyDescent="0.3">
      <c r="A26" s="11">
        <v>43911</v>
      </c>
      <c r="B26" s="70"/>
      <c r="C26" s="70"/>
      <c r="D26" s="70"/>
      <c r="E26" s="70"/>
      <c r="F26" s="70"/>
      <c r="G26" s="70"/>
      <c r="H26" s="70"/>
    </row>
    <row r="27" spans="1:8" ht="13.5" thickBot="1" x14ac:dyDescent="0.3">
      <c r="A27" s="11">
        <v>43912</v>
      </c>
      <c r="B27" s="70"/>
      <c r="C27" s="70"/>
      <c r="D27" s="70"/>
      <c r="E27" s="70"/>
      <c r="F27" s="70"/>
      <c r="G27" s="70"/>
      <c r="H27" s="70"/>
    </row>
    <row r="28" spans="1:8" ht="13.5" thickBot="1" x14ac:dyDescent="0.3">
      <c r="A28" s="11">
        <v>43913</v>
      </c>
      <c r="B28" s="70"/>
      <c r="C28" s="70"/>
      <c r="D28" s="70"/>
      <c r="E28" s="70"/>
      <c r="F28" s="70"/>
      <c r="G28" s="70"/>
      <c r="H28" s="70"/>
    </row>
    <row r="29" spans="1:8" ht="13.5" thickBot="1" x14ac:dyDescent="0.3">
      <c r="A29" s="11">
        <v>43914</v>
      </c>
      <c r="B29" s="70"/>
      <c r="C29" s="70"/>
      <c r="D29" s="70"/>
      <c r="E29" s="70"/>
      <c r="F29" s="70"/>
      <c r="G29" s="70"/>
      <c r="H29" s="70"/>
    </row>
    <row r="30" spans="1:8" ht="13.5" thickBot="1" x14ac:dyDescent="0.3">
      <c r="A30" s="11">
        <v>43915</v>
      </c>
      <c r="B30" s="70"/>
      <c r="C30" s="70"/>
      <c r="D30" s="70"/>
      <c r="E30" s="70"/>
      <c r="F30" s="70"/>
      <c r="G30" s="70"/>
      <c r="H30" s="70"/>
    </row>
    <row r="31" spans="1:8" ht="13.5" thickBot="1" x14ac:dyDescent="0.3">
      <c r="A31" s="11">
        <v>43916</v>
      </c>
      <c r="B31" s="70">
        <v>0.48</v>
      </c>
      <c r="C31" s="70">
        <v>0.53</v>
      </c>
      <c r="D31" s="70">
        <v>0.19</v>
      </c>
      <c r="E31" s="70">
        <v>0.63</v>
      </c>
      <c r="F31" s="70">
        <v>0.31</v>
      </c>
      <c r="G31" s="70">
        <v>0.37</v>
      </c>
      <c r="H31" s="70">
        <v>0.79</v>
      </c>
    </row>
    <row r="32" spans="1:8" ht="13.5" thickBot="1" x14ac:dyDescent="0.3">
      <c r="A32" s="11">
        <v>43917</v>
      </c>
      <c r="B32" s="70">
        <v>0.51</v>
      </c>
      <c r="C32" s="70">
        <v>0.6</v>
      </c>
      <c r="D32" s="70">
        <v>0.19</v>
      </c>
      <c r="E32" s="70">
        <v>0.28000000000000003</v>
      </c>
      <c r="F32" s="70">
        <v>0.35</v>
      </c>
      <c r="G32" s="70">
        <v>0.24</v>
      </c>
      <c r="H32" s="70">
        <v>0.73</v>
      </c>
    </row>
    <row r="33" spans="1:8" ht="13.5" thickBot="1" x14ac:dyDescent="0.3">
      <c r="A33" s="11">
        <v>43918</v>
      </c>
      <c r="B33" s="70">
        <v>0.41</v>
      </c>
      <c r="C33" s="70">
        <v>0.49</v>
      </c>
      <c r="D33" s="70">
        <v>0.15</v>
      </c>
      <c r="E33" s="70">
        <v>0.23</v>
      </c>
      <c r="F33" s="70">
        <v>0.28000000000000003</v>
      </c>
      <c r="G33" s="70">
        <v>0.19</v>
      </c>
      <c r="H33" s="70">
        <v>0.83</v>
      </c>
    </row>
    <row r="34" spans="1:8" ht="13.5" thickBot="1" x14ac:dyDescent="0.3">
      <c r="A34" s="11">
        <v>43919</v>
      </c>
      <c r="B34" s="70">
        <v>0.52</v>
      </c>
      <c r="C34" s="70">
        <v>0.62</v>
      </c>
      <c r="D34" s="70">
        <v>0.2</v>
      </c>
      <c r="E34" s="70">
        <v>0.28999999999999998</v>
      </c>
      <c r="F34" s="70">
        <v>0.35</v>
      </c>
      <c r="G34" s="70">
        <v>0.24</v>
      </c>
      <c r="H34" s="70">
        <v>0.73</v>
      </c>
    </row>
    <row r="35" spans="1:8" ht="13.5" thickBot="1" x14ac:dyDescent="0.3">
      <c r="A35" s="11">
        <v>43920</v>
      </c>
      <c r="B35" s="70"/>
      <c r="C35" s="70"/>
      <c r="D35" s="70"/>
      <c r="E35" s="70"/>
      <c r="F35" s="70"/>
      <c r="G35" s="70"/>
      <c r="H35" s="70"/>
    </row>
  </sheetData>
  <conditionalFormatting sqref="B34:G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G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G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G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D50B-7FCB-410C-A699-39F9B6D9E06B}">
  <dimension ref="A1:AE35"/>
  <sheetViews>
    <sheetView workbookViewId="0">
      <selection activeCell="N16" sqref="N16"/>
    </sheetView>
  </sheetViews>
  <sheetFormatPr defaultRowHeight="12.75" x14ac:dyDescent="0.25"/>
  <cols>
    <col min="1" max="1" width="8.42578125" style="67" bestFit="1" customWidth="1"/>
    <col min="2" max="20" width="6.42578125" style="69" customWidth="1"/>
    <col min="21" max="31" width="6.42578125" style="67" customWidth="1"/>
    <col min="32" max="16384" width="9.140625" style="67"/>
  </cols>
  <sheetData>
    <row r="1" spans="1:31" s="68" customFormat="1" ht="13.5" thickBot="1" x14ac:dyDescent="0.3">
      <c r="A1" s="2" t="s">
        <v>0</v>
      </c>
      <c r="B1" s="68" t="s">
        <v>74</v>
      </c>
      <c r="C1" s="68" t="s">
        <v>75</v>
      </c>
      <c r="D1" s="68" t="s">
        <v>76</v>
      </c>
      <c r="E1" s="68" t="s">
        <v>77</v>
      </c>
      <c r="F1" s="68" t="s">
        <v>78</v>
      </c>
      <c r="G1" s="68" t="s">
        <v>79</v>
      </c>
      <c r="H1" s="68" t="s">
        <v>80</v>
      </c>
      <c r="I1" s="68" t="s">
        <v>81</v>
      </c>
      <c r="J1" s="68" t="s">
        <v>82</v>
      </c>
      <c r="K1" s="68" t="s">
        <v>83</v>
      </c>
      <c r="L1" s="68" t="s">
        <v>84</v>
      </c>
      <c r="M1" s="68" t="s">
        <v>85</v>
      </c>
      <c r="N1" s="68" t="s">
        <v>91</v>
      </c>
      <c r="O1" s="68" t="s">
        <v>86</v>
      </c>
      <c r="P1" s="68" t="s">
        <v>87</v>
      </c>
      <c r="Q1" s="68" t="s">
        <v>88</v>
      </c>
      <c r="R1" s="68" t="s">
        <v>89</v>
      </c>
      <c r="S1" s="68" t="s">
        <v>90</v>
      </c>
      <c r="T1" s="68" t="s">
        <v>92</v>
      </c>
      <c r="U1" s="68" t="s">
        <v>121</v>
      </c>
      <c r="V1" s="68" t="s">
        <v>122</v>
      </c>
      <c r="W1" s="68" t="s">
        <v>123</v>
      </c>
      <c r="X1" s="68" t="s">
        <v>124</v>
      </c>
      <c r="Y1" s="68" t="s">
        <v>125</v>
      </c>
      <c r="Z1" s="68" t="s">
        <v>126</v>
      </c>
      <c r="AA1" s="68" t="s">
        <v>127</v>
      </c>
      <c r="AB1" s="68" t="s">
        <v>128</v>
      </c>
      <c r="AC1" s="68" t="s">
        <v>129</v>
      </c>
      <c r="AD1" s="68" t="s">
        <v>130</v>
      </c>
      <c r="AE1" s="68" t="s">
        <v>131</v>
      </c>
    </row>
    <row r="2" spans="1:31" ht="13.5" thickBot="1" x14ac:dyDescent="0.3">
      <c r="A2" s="11">
        <v>43887</v>
      </c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</row>
    <row r="3" spans="1:31" ht="13.5" thickBot="1" x14ac:dyDescent="0.3">
      <c r="A3" s="11">
        <v>43888</v>
      </c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</row>
    <row r="4" spans="1:31" ht="13.5" thickBot="1" x14ac:dyDescent="0.3">
      <c r="A4" s="11">
        <v>43889</v>
      </c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</row>
    <row r="5" spans="1:31" ht="13.5" thickBot="1" x14ac:dyDescent="0.3">
      <c r="A5" s="11">
        <v>43890</v>
      </c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</row>
    <row r="6" spans="1:31" ht="13.5" thickBot="1" x14ac:dyDescent="0.3">
      <c r="A6" s="11">
        <v>43891</v>
      </c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</row>
    <row r="7" spans="1:31" ht="13.5" thickBot="1" x14ac:dyDescent="0.3">
      <c r="A7" s="11">
        <v>43892</v>
      </c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</row>
    <row r="8" spans="1:31" ht="13.5" thickBot="1" x14ac:dyDescent="0.3">
      <c r="A8" s="11">
        <v>43893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</row>
    <row r="9" spans="1:31" ht="13.5" thickBot="1" x14ac:dyDescent="0.3">
      <c r="A9" s="11">
        <v>43894</v>
      </c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</row>
    <row r="10" spans="1:31" ht="13.5" thickBot="1" x14ac:dyDescent="0.3">
      <c r="A10" s="11">
        <v>43895</v>
      </c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</row>
    <row r="11" spans="1:31" ht="13.5" thickBot="1" x14ac:dyDescent="0.3">
      <c r="A11" s="11">
        <v>43896</v>
      </c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</row>
    <row r="12" spans="1:31" ht="13.5" thickBot="1" x14ac:dyDescent="0.3">
      <c r="A12" s="11">
        <v>43897</v>
      </c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</row>
    <row r="13" spans="1:31" ht="13.5" thickBot="1" x14ac:dyDescent="0.3">
      <c r="A13" s="11">
        <v>43898</v>
      </c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</row>
    <row r="14" spans="1:31" ht="13.5" thickBot="1" x14ac:dyDescent="0.3">
      <c r="A14" s="11">
        <v>43899</v>
      </c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</row>
    <row r="15" spans="1:31" ht="13.5" thickBot="1" x14ac:dyDescent="0.3">
      <c r="A15" s="11">
        <v>43900</v>
      </c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</row>
    <row r="16" spans="1:31" ht="13.5" thickBot="1" x14ac:dyDescent="0.3">
      <c r="A16" s="11">
        <v>43901</v>
      </c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</row>
    <row r="17" spans="1:31" ht="13.5" thickBot="1" x14ac:dyDescent="0.3">
      <c r="A17" s="11">
        <v>43902</v>
      </c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</row>
    <row r="18" spans="1:31" ht="13.5" thickBot="1" x14ac:dyDescent="0.3">
      <c r="A18" s="11">
        <v>43903</v>
      </c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</row>
    <row r="19" spans="1:31" ht="13.5" thickBot="1" x14ac:dyDescent="0.3">
      <c r="A19" s="11">
        <v>43904</v>
      </c>
      <c r="T19" s="69">
        <f t="shared" ref="T19:T31" si="0">SUM(B19:S19)</f>
        <v>0</v>
      </c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</row>
    <row r="20" spans="1:31" ht="13.5" thickBot="1" x14ac:dyDescent="0.3">
      <c r="A20" s="11">
        <v>43905</v>
      </c>
      <c r="T20" s="69">
        <f t="shared" si="0"/>
        <v>0</v>
      </c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</row>
    <row r="21" spans="1:31" ht="13.5" thickBot="1" x14ac:dyDescent="0.3">
      <c r="A21" s="11">
        <v>43906</v>
      </c>
      <c r="T21" s="69">
        <f t="shared" si="0"/>
        <v>0</v>
      </c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</row>
    <row r="22" spans="1:31" ht="13.5" thickBot="1" x14ac:dyDescent="0.3">
      <c r="A22" s="11">
        <v>43907</v>
      </c>
      <c r="T22" s="69">
        <f t="shared" si="0"/>
        <v>0</v>
      </c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</row>
    <row r="23" spans="1:31" ht="13.5" thickBot="1" x14ac:dyDescent="0.3">
      <c r="A23" s="11">
        <v>43908</v>
      </c>
      <c r="T23" s="69">
        <f t="shared" si="0"/>
        <v>0</v>
      </c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</row>
    <row r="24" spans="1:31" ht="13.5" thickBot="1" x14ac:dyDescent="0.3">
      <c r="A24" s="11">
        <v>43909</v>
      </c>
      <c r="T24" s="69">
        <f t="shared" si="0"/>
        <v>0</v>
      </c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</row>
    <row r="25" spans="1:31" ht="13.5" thickBot="1" x14ac:dyDescent="0.3">
      <c r="A25" s="11">
        <v>43910</v>
      </c>
      <c r="T25" s="69">
        <f t="shared" si="0"/>
        <v>0</v>
      </c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</row>
    <row r="26" spans="1:31" ht="13.5" thickBot="1" x14ac:dyDescent="0.3">
      <c r="A26" s="11">
        <v>43911</v>
      </c>
      <c r="T26" s="69">
        <f t="shared" si="0"/>
        <v>0</v>
      </c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</row>
    <row r="27" spans="1:31" ht="13.5" thickBot="1" x14ac:dyDescent="0.3">
      <c r="A27" s="11">
        <v>43912</v>
      </c>
      <c r="T27" s="69">
        <f t="shared" si="0"/>
        <v>0</v>
      </c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13.5" thickBot="1" x14ac:dyDescent="0.3">
      <c r="A28" s="11">
        <v>43913</v>
      </c>
      <c r="T28" s="69">
        <f t="shared" si="0"/>
        <v>0</v>
      </c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</row>
    <row r="29" spans="1:31" ht="13.5" thickBot="1" x14ac:dyDescent="0.3">
      <c r="A29" s="11">
        <v>43914</v>
      </c>
      <c r="T29" s="69">
        <f t="shared" si="0"/>
        <v>0</v>
      </c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</row>
    <row r="30" spans="1:31" ht="13.5" thickBot="1" x14ac:dyDescent="0.3">
      <c r="A30" s="11">
        <v>43915</v>
      </c>
      <c r="T30" s="69">
        <f t="shared" si="0"/>
        <v>0</v>
      </c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</row>
    <row r="31" spans="1:31" ht="13.5" thickBot="1" x14ac:dyDescent="0.3">
      <c r="A31" s="11">
        <v>43916</v>
      </c>
      <c r="B31" s="69">
        <v>0</v>
      </c>
      <c r="C31" s="69">
        <v>0</v>
      </c>
      <c r="D31" s="69">
        <v>0</v>
      </c>
      <c r="E31" s="69">
        <v>0</v>
      </c>
      <c r="F31" s="69">
        <v>0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3</v>
      </c>
      <c r="M31" s="69">
        <v>1</v>
      </c>
      <c r="N31" s="69">
        <v>8</v>
      </c>
      <c r="O31" s="69">
        <v>0</v>
      </c>
      <c r="P31" s="69">
        <v>14</v>
      </c>
      <c r="Q31" s="69">
        <v>1</v>
      </c>
      <c r="R31" s="69">
        <v>16</v>
      </c>
      <c r="S31" s="69">
        <v>17</v>
      </c>
      <c r="T31" s="69">
        <f t="shared" si="0"/>
        <v>60</v>
      </c>
      <c r="U31" s="69">
        <f t="shared" ref="U31:V33" si="1">B31+D31+F31+H31+J31+L31+N31+P31+R31</f>
        <v>41</v>
      </c>
      <c r="V31" s="69">
        <f t="shared" si="1"/>
        <v>19</v>
      </c>
      <c r="W31" s="69">
        <f t="shared" ref="W31:W33" si="2">B31+C31</f>
        <v>0</v>
      </c>
      <c r="X31" s="69">
        <f t="shared" ref="X31:X33" si="3">D31+E31</f>
        <v>0</v>
      </c>
      <c r="Y31" s="69">
        <f t="shared" ref="Y31:Y33" si="4">F31+G31</f>
        <v>0</v>
      </c>
      <c r="Z31" s="69">
        <f t="shared" ref="Z31:Z33" si="5">H31+I31</f>
        <v>0</v>
      </c>
      <c r="AA31" s="69">
        <f t="shared" ref="AA31:AA33" si="6">J31+K31</f>
        <v>0</v>
      </c>
      <c r="AB31" s="69">
        <f t="shared" ref="AB31:AB33" si="7">L31+M31</f>
        <v>4</v>
      </c>
      <c r="AC31" s="69">
        <f t="shared" ref="AC31:AC33" si="8">N31+O31</f>
        <v>8</v>
      </c>
      <c r="AD31" s="69">
        <f t="shared" ref="AD31:AD33" si="9">P31+Q31</f>
        <v>15</v>
      </c>
      <c r="AE31" s="69">
        <f t="shared" ref="AE31:AE33" si="10">R31+S31</f>
        <v>33</v>
      </c>
    </row>
    <row r="32" spans="1:31" ht="13.5" thickBot="1" x14ac:dyDescent="0.3">
      <c r="A32" s="11">
        <v>43917</v>
      </c>
      <c r="B32" s="69">
        <v>0</v>
      </c>
      <c r="C32" s="69">
        <v>0</v>
      </c>
      <c r="D32" s="69">
        <v>0</v>
      </c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1</v>
      </c>
      <c r="L32" s="69">
        <v>3</v>
      </c>
      <c r="M32" s="69">
        <v>1</v>
      </c>
      <c r="N32" s="69">
        <v>9</v>
      </c>
      <c r="O32" s="69">
        <v>1</v>
      </c>
      <c r="P32" s="69">
        <v>14</v>
      </c>
      <c r="Q32" s="69">
        <v>4</v>
      </c>
      <c r="R32" s="69">
        <v>23</v>
      </c>
      <c r="S32" s="69">
        <v>20</v>
      </c>
      <c r="T32" s="69">
        <f>SUM(B32:S32)</f>
        <v>76</v>
      </c>
      <c r="U32" s="69">
        <f t="shared" si="1"/>
        <v>49</v>
      </c>
      <c r="V32" s="69">
        <f t="shared" si="1"/>
        <v>27</v>
      </c>
      <c r="W32" s="69">
        <f t="shared" si="2"/>
        <v>0</v>
      </c>
      <c r="X32" s="69">
        <f t="shared" si="3"/>
        <v>0</v>
      </c>
      <c r="Y32" s="69">
        <f t="shared" si="4"/>
        <v>0</v>
      </c>
      <c r="Z32" s="69">
        <f t="shared" si="5"/>
        <v>0</v>
      </c>
      <c r="AA32" s="69">
        <f t="shared" si="6"/>
        <v>1</v>
      </c>
      <c r="AB32" s="69">
        <f t="shared" si="7"/>
        <v>4</v>
      </c>
      <c r="AC32" s="69">
        <f t="shared" si="8"/>
        <v>10</v>
      </c>
      <c r="AD32" s="69">
        <f t="shared" si="9"/>
        <v>18</v>
      </c>
      <c r="AE32" s="69">
        <f t="shared" si="10"/>
        <v>43</v>
      </c>
    </row>
    <row r="33" spans="1:31" ht="13.5" thickBot="1" x14ac:dyDescent="0.3">
      <c r="A33" s="11">
        <v>43918</v>
      </c>
      <c r="B33" s="69">
        <v>0</v>
      </c>
      <c r="C33" s="69">
        <v>0</v>
      </c>
      <c r="D33" s="69">
        <v>0</v>
      </c>
      <c r="E33" s="69">
        <v>0</v>
      </c>
      <c r="F33" s="69">
        <v>0</v>
      </c>
      <c r="G33" s="69">
        <v>0</v>
      </c>
      <c r="H33" s="69">
        <v>0</v>
      </c>
      <c r="I33" s="69">
        <v>0</v>
      </c>
      <c r="J33" s="69">
        <v>0</v>
      </c>
      <c r="K33" s="69">
        <v>2</v>
      </c>
      <c r="L33" s="69">
        <v>4</v>
      </c>
      <c r="M33" s="69">
        <v>1</v>
      </c>
      <c r="N33" s="69">
        <v>13</v>
      </c>
      <c r="O33" s="69">
        <v>1</v>
      </c>
      <c r="P33" s="69">
        <v>7</v>
      </c>
      <c r="Q33" s="69">
        <v>4</v>
      </c>
      <c r="R33" s="69">
        <v>31</v>
      </c>
      <c r="S33" s="69">
        <v>27</v>
      </c>
      <c r="T33" s="69">
        <f>SUM(B33:S33)</f>
        <v>90</v>
      </c>
      <c r="U33" s="69">
        <f t="shared" si="1"/>
        <v>55</v>
      </c>
      <c r="V33" s="69">
        <f t="shared" si="1"/>
        <v>35</v>
      </c>
      <c r="W33" s="69">
        <f t="shared" si="2"/>
        <v>0</v>
      </c>
      <c r="X33" s="69">
        <f t="shared" si="3"/>
        <v>0</v>
      </c>
      <c r="Y33" s="69">
        <f t="shared" si="4"/>
        <v>0</v>
      </c>
      <c r="Z33" s="69">
        <f t="shared" si="5"/>
        <v>0</v>
      </c>
      <c r="AA33" s="69">
        <f t="shared" si="6"/>
        <v>2</v>
      </c>
      <c r="AB33" s="69">
        <f t="shared" si="7"/>
        <v>5</v>
      </c>
      <c r="AC33" s="69">
        <f t="shared" si="8"/>
        <v>14</v>
      </c>
      <c r="AD33" s="69">
        <f t="shared" si="9"/>
        <v>11</v>
      </c>
      <c r="AE33" s="69">
        <f t="shared" si="10"/>
        <v>58</v>
      </c>
    </row>
    <row r="34" spans="1:31" ht="13.5" thickBot="1" x14ac:dyDescent="0.3">
      <c r="A34" s="11">
        <v>43919</v>
      </c>
      <c r="B34" s="69">
        <v>0</v>
      </c>
      <c r="C34" s="69">
        <v>0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2</v>
      </c>
      <c r="L34" s="69">
        <v>4</v>
      </c>
      <c r="M34" s="69">
        <v>1</v>
      </c>
      <c r="N34" s="69">
        <v>14</v>
      </c>
      <c r="O34" s="69">
        <v>1</v>
      </c>
      <c r="P34" s="69">
        <v>20</v>
      </c>
      <c r="Q34" s="69">
        <v>7</v>
      </c>
      <c r="R34" s="69">
        <v>38</v>
      </c>
      <c r="S34" s="69">
        <v>32</v>
      </c>
      <c r="T34" s="69">
        <f>SUM(B34:S34)</f>
        <v>119</v>
      </c>
      <c r="U34" s="69">
        <f>B34+D34+F34+H34+J34+L34+N34+P34+R34</f>
        <v>76</v>
      </c>
      <c r="V34" s="69">
        <f>C34+E34+G34+I34+K34+M34+O34+Q34+S34</f>
        <v>43</v>
      </c>
      <c r="W34" s="69">
        <f>B34+C34</f>
        <v>0</v>
      </c>
      <c r="X34" s="69">
        <f>D34+E34</f>
        <v>0</v>
      </c>
      <c r="Y34" s="69">
        <f>F34+G34</f>
        <v>0</v>
      </c>
      <c r="Z34" s="69">
        <f>H34+I34</f>
        <v>0</v>
      </c>
      <c r="AA34" s="69">
        <f>J34+K34</f>
        <v>2</v>
      </c>
      <c r="AB34" s="69">
        <f>L34+M34</f>
        <v>5</v>
      </c>
      <c r="AC34" s="69">
        <f>N34+O34</f>
        <v>15</v>
      </c>
      <c r="AD34" s="69">
        <f>P34+Q34</f>
        <v>27</v>
      </c>
      <c r="AE34" s="69">
        <f>R34+S34</f>
        <v>70</v>
      </c>
    </row>
    <row r="35" spans="1:31" ht="13.5" thickBot="1" x14ac:dyDescent="0.3">
      <c r="A35" s="11">
        <v>43920</v>
      </c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</row>
  </sheetData>
  <conditionalFormatting sqref="W31:AE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AE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E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:AE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S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S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S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9A43-4D21-4AF4-86F1-E52B3AF2C5F6}">
  <dimension ref="A4:H24"/>
  <sheetViews>
    <sheetView workbookViewId="0">
      <selection activeCell="L21" sqref="L21"/>
    </sheetView>
  </sheetViews>
  <sheetFormatPr defaultRowHeight="15" x14ac:dyDescent="0.25"/>
  <cols>
    <col min="1" max="1" width="22.140625" bestFit="1" customWidth="1"/>
  </cols>
  <sheetData>
    <row r="4" spans="1:8" x14ac:dyDescent="0.25">
      <c r="B4" s="61">
        <v>9</v>
      </c>
      <c r="C4" s="61">
        <v>10</v>
      </c>
      <c r="D4" s="61">
        <v>11</v>
      </c>
      <c r="E4" s="61">
        <v>12</v>
      </c>
      <c r="F4" s="61">
        <v>13</v>
      </c>
      <c r="G4" s="61">
        <v>14</v>
      </c>
      <c r="H4" s="61">
        <v>15</v>
      </c>
    </row>
    <row r="5" spans="1:8" x14ac:dyDescent="0.25">
      <c r="A5" s="59" t="s">
        <v>18</v>
      </c>
      <c r="B5" s="52">
        <f>IFERROR(SUMIFS(Data!$K:$K,Data!$AL:$AL,Week!B4),0)</f>
        <v>70</v>
      </c>
      <c r="C5" s="52">
        <f>IFERROR(SUMIFS(Data!$K:$K,Data!$AL:$AL,Week!C4),0)</f>
        <v>154</v>
      </c>
      <c r="D5" s="52">
        <f>IFERROR(SUMIFS(Data!$K:$K,Data!$AL:$AL,Week!D4),0)</f>
        <v>1480</v>
      </c>
      <c r="E5" s="52">
        <f>IFERROR(SUMIFS(Data!$K:$K,Data!$AL:$AL,Week!E4),0)</f>
        <v>8150</v>
      </c>
      <c r="F5" s="52">
        <f>IFERROR(SUMIFS(Data!$K:$K,Data!$AL:$AL,Week!F4),0)</f>
        <v>22900</v>
      </c>
      <c r="G5" s="52">
        <f>IFERROR(SUMIFS(Data!$K:$K,Data!$AL:$AL,Week!G4),0)</f>
        <v>5288</v>
      </c>
      <c r="H5" s="52">
        <f>IFERROR(SUMIFS(Data!$K:$K,Data!$AL:$AL,Week!H4),0)</f>
        <v>0</v>
      </c>
    </row>
    <row r="6" spans="1:8" x14ac:dyDescent="0.25">
      <c r="A6" s="59" t="s">
        <v>21</v>
      </c>
      <c r="B6" s="52">
        <f>IFERROR(SUMIFS(Data!$L:$L,Data!$AL:$AL,Week!B4),0)</f>
        <v>0</v>
      </c>
      <c r="C6" s="52">
        <f>IFERROR(SUMIFS(Data!$L:$L,Data!$AL:$AL,Week!C4),0)</f>
        <v>21</v>
      </c>
      <c r="D6" s="52">
        <f>IFERROR(SUMIFS(Data!$L:$L,Data!$AL:$AL,Week!D4),0)</f>
        <v>148</v>
      </c>
      <c r="E6" s="52">
        <f>IFERROR(SUMIFS(Data!$L:$L,Data!$AL:$AL,Week!E4),0)</f>
        <v>1111</v>
      </c>
      <c r="F6" s="52">
        <f>IFERROR(SUMIFS(Data!$L:$L,Data!$AL:$AL,Week!F4),0)</f>
        <v>3890</v>
      </c>
      <c r="G6" s="52">
        <f>IFERROR(SUMIFS(Data!$L:$L,Data!$AL:$AL,Week!G4),0)</f>
        <v>792</v>
      </c>
      <c r="H6" s="52">
        <f>IFERROR(SUMIFS(Data!$L:$L,Data!$AL:$AL,Week!H4),0)</f>
        <v>0</v>
      </c>
    </row>
    <row r="7" spans="1:8" x14ac:dyDescent="0.25">
      <c r="A7" s="59" t="s">
        <v>19</v>
      </c>
      <c r="B7" s="52">
        <f>IFERROR(SUMIFS(Data!$M:$M,Data!$AL:$AL,Week!B4),0)</f>
        <v>0</v>
      </c>
      <c r="C7" s="52">
        <f>IFERROR(SUMIFS(Data!$M:$M,Data!$AL:$AL,Week!C4),0)</f>
        <v>0</v>
      </c>
      <c r="D7" s="52">
        <f>IFERROR(SUMIFS(Data!$M:$M,Data!$AL:$AL,Week!D4),0)</f>
        <v>1</v>
      </c>
      <c r="E7" s="52">
        <f>IFERROR(SUMIFS(Data!$M:$M,Data!$AL:$AL,Week!E4),0)</f>
        <v>4</v>
      </c>
      <c r="F7" s="52">
        <f>IFERROR(SUMIFS(Data!$M:$M,Data!$AL:$AL,Week!F4),0)</f>
        <v>38</v>
      </c>
      <c r="G7" s="52">
        <f>IFERROR(SUMIFS(Data!$M:$M,Data!$AL:$AL,Week!G4),0)</f>
        <v>0</v>
      </c>
      <c r="H7" s="52">
        <f>IFERROR(SUMIFS(Data!$M:$M,Data!$AL:$AL,Week!H4),0)</f>
        <v>0</v>
      </c>
    </row>
    <row r="8" spans="1:8" x14ac:dyDescent="0.25">
      <c r="A8" s="59" t="s">
        <v>20</v>
      </c>
      <c r="B8" s="52">
        <f>IFERROR(SUMIFS(Data!$N:$N,Data!$AL:$AL,Week!B4),0)</f>
        <v>0</v>
      </c>
      <c r="C8" s="52">
        <f>IFERROR(SUMIFS(Data!$N:$N,Data!$AL:$AL,Week!C4),0)</f>
        <v>0</v>
      </c>
      <c r="D8" s="52">
        <f>IFERROR(SUMIFS(Data!$N:$N,Data!$AL:$AL,Week!D4),0)</f>
        <v>0</v>
      </c>
      <c r="E8" s="52">
        <f>IFERROR(SUMIFS(Data!$N:$N,Data!$AL:$AL,Week!E4),0)</f>
        <v>12</v>
      </c>
      <c r="F8" s="52">
        <f>IFERROR(SUMIFS(Data!$N:$N,Data!$AL:$AL,Week!F4),0)</f>
        <v>88</v>
      </c>
      <c r="G8" s="52">
        <f>IFERROR(SUMIFS(Data!$N:$N,Data!$AL:$AL,Week!G4),0)</f>
        <v>19</v>
      </c>
      <c r="H8" s="52">
        <f>IFERROR(SUMIFS(Data!$N:$N,Data!$AL:$AL,Week!H4),0)</f>
        <v>0</v>
      </c>
    </row>
    <row r="9" spans="1:8" x14ac:dyDescent="0.25">
      <c r="A9" s="59" t="s">
        <v>22</v>
      </c>
      <c r="B9" s="52">
        <f>IFERROR(SUMIFS(Data!$O:$O,Data!$AL:$AL,Week!B4),0)</f>
        <v>0</v>
      </c>
      <c r="C9" s="52">
        <f>IFERROR(SUMIFS(Data!$O:$O,Data!$AL:$AL,Week!C4),0)</f>
        <v>0</v>
      </c>
      <c r="D9" s="52">
        <f>IFERROR(SUMIFS(Data!$O:$O,Data!$AL:$AL,Week!D4),0)</f>
        <v>0</v>
      </c>
      <c r="E9" s="52">
        <f>IFERROR(SUMIFS(Data!$O:$O,Data!$AL:$AL,Week!E4),0)</f>
        <v>7515</v>
      </c>
      <c r="F9" s="52">
        <f>IFERROR(SUMIFS(Data!$O:$O,Data!$AL:$AL,Week!F4),0)</f>
        <v>15131</v>
      </c>
      <c r="G9" s="52">
        <f>IFERROR(SUMIFS(Data!$O:$O,Data!$AL:$AL,Week!G4),0)</f>
        <v>3926</v>
      </c>
      <c r="H9" s="52">
        <f>IFERROR(SUMIFS(Data!$O:$O,Data!$AL:$AL,Week!H4),0)</f>
        <v>0</v>
      </c>
    </row>
    <row r="10" spans="1:8" x14ac:dyDescent="0.25">
      <c r="A10" s="59" t="s">
        <v>23</v>
      </c>
      <c r="B10" s="52">
        <f>IFERROR(SUMIFS(Data!$P:$P,Data!$AL:$AL,Week!B4),0)</f>
        <v>0</v>
      </c>
      <c r="C10" s="52">
        <f>IFERROR(SUMIFS(Data!$P:$P,Data!$AL:$AL,Week!C4),0)</f>
        <v>21</v>
      </c>
      <c r="D10" s="52">
        <f>IFERROR(SUMIFS(Data!$P:$P,Data!$AL:$AL,Week!D4),0)</f>
        <v>93</v>
      </c>
      <c r="E10" s="52">
        <f>IFERROR(SUMIFS(Data!$P:$P,Data!$AL:$AL,Week!E4),0)</f>
        <v>42</v>
      </c>
      <c r="F10" s="52">
        <f>IFERROR(SUMIFS(Data!$P:$P,Data!$AL:$AL,Week!F4),0)</f>
        <v>262</v>
      </c>
      <c r="G10" s="52">
        <f>IFERROR(SUMIFS(Data!$P:$P,Data!$AL:$AL,Week!G4),0)</f>
        <v>68</v>
      </c>
      <c r="H10" s="52">
        <f>IFERROR(SUMIFS(Data!$P:$P,Data!$AL:$AL,Week!H4),0)</f>
        <v>0</v>
      </c>
    </row>
    <row r="11" spans="1:8" x14ac:dyDescent="0.25">
      <c r="A11" s="59" t="s">
        <v>24</v>
      </c>
      <c r="B11" s="52">
        <f>IFERROR(SUMIFS(Data!$Q:$Q,Data!$AL:$AL,Week!B4),0)</f>
        <v>0</v>
      </c>
      <c r="C11" s="52">
        <f>IFERROR(SUMIFS(Data!$Q:$Q,Data!$AL:$AL,Week!C4),0)</f>
        <v>0</v>
      </c>
      <c r="D11" s="52">
        <f>IFERROR(SUMIFS(Data!$Q:$Q,Data!$AL:$AL,Week!D4),0)</f>
        <v>10</v>
      </c>
      <c r="E11" s="52">
        <f>IFERROR(SUMIFS(Data!$Q:$Q,Data!$AL:$AL,Week!E4),0)</f>
        <v>25</v>
      </c>
      <c r="F11" s="52">
        <f>IFERROR(SUMIFS(Data!$Q:$Q,Data!$AL:$AL,Week!F4),0)</f>
        <v>54</v>
      </c>
      <c r="G11" s="52">
        <f>IFERROR(SUMIFS(Data!$Q:$Q,Data!$AL:$AL,Week!G4),0)</f>
        <v>49</v>
      </c>
      <c r="H11" s="52">
        <f>IFERROR(SUMIFS(Data!$Q:$Q,Data!$AL:$AL,Week!H4),0)</f>
        <v>0</v>
      </c>
    </row>
    <row r="12" spans="1:8" x14ac:dyDescent="0.25">
      <c r="A12" s="59" t="s">
        <v>25</v>
      </c>
      <c r="B12" s="52">
        <f>IFERROR(SUMIFS(Data!$R:$R,Data!$AL:$AL,Week!B4),0)</f>
        <v>0</v>
      </c>
      <c r="C12" s="52">
        <f>IFERROR(SUMIFS(Data!$R:$R,Data!$AL:$AL,Week!C4),0)</f>
        <v>47</v>
      </c>
      <c r="D12" s="52">
        <f>IFERROR(SUMIFS(Data!$R:$R,Data!$AL:$AL,Week!D4),0)</f>
        <v>79</v>
      </c>
      <c r="E12" s="52">
        <f>IFERROR(SUMIFS(Data!$R:$R,Data!$AL:$AL,Week!E4),0)</f>
        <v>933</v>
      </c>
      <c r="F12" s="52">
        <f>IFERROR(SUMIFS(Data!$R:$R,Data!$AL:$AL,Week!F4),0)</f>
        <v>3879</v>
      </c>
      <c r="G12" s="52">
        <f>IFERROR(SUMIFS(Data!$R:$R,Data!$AL:$AL,Week!G4),0)</f>
        <v>570</v>
      </c>
      <c r="H12" s="52">
        <f>IFERROR(SUMIFS(Data!$R:$R,Data!$AL:$AL,Week!H4),0)</f>
        <v>0</v>
      </c>
    </row>
    <row r="13" spans="1:8" x14ac:dyDescent="0.25">
      <c r="A13" s="59" t="s">
        <v>26</v>
      </c>
      <c r="B13" s="52">
        <f>IFERROR(SUMIFS(Data!$S:$S,Data!$AL:$AL,Week!B4),0)</f>
        <v>0</v>
      </c>
      <c r="C13" s="52">
        <f>IFERROR(SUMIFS(Data!$S:$S,Data!$AL:$AL,Week!C4),0)</f>
        <v>412</v>
      </c>
      <c r="D13" s="52">
        <f>IFERROR(SUMIFS(Data!$S:$S,Data!$AL:$AL,Week!D4),0)</f>
        <v>4599</v>
      </c>
      <c r="E13" s="52">
        <f>IFERROR(SUMIFS(Data!$S:$S,Data!$AL:$AL,Week!E4),0)</f>
        <v>8144</v>
      </c>
      <c r="F13" s="52">
        <f>IFERROR(SUMIFS(Data!$S:$S,Data!$AL:$AL,Week!F4),0)</f>
        <v>6772</v>
      </c>
      <c r="G13" s="52">
        <f>IFERROR(SUMIFS(Data!$S:$S,Data!$AL:$AL,Week!G4),0)</f>
        <v>-2142</v>
      </c>
      <c r="H13" s="52">
        <f>IFERROR(SUMIFS(Data!$S:$S,Data!$AL:$AL,Week!H4),0)</f>
        <v>0</v>
      </c>
    </row>
    <row r="14" spans="1:8" x14ac:dyDescent="0.25">
      <c r="A14" s="59"/>
      <c r="B14" s="51"/>
    </row>
    <row r="15" spans="1:8" x14ac:dyDescent="0.25">
      <c r="A15" s="59"/>
      <c r="B15" s="51"/>
    </row>
    <row r="16" spans="1:8" x14ac:dyDescent="0.25">
      <c r="A16" s="59" t="s">
        <v>64</v>
      </c>
      <c r="B16" s="62">
        <f>B5/(SUM($B5:$H5))</f>
        <v>1.8400714999211398E-3</v>
      </c>
      <c r="C16" s="62">
        <f>C5/(SUM($B5:$H5))</f>
        <v>4.0481572998265075E-3</v>
      </c>
      <c r="D16" s="62">
        <f t="shared" ref="D16:H17" si="0">D5/(SUM($B5:$H5))</f>
        <v>3.8904368855475525E-2</v>
      </c>
      <c r="E16" s="62">
        <f t="shared" si="0"/>
        <v>0.214236896062247</v>
      </c>
      <c r="F16" s="62">
        <f t="shared" si="0"/>
        <v>0.60196624783134434</v>
      </c>
      <c r="G16" s="62">
        <f t="shared" si="0"/>
        <v>0.13900425845118553</v>
      </c>
      <c r="H16" s="62">
        <f t="shared" si="0"/>
        <v>0</v>
      </c>
    </row>
    <row r="17" spans="1:8" x14ac:dyDescent="0.25">
      <c r="A17" s="59" t="s">
        <v>63</v>
      </c>
      <c r="B17" s="62">
        <f>B6/(SUM($B6:$H6))</f>
        <v>0</v>
      </c>
      <c r="C17" s="62">
        <f>C6/(SUM($B6:$H6))</f>
        <v>3.5223079503522306E-3</v>
      </c>
      <c r="D17" s="62">
        <f t="shared" si="0"/>
        <v>2.4823884602482388E-2</v>
      </c>
      <c r="E17" s="62">
        <f t="shared" si="0"/>
        <v>0.18634686346863469</v>
      </c>
      <c r="F17" s="62">
        <f t="shared" si="0"/>
        <v>0.65246561556524652</v>
      </c>
      <c r="G17" s="62">
        <f t="shared" si="0"/>
        <v>0.13284132841328414</v>
      </c>
      <c r="H17" s="62">
        <f t="shared" si="0"/>
        <v>0</v>
      </c>
    </row>
    <row r="18" spans="1:8" x14ac:dyDescent="0.25">
      <c r="A18" s="59" t="s">
        <v>65</v>
      </c>
      <c r="B18" s="62">
        <f t="shared" ref="B18:H24" si="1">B7/(SUM($B7:$H7))</f>
        <v>0</v>
      </c>
      <c r="C18" s="62">
        <f t="shared" si="1"/>
        <v>0</v>
      </c>
      <c r="D18" s="62">
        <f t="shared" si="1"/>
        <v>2.3255813953488372E-2</v>
      </c>
      <c r="E18" s="62">
        <f t="shared" si="1"/>
        <v>9.3023255813953487E-2</v>
      </c>
      <c r="F18" s="62">
        <f t="shared" si="1"/>
        <v>0.88372093023255816</v>
      </c>
      <c r="G18" s="62">
        <f t="shared" si="1"/>
        <v>0</v>
      </c>
      <c r="H18" s="62">
        <f t="shared" si="1"/>
        <v>0</v>
      </c>
    </row>
    <row r="19" spans="1:8" x14ac:dyDescent="0.25">
      <c r="A19" s="59" t="s">
        <v>66</v>
      </c>
      <c r="B19" s="62">
        <f t="shared" si="1"/>
        <v>0</v>
      </c>
      <c r="C19" s="62">
        <f t="shared" si="1"/>
        <v>0</v>
      </c>
      <c r="D19" s="62">
        <f t="shared" si="1"/>
        <v>0</v>
      </c>
      <c r="E19" s="62">
        <f t="shared" si="1"/>
        <v>0.10084033613445378</v>
      </c>
      <c r="F19" s="62">
        <f t="shared" si="1"/>
        <v>0.73949579831932777</v>
      </c>
      <c r="G19" s="62">
        <f t="shared" si="1"/>
        <v>0.15966386554621848</v>
      </c>
      <c r="H19" s="62">
        <f t="shared" si="1"/>
        <v>0</v>
      </c>
    </row>
    <row r="20" spans="1:8" x14ac:dyDescent="0.25">
      <c r="A20" s="59" t="s">
        <v>67</v>
      </c>
      <c r="B20" s="62">
        <f t="shared" si="1"/>
        <v>0</v>
      </c>
      <c r="C20" s="62">
        <f t="shared" si="1"/>
        <v>0</v>
      </c>
      <c r="D20" s="62">
        <f t="shared" si="1"/>
        <v>0</v>
      </c>
      <c r="E20" s="62">
        <f t="shared" si="1"/>
        <v>0.28281649856992325</v>
      </c>
      <c r="F20" s="62">
        <f t="shared" si="1"/>
        <v>0.5694339906668674</v>
      </c>
      <c r="G20" s="62">
        <f t="shared" si="1"/>
        <v>0.14774951076320939</v>
      </c>
      <c r="H20" s="62">
        <f t="shared" si="1"/>
        <v>0</v>
      </c>
    </row>
    <row r="21" spans="1:8" x14ac:dyDescent="0.25">
      <c r="A21" s="59" t="s">
        <v>68</v>
      </c>
      <c r="B21" s="62">
        <f t="shared" si="1"/>
        <v>0</v>
      </c>
      <c r="C21" s="62">
        <f t="shared" si="1"/>
        <v>4.3209876543209874E-2</v>
      </c>
      <c r="D21" s="62">
        <f t="shared" si="1"/>
        <v>0.19135802469135801</v>
      </c>
      <c r="E21" s="62">
        <f t="shared" si="1"/>
        <v>8.6419753086419748E-2</v>
      </c>
      <c r="F21" s="62">
        <f t="shared" si="1"/>
        <v>0.53909465020576131</v>
      </c>
      <c r="G21" s="62">
        <f t="shared" si="1"/>
        <v>0.13991769547325103</v>
      </c>
      <c r="H21" s="62">
        <f t="shared" si="1"/>
        <v>0</v>
      </c>
    </row>
    <row r="22" spans="1:8" x14ac:dyDescent="0.25">
      <c r="A22" s="59" t="s">
        <v>69</v>
      </c>
      <c r="B22" s="62">
        <f t="shared" si="1"/>
        <v>0</v>
      </c>
      <c r="C22" s="62">
        <f t="shared" si="1"/>
        <v>0</v>
      </c>
      <c r="D22" s="62">
        <f t="shared" si="1"/>
        <v>7.2463768115942032E-2</v>
      </c>
      <c r="E22" s="62">
        <f t="shared" si="1"/>
        <v>0.18115942028985507</v>
      </c>
      <c r="F22" s="62">
        <f t="shared" si="1"/>
        <v>0.39130434782608697</v>
      </c>
      <c r="G22" s="62">
        <f t="shared" si="1"/>
        <v>0.35507246376811596</v>
      </c>
      <c r="H22" s="62">
        <f t="shared" si="1"/>
        <v>0</v>
      </c>
    </row>
    <row r="23" spans="1:8" x14ac:dyDescent="0.25">
      <c r="A23" s="59" t="s">
        <v>70</v>
      </c>
      <c r="B23" s="62">
        <f t="shared" si="1"/>
        <v>0</v>
      </c>
      <c r="C23" s="62">
        <f t="shared" si="1"/>
        <v>8.5330428467683371E-3</v>
      </c>
      <c r="D23" s="62">
        <f t="shared" si="1"/>
        <v>1.4342774146695715E-2</v>
      </c>
      <c r="E23" s="62">
        <f t="shared" si="1"/>
        <v>0.16938997821350762</v>
      </c>
      <c r="F23" s="62">
        <f t="shared" si="1"/>
        <v>0.70424836601307195</v>
      </c>
      <c r="G23" s="62">
        <f t="shared" si="1"/>
        <v>0.10348583877995643</v>
      </c>
      <c r="H23" s="62">
        <f t="shared" si="1"/>
        <v>0</v>
      </c>
    </row>
    <row r="24" spans="1:8" x14ac:dyDescent="0.25">
      <c r="A24" s="59" t="s">
        <v>71</v>
      </c>
      <c r="B24" s="62">
        <f t="shared" si="1"/>
        <v>0</v>
      </c>
      <c r="C24" s="62">
        <f t="shared" si="1"/>
        <v>2.3165588979477087E-2</v>
      </c>
      <c r="D24" s="62">
        <f t="shared" si="1"/>
        <v>0.25858869834129883</v>
      </c>
      <c r="E24" s="62">
        <f t="shared" si="1"/>
        <v>0.4579139724486927</v>
      </c>
      <c r="F24" s="62">
        <f t="shared" si="1"/>
        <v>0.38077031206072531</v>
      </c>
      <c r="G24" s="62">
        <f t="shared" si="1"/>
        <v>-0.12043857183019398</v>
      </c>
      <c r="H24" s="62">
        <f t="shared" si="1"/>
        <v>0</v>
      </c>
    </row>
  </sheetData>
  <conditionalFormatting sqref="B16:H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H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E138-6708-479B-AB14-252B06652788}">
  <dimension ref="A4:H26"/>
  <sheetViews>
    <sheetView workbookViewId="0">
      <selection activeCell="I11" sqref="I11"/>
    </sheetView>
  </sheetViews>
  <sheetFormatPr defaultRowHeight="12.75" x14ac:dyDescent="0.2"/>
  <cols>
    <col min="1" max="1" width="22.140625" style="59" bestFit="1" customWidth="1"/>
    <col min="2" max="16384" width="9.140625" style="51"/>
  </cols>
  <sheetData>
    <row r="4" spans="1:8" x14ac:dyDescent="0.2">
      <c r="B4" s="60">
        <v>2</v>
      </c>
      <c r="C4" s="60">
        <v>3</v>
      </c>
      <c r="D4" s="60">
        <v>4</v>
      </c>
      <c r="E4" s="60">
        <v>5</v>
      </c>
      <c r="F4" s="60">
        <v>6</v>
      </c>
      <c r="G4" s="60">
        <v>7</v>
      </c>
      <c r="H4" s="60">
        <v>1</v>
      </c>
    </row>
    <row r="5" spans="1:8" x14ac:dyDescent="0.2">
      <c r="B5" s="61" t="s">
        <v>56</v>
      </c>
      <c r="C5" s="61" t="s">
        <v>57</v>
      </c>
      <c r="D5" s="61" t="s">
        <v>58</v>
      </c>
      <c r="E5" s="61" t="s">
        <v>59</v>
      </c>
      <c r="F5" s="61" t="s">
        <v>60</v>
      </c>
      <c r="G5" s="61" t="s">
        <v>61</v>
      </c>
      <c r="H5" s="61" t="s">
        <v>62</v>
      </c>
    </row>
    <row r="6" spans="1:8" x14ac:dyDescent="0.2">
      <c r="A6" s="59" t="s">
        <v>18</v>
      </c>
      <c r="B6" s="52">
        <f>IFERROR(SUMIFS(Data!$K:$K,Data!$AN:$AN,Weekday!B4),0)</f>
        <v>2590</v>
      </c>
      <c r="C6" s="52">
        <f>IFERROR(SUMIFS(Data!$K:$K,Data!$AN:$AN,Weekday!C4),0)</f>
        <v>2974</v>
      </c>
      <c r="D6" s="52">
        <f>IFERROR(SUMIFS(Data!$K:$K,Data!$AN:$AN,Weekday!D4),0)</f>
        <v>6855</v>
      </c>
      <c r="E6" s="52">
        <f>IFERROR(SUMIFS(Data!$K:$K,Data!$AN:$AN,Weekday!E4),0)</f>
        <v>2318</v>
      </c>
      <c r="F6" s="52">
        <f>IFERROR(SUMIFS(Data!$K:$K,Data!$AN:$AN,Weekday!F4),0)</f>
        <v>5558</v>
      </c>
      <c r="G6" s="52">
        <f>IFERROR(SUMIFS(Data!$K:$K,Data!$AN:$AN,Weekday!G4),0)</f>
        <v>9895</v>
      </c>
      <c r="H6" s="52">
        <f>IFERROR(SUMIFS(Data!$K:$K,Data!$AN:$AN,Weekday!H4),0)</f>
        <v>7852</v>
      </c>
    </row>
    <row r="7" spans="1:8" x14ac:dyDescent="0.2">
      <c r="A7" s="59" t="s">
        <v>21</v>
      </c>
      <c r="B7" s="52">
        <f>IFERROR(SUMIFS(Data!$L:$L,Data!$AN:$AN,Weekday!B4),0)</f>
        <v>557</v>
      </c>
      <c r="C7" s="52">
        <f>IFERROR(SUMIFS(Data!$L:$L,Data!$AN:$AN,Weekday!C4),0)</f>
        <v>423</v>
      </c>
      <c r="D7" s="52">
        <f>IFERROR(SUMIFS(Data!$L:$L,Data!$AN:$AN,Weekday!D4),0)</f>
        <v>847</v>
      </c>
      <c r="E7" s="52">
        <f>IFERROR(SUMIFS(Data!$L:$L,Data!$AN:$AN,Weekday!E4),0)</f>
        <v>714</v>
      </c>
      <c r="F7" s="52">
        <f>IFERROR(SUMIFS(Data!$L:$L,Data!$AN:$AN,Weekday!F4),0)</f>
        <v>997</v>
      </c>
      <c r="G7" s="52">
        <f>IFERROR(SUMIFS(Data!$L:$L,Data!$AN:$AN,Weekday!G4),0)</f>
        <v>1227</v>
      </c>
      <c r="H7" s="52">
        <f>IFERROR(SUMIFS(Data!$L:$L,Data!$AN:$AN,Weekday!H4),0)</f>
        <v>1197</v>
      </c>
    </row>
    <row r="8" spans="1:8" x14ac:dyDescent="0.2">
      <c r="A8" s="59" t="s">
        <v>19</v>
      </c>
      <c r="B8" s="52">
        <f>IFERROR(SUMIFS(Data!$M:$M,Data!$AN:$AN,Weekday!B4),0)</f>
        <v>10</v>
      </c>
      <c r="C8" s="52">
        <f>IFERROR(SUMIFS(Data!$M:$M,Data!$AN:$AN,Weekday!C4),0)</f>
        <v>8</v>
      </c>
      <c r="D8" s="52">
        <f>IFERROR(SUMIFS(Data!$M:$M,Data!$AN:$AN,Weekday!D4),0)</f>
        <v>0</v>
      </c>
      <c r="E8" s="52">
        <f>IFERROR(SUMIFS(Data!$M:$M,Data!$AN:$AN,Weekday!E4),0)</f>
        <v>21</v>
      </c>
      <c r="F8" s="52">
        <f>IFERROR(SUMIFS(Data!$M:$M,Data!$AN:$AN,Weekday!F4),0)</f>
        <v>2</v>
      </c>
      <c r="G8" s="52">
        <f>IFERROR(SUMIFS(Data!$M:$M,Data!$AN:$AN,Weekday!G4),0)</f>
        <v>1</v>
      </c>
      <c r="H8" s="52">
        <f>IFERROR(SUMIFS(Data!$M:$M,Data!$AN:$AN,Weekday!H4),0)</f>
        <v>1</v>
      </c>
    </row>
    <row r="9" spans="1:8" x14ac:dyDescent="0.2">
      <c r="A9" s="59" t="s">
        <v>20</v>
      </c>
      <c r="B9" s="52">
        <f>IFERROR(SUMIFS(Data!$N:$N,Data!$AN:$AN,Weekday!B4),0)</f>
        <v>9</v>
      </c>
      <c r="C9" s="52">
        <f>IFERROR(SUMIFS(Data!$N:$N,Data!$AN:$AN,Weekday!C4),0)</f>
        <v>11</v>
      </c>
      <c r="D9" s="52">
        <f>IFERROR(SUMIFS(Data!$N:$N,Data!$AN:$AN,Weekday!D4),0)</f>
        <v>11</v>
      </c>
      <c r="E9" s="52">
        <f>IFERROR(SUMIFS(Data!$N:$N,Data!$AN:$AN,Weekday!E4),0)</f>
        <v>18</v>
      </c>
      <c r="F9" s="52">
        <f>IFERROR(SUMIFS(Data!$N:$N,Data!$AN:$AN,Weekday!F4),0)</f>
        <v>19</v>
      </c>
      <c r="G9" s="52">
        <f>IFERROR(SUMIFS(Data!$N:$N,Data!$AN:$AN,Weekday!G4),0)</f>
        <v>30</v>
      </c>
      <c r="H9" s="52">
        <f>IFERROR(SUMIFS(Data!$N:$N,Data!$AN:$AN,Weekday!H4),0)</f>
        <v>21</v>
      </c>
    </row>
    <row r="10" spans="1:8" x14ac:dyDescent="0.2">
      <c r="A10" s="59" t="s">
        <v>22</v>
      </c>
      <c r="B10" s="52">
        <f>IFERROR(SUMIFS(Data!$O:$O,Data!$AN:$AN,Weekday!B4),0)</f>
        <v>1642</v>
      </c>
      <c r="C10" s="52">
        <f>IFERROR(SUMIFS(Data!$O:$O,Data!$AN:$AN,Weekday!C4),0)</f>
        <v>2173</v>
      </c>
      <c r="D10" s="52">
        <f>IFERROR(SUMIFS(Data!$O:$O,Data!$AN:$AN,Weekday!D4),0)</f>
        <v>6055</v>
      </c>
      <c r="E10" s="52">
        <f>IFERROR(SUMIFS(Data!$O:$O,Data!$AN:$AN,Weekday!E4),0)</f>
        <v>863</v>
      </c>
      <c r="F10" s="52">
        <f>IFERROR(SUMIFS(Data!$O:$O,Data!$AN:$AN,Weekday!F4),0)</f>
        <v>1524</v>
      </c>
      <c r="G10" s="52">
        <f>IFERROR(SUMIFS(Data!$O:$O,Data!$AN:$AN,Weekday!G4),0)</f>
        <v>7131</v>
      </c>
      <c r="H10" s="52">
        <f>IFERROR(SUMIFS(Data!$O:$O,Data!$AN:$AN,Weekday!H4),0)</f>
        <v>7184</v>
      </c>
    </row>
    <row r="11" spans="1:8" x14ac:dyDescent="0.2">
      <c r="A11" s="59" t="s">
        <v>23</v>
      </c>
      <c r="B11" s="52">
        <f>IFERROR(SUMIFS(Data!$P:$P,Data!$AN:$AN,Weekday!B4),0)</f>
        <v>40</v>
      </c>
      <c r="C11" s="52">
        <f>IFERROR(SUMIFS(Data!$P:$P,Data!$AN:$AN,Weekday!C4),0)</f>
        <v>71</v>
      </c>
      <c r="D11" s="52">
        <f>IFERROR(SUMIFS(Data!$P:$P,Data!$AN:$AN,Weekday!D4),0)</f>
        <v>-27</v>
      </c>
      <c r="E11" s="52">
        <f>IFERROR(SUMIFS(Data!$P:$P,Data!$AN:$AN,Weekday!E4),0)</f>
        <v>-64</v>
      </c>
      <c r="F11" s="52">
        <f>IFERROR(SUMIFS(Data!$P:$P,Data!$AN:$AN,Weekday!F4),0)</f>
        <v>242</v>
      </c>
      <c r="G11" s="52">
        <f>IFERROR(SUMIFS(Data!$P:$P,Data!$AN:$AN,Weekday!G4),0)</f>
        <v>109</v>
      </c>
      <c r="H11" s="52">
        <f>IFERROR(SUMIFS(Data!$P:$P,Data!$AN:$AN,Weekday!H4),0)</f>
        <v>115</v>
      </c>
    </row>
    <row r="12" spans="1:8" x14ac:dyDescent="0.2">
      <c r="A12" s="59" t="s">
        <v>24</v>
      </c>
      <c r="B12" s="52">
        <f>IFERROR(SUMIFS(Data!$Q:$Q,Data!$AN:$AN,Weekday!B4),0)</f>
        <v>15</v>
      </c>
      <c r="C12" s="52">
        <f>IFERROR(SUMIFS(Data!$Q:$Q,Data!$AN:$AN,Weekday!C4),0)</f>
        <v>0</v>
      </c>
      <c r="D12" s="52">
        <f>IFERROR(SUMIFS(Data!$Q:$Q,Data!$AN:$AN,Weekday!D4),0)</f>
        <v>16</v>
      </c>
      <c r="E12" s="52">
        <f>IFERROR(SUMIFS(Data!$Q:$Q,Data!$AN:$AN,Weekday!E4),0)</f>
        <v>0</v>
      </c>
      <c r="F12" s="52">
        <f>IFERROR(SUMIFS(Data!$Q:$Q,Data!$AN:$AN,Weekday!F4),0)</f>
        <v>16</v>
      </c>
      <c r="G12" s="52">
        <f>IFERROR(SUMIFS(Data!$Q:$Q,Data!$AN:$AN,Weekday!G4),0)</f>
        <v>37</v>
      </c>
      <c r="H12" s="52">
        <f>IFERROR(SUMIFS(Data!$Q:$Q,Data!$AN:$AN,Weekday!H4),0)</f>
        <v>54</v>
      </c>
    </row>
    <row r="13" spans="1:8" x14ac:dyDescent="0.2">
      <c r="A13" s="59" t="s">
        <v>25</v>
      </c>
      <c r="B13" s="52">
        <f>IFERROR(SUMIFS(Data!$R:$R,Data!$AN:$AN,Weekday!B4),0)</f>
        <v>354</v>
      </c>
      <c r="C13" s="52">
        <f>IFERROR(SUMIFS(Data!$R:$R,Data!$AN:$AN,Weekday!C4),0)</f>
        <v>346</v>
      </c>
      <c r="D13" s="52">
        <f>IFERROR(SUMIFS(Data!$R:$R,Data!$AN:$AN,Weekday!D4),0)</f>
        <v>-164</v>
      </c>
      <c r="E13" s="52">
        <f>IFERROR(SUMIFS(Data!$R:$R,Data!$AN:$AN,Weekday!E4),0)</f>
        <v>590</v>
      </c>
      <c r="F13" s="52">
        <f>IFERROR(SUMIFS(Data!$R:$R,Data!$AN:$AN,Weekday!F4),0)</f>
        <v>2432</v>
      </c>
      <c r="G13" s="52">
        <f>IFERROR(SUMIFS(Data!$R:$R,Data!$AN:$AN,Weekday!G4),0)</f>
        <v>1123</v>
      </c>
      <c r="H13" s="52">
        <f>IFERROR(SUMIFS(Data!$R:$R,Data!$AN:$AN,Weekday!H4),0)</f>
        <v>827</v>
      </c>
    </row>
    <row r="14" spans="1:8" x14ac:dyDescent="0.2">
      <c r="A14" s="59" t="s">
        <v>26</v>
      </c>
      <c r="B14" s="52">
        <f>IFERROR(SUMIFS(Data!$S:$S,Data!$AN:$AN,Weekday!B4),0)</f>
        <v>-756</v>
      </c>
      <c r="C14" s="52">
        <f>IFERROR(SUMIFS(Data!$S:$S,Data!$AN:$AN,Weekday!C4),0)</f>
        <v>2532</v>
      </c>
      <c r="D14" s="52">
        <f>IFERROR(SUMIFS(Data!$S:$S,Data!$AN:$AN,Weekday!D4),0)</f>
        <v>3965</v>
      </c>
      <c r="E14" s="52">
        <f>IFERROR(SUMIFS(Data!$S:$S,Data!$AN:$AN,Weekday!E4),0)</f>
        <v>4794</v>
      </c>
      <c r="F14" s="52">
        <f>IFERROR(SUMIFS(Data!$S:$S,Data!$AN:$AN,Weekday!F4),0)</f>
        <v>6631</v>
      </c>
      <c r="G14" s="52">
        <f>IFERROR(SUMIFS(Data!$S:$S,Data!$AN:$AN,Weekday!G4),0)</f>
        <v>3653</v>
      </c>
      <c r="H14" s="52">
        <f>IFERROR(SUMIFS(Data!$S:$S,Data!$AN:$AN,Weekday!H4),0)</f>
        <v>-3034</v>
      </c>
    </row>
    <row r="17" spans="1:8" x14ac:dyDescent="0.2">
      <c r="A17" s="59" t="s">
        <v>64</v>
      </c>
      <c r="B17" s="62">
        <f>B6/(SUM($B6:$H6))</f>
        <v>6.8082645497082178E-2</v>
      </c>
      <c r="C17" s="62">
        <f>C6/(SUM($B6:$H6))</f>
        <v>7.8176752010935283E-2</v>
      </c>
      <c r="D17" s="62">
        <f t="shared" ref="D17:H18" si="0">D6/(SUM($B6:$H6))</f>
        <v>0.18019557331370589</v>
      </c>
      <c r="E17" s="62">
        <f t="shared" si="0"/>
        <v>6.0932653383102886E-2</v>
      </c>
      <c r="F17" s="62">
        <f t="shared" si="0"/>
        <v>0.1461016770937385</v>
      </c>
      <c r="G17" s="62">
        <f t="shared" si="0"/>
        <v>0.26010724988170969</v>
      </c>
      <c r="H17" s="62">
        <f t="shared" si="0"/>
        <v>0.20640344881972555</v>
      </c>
    </row>
    <row r="18" spans="1:8" x14ac:dyDescent="0.2">
      <c r="A18" s="59" t="s">
        <v>63</v>
      </c>
      <c r="B18" s="62">
        <f>B7/(SUM($B7:$H7))</f>
        <v>9.3425025159342506E-2</v>
      </c>
      <c r="C18" s="62">
        <f>C7/(SUM($B7:$H7))</f>
        <v>7.0949345857094934E-2</v>
      </c>
      <c r="D18" s="62">
        <f t="shared" si="0"/>
        <v>0.14206642066420663</v>
      </c>
      <c r="E18" s="62">
        <f t="shared" si="0"/>
        <v>0.11975847031197585</v>
      </c>
      <c r="F18" s="62">
        <f t="shared" si="0"/>
        <v>0.16722576316672258</v>
      </c>
      <c r="G18" s="62">
        <f t="shared" si="0"/>
        <v>0.20580342167058036</v>
      </c>
      <c r="H18" s="62">
        <f t="shared" si="0"/>
        <v>0.20077155317007717</v>
      </c>
    </row>
    <row r="19" spans="1:8" x14ac:dyDescent="0.2">
      <c r="A19" s="59" t="s">
        <v>65</v>
      </c>
      <c r="B19" s="62">
        <f t="shared" ref="B19:H19" si="1">B8/(SUM($B8:$H8))</f>
        <v>0.23255813953488372</v>
      </c>
      <c r="C19" s="62">
        <f t="shared" si="1"/>
        <v>0.18604651162790697</v>
      </c>
      <c r="D19" s="62">
        <f t="shared" si="1"/>
        <v>0</v>
      </c>
      <c r="E19" s="62">
        <f t="shared" si="1"/>
        <v>0.48837209302325579</v>
      </c>
      <c r="F19" s="62">
        <f t="shared" si="1"/>
        <v>4.6511627906976744E-2</v>
      </c>
      <c r="G19" s="62">
        <f t="shared" si="1"/>
        <v>2.3255813953488372E-2</v>
      </c>
      <c r="H19" s="62">
        <f t="shared" si="1"/>
        <v>2.3255813953488372E-2</v>
      </c>
    </row>
    <row r="20" spans="1:8" x14ac:dyDescent="0.2">
      <c r="A20" s="59" t="s">
        <v>66</v>
      </c>
      <c r="B20" s="62">
        <f t="shared" ref="B20:H20" si="2">B9/(SUM($B9:$H9))</f>
        <v>7.5630252100840331E-2</v>
      </c>
      <c r="C20" s="62">
        <f t="shared" si="2"/>
        <v>9.2436974789915971E-2</v>
      </c>
      <c r="D20" s="62">
        <f t="shared" si="2"/>
        <v>9.2436974789915971E-2</v>
      </c>
      <c r="E20" s="62">
        <f t="shared" si="2"/>
        <v>0.15126050420168066</v>
      </c>
      <c r="F20" s="62">
        <f t="shared" si="2"/>
        <v>0.15966386554621848</v>
      </c>
      <c r="G20" s="62">
        <f t="shared" si="2"/>
        <v>0.25210084033613445</v>
      </c>
      <c r="H20" s="62">
        <f t="shared" si="2"/>
        <v>0.17647058823529413</v>
      </c>
    </row>
    <row r="21" spans="1:8" x14ac:dyDescent="0.2">
      <c r="A21" s="59" t="s">
        <v>67</v>
      </c>
      <c r="B21" s="62">
        <f t="shared" ref="B21:H21" si="3">B10/(SUM($B10:$H10))</f>
        <v>6.1794370013548094E-2</v>
      </c>
      <c r="C21" s="62">
        <f t="shared" si="3"/>
        <v>8.1777811229866021E-2</v>
      </c>
      <c r="D21" s="62">
        <f t="shared" si="3"/>
        <v>0.22787144362486828</v>
      </c>
      <c r="E21" s="62">
        <f t="shared" si="3"/>
        <v>3.2477796176426314E-2</v>
      </c>
      <c r="F21" s="62">
        <f t="shared" si="3"/>
        <v>5.7353605298810777E-2</v>
      </c>
      <c r="G21" s="62">
        <f t="shared" si="3"/>
        <v>0.26836519644738821</v>
      </c>
      <c r="H21" s="62">
        <f t="shared" si="3"/>
        <v>0.27035977720909227</v>
      </c>
    </row>
    <row r="22" spans="1:8" x14ac:dyDescent="0.2">
      <c r="A22" s="59" t="s">
        <v>68</v>
      </c>
      <c r="B22" s="62">
        <f t="shared" ref="B22:H22" si="4">B11/(SUM($B11:$H11))</f>
        <v>8.2304526748971193E-2</v>
      </c>
      <c r="C22" s="62">
        <f t="shared" si="4"/>
        <v>0.14609053497942387</v>
      </c>
      <c r="D22" s="62">
        <f t="shared" si="4"/>
        <v>-5.5555555555555552E-2</v>
      </c>
      <c r="E22" s="62">
        <f t="shared" si="4"/>
        <v>-0.13168724279835392</v>
      </c>
      <c r="F22" s="62">
        <f t="shared" si="4"/>
        <v>0.49794238683127573</v>
      </c>
      <c r="G22" s="62">
        <f t="shared" si="4"/>
        <v>0.22427983539094651</v>
      </c>
      <c r="H22" s="62">
        <f t="shared" si="4"/>
        <v>0.23662551440329219</v>
      </c>
    </row>
    <row r="23" spans="1:8" x14ac:dyDescent="0.2">
      <c r="A23" s="59" t="s">
        <v>69</v>
      </c>
      <c r="B23" s="62">
        <f t="shared" ref="B23:H23" si="5">B12/(SUM($B12:$H12))</f>
        <v>0.10869565217391304</v>
      </c>
      <c r="C23" s="62">
        <f t="shared" si="5"/>
        <v>0</v>
      </c>
      <c r="D23" s="62">
        <f t="shared" si="5"/>
        <v>0.11594202898550725</v>
      </c>
      <c r="E23" s="62">
        <f t="shared" si="5"/>
        <v>0</v>
      </c>
      <c r="F23" s="62">
        <f t="shared" si="5"/>
        <v>0.11594202898550725</v>
      </c>
      <c r="G23" s="62">
        <f t="shared" si="5"/>
        <v>0.26811594202898553</v>
      </c>
      <c r="H23" s="62">
        <f t="shared" si="5"/>
        <v>0.39130434782608697</v>
      </c>
    </row>
    <row r="24" spans="1:8" x14ac:dyDescent="0.2">
      <c r="A24" s="59" t="s">
        <v>70</v>
      </c>
      <c r="B24" s="62">
        <f t="shared" ref="B24:H24" si="6">B13/(SUM($B13:$H13))</f>
        <v>6.4270152505446626E-2</v>
      </c>
      <c r="C24" s="62">
        <f t="shared" si="6"/>
        <v>6.2817719680464776E-2</v>
      </c>
      <c r="D24" s="62">
        <f t="shared" si="6"/>
        <v>-2.9774872912127815E-2</v>
      </c>
      <c r="E24" s="62">
        <f t="shared" si="6"/>
        <v>0.10711692084241103</v>
      </c>
      <c r="F24" s="62">
        <f t="shared" si="6"/>
        <v>0.44153957879448075</v>
      </c>
      <c r="G24" s="62">
        <f t="shared" si="6"/>
        <v>0.20388525780682643</v>
      </c>
      <c r="H24" s="62">
        <f t="shared" si="6"/>
        <v>0.15014524328249818</v>
      </c>
    </row>
    <row r="25" spans="1:8" x14ac:dyDescent="0.2">
      <c r="A25" s="59" t="s">
        <v>71</v>
      </c>
      <c r="B25" s="62">
        <f t="shared" ref="B25:H25" si="7">B14/(SUM($B14:$H14))</f>
        <v>-4.2507731234186115E-2</v>
      </c>
      <c r="C25" s="62">
        <f t="shared" si="7"/>
        <v>0.14236716333989316</v>
      </c>
      <c r="D25" s="62">
        <f t="shared" si="7"/>
        <v>0.22294068034860837</v>
      </c>
      <c r="E25" s="62">
        <f t="shared" si="7"/>
        <v>0.26955299409614841</v>
      </c>
      <c r="F25" s="62">
        <f t="shared" si="7"/>
        <v>0.37284228282260334</v>
      </c>
      <c r="G25" s="62">
        <f t="shared" si="7"/>
        <v>0.20539780714084904</v>
      </c>
      <c r="H25" s="62">
        <f t="shared" si="7"/>
        <v>-0.17059319651391622</v>
      </c>
    </row>
    <row r="26" spans="1:8" x14ac:dyDescent="0.2">
      <c r="B26" s="62"/>
      <c r="C26" s="62"/>
      <c r="D26" s="62"/>
      <c r="E26" s="62"/>
      <c r="F26" s="62"/>
      <c r="G26" s="62"/>
      <c r="H26" s="62"/>
    </row>
  </sheetData>
  <conditionalFormatting sqref="B17:H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H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6471-6939-406D-B0DE-E75DA469D03E}">
  <dimension ref="A1:E66"/>
  <sheetViews>
    <sheetView topLeftCell="A28" workbookViewId="0">
      <selection activeCell="D1" sqref="D1"/>
    </sheetView>
  </sheetViews>
  <sheetFormatPr defaultRowHeight="13.5" x14ac:dyDescent="0.25"/>
  <cols>
    <col min="1" max="1" width="9.140625" style="1"/>
    <col min="2" max="2" width="9.5703125" style="1" bestFit="1" customWidth="1"/>
    <col min="3" max="3" width="9.5703125" style="1" customWidth="1"/>
    <col min="4" max="5" width="10.5703125" style="1" bestFit="1" customWidth="1"/>
    <col min="6" max="16384" width="9.140625" style="1"/>
  </cols>
  <sheetData>
    <row r="1" spans="1:5" x14ac:dyDescent="0.25">
      <c r="A1" s="58" t="s">
        <v>40</v>
      </c>
      <c r="B1" s="58" t="s">
        <v>55</v>
      </c>
      <c r="C1" s="63" t="s">
        <v>73</v>
      </c>
      <c r="D1" s="53" t="s">
        <v>54</v>
      </c>
      <c r="E1" s="53" t="s">
        <v>53</v>
      </c>
    </row>
    <row r="2" spans="1:5" x14ac:dyDescent="0.25">
      <c r="A2" s="54">
        <v>43887</v>
      </c>
      <c r="B2" s="55">
        <v>0</v>
      </c>
      <c r="C2" s="55"/>
      <c r="D2" s="55"/>
      <c r="E2" s="55"/>
    </row>
    <row r="3" spans="1:5" x14ac:dyDescent="0.25">
      <c r="A3" s="54">
        <v>43888</v>
      </c>
      <c r="B3" s="55">
        <v>0</v>
      </c>
      <c r="C3" s="55"/>
      <c r="D3" s="55"/>
      <c r="E3" s="55"/>
    </row>
    <row r="4" spans="1:5" x14ac:dyDescent="0.25">
      <c r="A4" s="54">
        <v>43889</v>
      </c>
      <c r="B4" s="55">
        <v>0</v>
      </c>
      <c r="C4" s="55"/>
      <c r="D4" s="55"/>
      <c r="E4" s="55"/>
    </row>
    <row r="5" spans="1:5" x14ac:dyDescent="0.25">
      <c r="A5" s="54">
        <v>43890</v>
      </c>
      <c r="B5" s="55">
        <v>0</v>
      </c>
      <c r="C5" s="55"/>
      <c r="D5" s="55"/>
      <c r="E5" s="55"/>
    </row>
    <row r="6" spans="1:5" x14ac:dyDescent="0.25">
      <c r="A6" s="54">
        <v>43891</v>
      </c>
      <c r="B6" s="55">
        <v>0</v>
      </c>
      <c r="C6" s="55"/>
      <c r="D6" s="55"/>
      <c r="E6" s="55"/>
    </row>
    <row r="7" spans="1:5" x14ac:dyDescent="0.25">
      <c r="A7" s="54">
        <v>43892</v>
      </c>
      <c r="B7" s="55">
        <v>2</v>
      </c>
      <c r="C7" s="55"/>
      <c r="D7" s="55"/>
      <c r="E7" s="55"/>
    </row>
    <row r="8" spans="1:5" x14ac:dyDescent="0.25">
      <c r="A8" s="54">
        <v>43893</v>
      </c>
      <c r="B8" s="55">
        <v>4</v>
      </c>
      <c r="C8" s="55"/>
      <c r="D8" s="55"/>
      <c r="E8" s="55"/>
    </row>
    <row r="9" spans="1:5" x14ac:dyDescent="0.25">
      <c r="A9" s="54">
        <v>43894</v>
      </c>
      <c r="B9" s="55">
        <v>6</v>
      </c>
      <c r="C9" s="55"/>
      <c r="D9" s="55"/>
      <c r="E9" s="55"/>
    </row>
    <row r="10" spans="1:5" x14ac:dyDescent="0.25">
      <c r="A10" s="54">
        <v>43895</v>
      </c>
      <c r="B10" s="55">
        <v>9</v>
      </c>
      <c r="C10" s="55"/>
      <c r="D10" s="55"/>
      <c r="E10" s="55"/>
    </row>
    <row r="11" spans="1:5" x14ac:dyDescent="0.25">
      <c r="A11" s="54">
        <v>43896</v>
      </c>
      <c r="B11" s="55">
        <v>13</v>
      </c>
      <c r="C11" s="55"/>
      <c r="D11" s="55"/>
      <c r="E11" s="55"/>
    </row>
    <row r="12" spans="1:5" x14ac:dyDescent="0.25">
      <c r="A12" s="54">
        <v>43897</v>
      </c>
      <c r="B12" s="55">
        <v>21</v>
      </c>
      <c r="C12" s="55"/>
      <c r="D12" s="55"/>
      <c r="E12" s="55"/>
    </row>
    <row r="13" spans="1:5" x14ac:dyDescent="0.25">
      <c r="A13" s="54">
        <v>43898</v>
      </c>
      <c r="B13" s="55">
        <v>30</v>
      </c>
      <c r="C13" s="55"/>
      <c r="D13" s="55"/>
      <c r="E13" s="55"/>
    </row>
    <row r="14" spans="1:5" x14ac:dyDescent="0.25">
      <c r="A14" s="54">
        <v>43899</v>
      </c>
      <c r="B14" s="55">
        <v>39</v>
      </c>
      <c r="C14" s="55"/>
      <c r="D14" s="55"/>
      <c r="E14" s="55"/>
    </row>
    <row r="15" spans="1:5" x14ac:dyDescent="0.25">
      <c r="A15" s="54">
        <v>43900</v>
      </c>
      <c r="B15" s="55">
        <v>41</v>
      </c>
      <c r="C15" s="55"/>
      <c r="D15" s="55"/>
      <c r="E15" s="55"/>
    </row>
    <row r="16" spans="1:5" x14ac:dyDescent="0.25">
      <c r="A16" s="54">
        <v>43901</v>
      </c>
      <c r="B16" s="55">
        <v>59</v>
      </c>
      <c r="C16" s="55"/>
      <c r="D16" s="55"/>
      <c r="E16" s="55"/>
    </row>
    <row r="17" spans="1:5" x14ac:dyDescent="0.25">
      <c r="A17" s="54">
        <v>43902</v>
      </c>
      <c r="B17" s="55">
        <v>78</v>
      </c>
      <c r="C17" s="55"/>
      <c r="D17" s="55"/>
      <c r="E17" s="55"/>
    </row>
    <row r="18" spans="1:5" x14ac:dyDescent="0.25">
      <c r="A18" s="54">
        <v>43903</v>
      </c>
      <c r="B18" s="55">
        <v>112</v>
      </c>
      <c r="C18" s="55"/>
      <c r="D18" s="55"/>
      <c r="E18" s="55"/>
    </row>
    <row r="19" spans="1:5" x14ac:dyDescent="0.25">
      <c r="A19" s="54">
        <v>43904</v>
      </c>
      <c r="B19" s="55">
        <v>169</v>
      </c>
      <c r="C19" s="55"/>
      <c r="D19" s="55"/>
      <c r="E19" s="55"/>
    </row>
    <row r="20" spans="1:5" x14ac:dyDescent="0.25">
      <c r="A20" s="54">
        <v>43905</v>
      </c>
      <c r="B20" s="55">
        <v>245</v>
      </c>
      <c r="C20" s="55"/>
      <c r="D20" s="55"/>
      <c r="E20" s="55"/>
    </row>
    <row r="21" spans="1:5" x14ac:dyDescent="0.25">
      <c r="A21" s="54">
        <v>43906</v>
      </c>
      <c r="B21" s="55">
        <v>331</v>
      </c>
      <c r="C21" s="55"/>
      <c r="D21" s="55"/>
      <c r="E21" s="55"/>
    </row>
    <row r="22" spans="1:5" x14ac:dyDescent="0.25">
      <c r="A22" s="54">
        <v>43907</v>
      </c>
      <c r="B22" s="55">
        <v>448</v>
      </c>
      <c r="C22" s="55"/>
      <c r="D22" s="55"/>
      <c r="E22" s="55"/>
    </row>
    <row r="23" spans="1:5" x14ac:dyDescent="0.25">
      <c r="A23" s="54">
        <v>43908</v>
      </c>
      <c r="B23" s="55">
        <v>642</v>
      </c>
      <c r="C23" s="55"/>
      <c r="D23" s="55"/>
      <c r="E23" s="55"/>
    </row>
    <row r="24" spans="1:5" x14ac:dyDescent="0.25">
      <c r="A24" s="54">
        <v>43909</v>
      </c>
      <c r="B24" s="55">
        <v>785</v>
      </c>
      <c r="C24" s="55"/>
      <c r="D24" s="55"/>
      <c r="E24" s="55"/>
    </row>
    <row r="25" spans="1:5" x14ac:dyDescent="0.25">
      <c r="A25" s="54">
        <v>43910</v>
      </c>
      <c r="B25" s="55">
        <v>1020</v>
      </c>
      <c r="C25" s="55"/>
      <c r="D25" s="55"/>
      <c r="E25" s="55"/>
    </row>
    <row r="26" spans="1:5" x14ac:dyDescent="0.25">
      <c r="A26" s="54">
        <v>43911</v>
      </c>
      <c r="B26" s="55">
        <v>1280</v>
      </c>
      <c r="C26" s="55"/>
      <c r="D26" s="55"/>
      <c r="E26" s="55"/>
    </row>
    <row r="27" spans="1:5" x14ac:dyDescent="0.25">
      <c r="A27" s="54">
        <v>43912</v>
      </c>
      <c r="B27" s="55">
        <v>1600</v>
      </c>
      <c r="C27" s="55"/>
      <c r="D27" s="55"/>
      <c r="E27" s="55"/>
    </row>
    <row r="28" spans="1:5" x14ac:dyDescent="0.25">
      <c r="A28" s="54">
        <v>43913</v>
      </c>
      <c r="B28" s="55">
        <v>2060</v>
      </c>
      <c r="C28" s="55"/>
      <c r="D28" s="55"/>
      <c r="E28" s="55"/>
    </row>
    <row r="29" spans="1:5" x14ac:dyDescent="0.25">
      <c r="A29" s="54">
        <v>43914</v>
      </c>
      <c r="B29" s="55">
        <v>2362</v>
      </c>
      <c r="C29" s="55"/>
      <c r="D29" s="55"/>
      <c r="E29" s="55"/>
    </row>
    <row r="30" spans="1:5" x14ac:dyDescent="0.25">
      <c r="A30" s="54">
        <v>43915</v>
      </c>
      <c r="B30" s="55">
        <v>2995</v>
      </c>
      <c r="C30" s="55"/>
      <c r="D30" s="55"/>
      <c r="E30" s="55"/>
    </row>
    <row r="31" spans="1:5" x14ac:dyDescent="0.25">
      <c r="A31" s="54">
        <v>43916</v>
      </c>
      <c r="B31" s="55">
        <v>3544</v>
      </c>
      <c r="C31" s="55"/>
      <c r="D31" s="55"/>
      <c r="E31" s="55"/>
    </row>
    <row r="32" spans="1:5" x14ac:dyDescent="0.25">
      <c r="A32" s="54">
        <v>43917</v>
      </c>
      <c r="B32" s="55">
        <v>4268</v>
      </c>
      <c r="C32" s="55"/>
      <c r="D32" s="55"/>
      <c r="E32" s="55">
        <v>4268</v>
      </c>
    </row>
    <row r="33" spans="1:5" x14ac:dyDescent="0.25">
      <c r="A33" s="54">
        <v>43918</v>
      </c>
      <c r="B33" s="55">
        <v>5170</v>
      </c>
      <c r="C33" s="55"/>
      <c r="D33" s="55">
        <v>5170</v>
      </c>
      <c r="E33" s="55">
        <v>4961.8969166056868</v>
      </c>
    </row>
    <row r="34" spans="1:5" x14ac:dyDescent="0.25">
      <c r="A34" s="54">
        <v>43919</v>
      </c>
      <c r="B34" s="56">
        <v>5962</v>
      </c>
      <c r="C34" s="56">
        <v>5962</v>
      </c>
      <c r="D34" s="56">
        <v>6044.5294341523841</v>
      </c>
      <c r="E34" s="55">
        <v>5670.1519871260143</v>
      </c>
    </row>
    <row r="35" spans="1:5" x14ac:dyDescent="0.25">
      <c r="A35" s="54">
        <v>43920</v>
      </c>
      <c r="B35" s="56"/>
      <c r="C35" s="56">
        <v>6809.9784765581808</v>
      </c>
      <c r="D35" s="56">
        <v>6939.8691766441998</v>
      </c>
      <c r="E35" s="55">
        <v>6378.4070576463428</v>
      </c>
    </row>
    <row r="36" spans="1:5" x14ac:dyDescent="0.25">
      <c r="A36" s="54">
        <v>43921</v>
      </c>
      <c r="B36" s="56"/>
      <c r="C36" s="56">
        <v>7708.1093843476601</v>
      </c>
      <c r="D36" s="56">
        <v>7835.2089191360155</v>
      </c>
      <c r="E36" s="56">
        <v>7086.6621281666703</v>
      </c>
    </row>
    <row r="37" spans="1:5" x14ac:dyDescent="0.25">
      <c r="A37" s="54">
        <v>43922</v>
      </c>
      <c r="B37" s="56"/>
      <c r="C37" s="56">
        <v>8606.2402921371395</v>
      </c>
      <c r="D37" s="56">
        <v>8730.5486616278322</v>
      </c>
      <c r="E37" s="56">
        <v>7794.9171986869987</v>
      </c>
    </row>
    <row r="38" spans="1:5" x14ac:dyDescent="0.25">
      <c r="A38" s="54">
        <v>43923</v>
      </c>
      <c r="B38" s="56"/>
      <c r="C38" s="56">
        <v>9504.3711999266179</v>
      </c>
      <c r="D38" s="56">
        <v>9625.888404119647</v>
      </c>
      <c r="E38" s="56">
        <v>8503.1722692073272</v>
      </c>
    </row>
    <row r="39" spans="1:5" x14ac:dyDescent="0.25">
      <c r="A39" s="54">
        <v>43924</v>
      </c>
      <c r="B39" s="56"/>
      <c r="C39" s="56">
        <v>10402.502107716096</v>
      </c>
      <c r="D39" s="56">
        <v>10521.228146611462</v>
      </c>
      <c r="E39" s="56">
        <v>9211.4273397276556</v>
      </c>
    </row>
    <row r="40" spans="1:5" x14ac:dyDescent="0.25">
      <c r="A40" s="54">
        <v>43925</v>
      </c>
      <c r="B40" s="56"/>
      <c r="C40" s="56">
        <v>11300.633015505577</v>
      </c>
      <c r="D40" s="56">
        <v>11416.567889103279</v>
      </c>
      <c r="E40" s="56">
        <v>9919.6824102479841</v>
      </c>
    </row>
    <row r="41" spans="1:5" x14ac:dyDescent="0.25">
      <c r="A41" s="54">
        <v>43926</v>
      </c>
      <c r="B41" s="56"/>
      <c r="C41" s="56">
        <v>12198.763923295057</v>
      </c>
      <c r="D41" s="56">
        <v>12311.907631595095</v>
      </c>
      <c r="E41" s="56">
        <v>10627.937480768313</v>
      </c>
    </row>
    <row r="42" spans="1:5" x14ac:dyDescent="0.25">
      <c r="A42" s="54">
        <v>43927</v>
      </c>
      <c r="B42" s="56"/>
      <c r="C42" s="56">
        <v>13096.894831084535</v>
      </c>
      <c r="D42" s="56">
        <v>13207.24737408691</v>
      </c>
      <c r="E42" s="56">
        <v>11336.192551288639</v>
      </c>
    </row>
    <row r="43" spans="1:5" x14ac:dyDescent="0.25">
      <c r="A43" s="54">
        <v>43928</v>
      </c>
      <c r="B43" s="56"/>
      <c r="C43" s="56">
        <v>13995.025738874014</v>
      </c>
      <c r="D43" s="56">
        <v>14102.587116578725</v>
      </c>
      <c r="E43" s="56">
        <v>12044.447621808968</v>
      </c>
    </row>
    <row r="44" spans="1:5" x14ac:dyDescent="0.25">
      <c r="A44" s="54">
        <v>43929</v>
      </c>
      <c r="B44" s="56"/>
      <c r="C44" s="56">
        <v>14893.156646663494</v>
      </c>
      <c r="D44" s="56">
        <v>14997.926859070543</v>
      </c>
      <c r="E44" s="56">
        <v>12752.702692329296</v>
      </c>
    </row>
    <row r="45" spans="1:5" x14ac:dyDescent="0.25">
      <c r="A45" s="54">
        <v>43930</v>
      </c>
      <c r="B45" s="56"/>
      <c r="C45" s="56">
        <v>15791.287554452974</v>
      </c>
      <c r="D45" s="56">
        <v>15893.266601562358</v>
      </c>
      <c r="E45" s="56">
        <v>13460.957762849624</v>
      </c>
    </row>
    <row r="46" spans="1:5" x14ac:dyDescent="0.25">
      <c r="A46" s="54">
        <v>43931</v>
      </c>
      <c r="B46" s="56"/>
      <c r="C46" s="56">
        <v>16689.418462242451</v>
      </c>
      <c r="D46" s="56">
        <v>16788.606344054173</v>
      </c>
      <c r="E46" s="56">
        <v>14169.212833369951</v>
      </c>
    </row>
    <row r="47" spans="1:5" x14ac:dyDescent="0.25">
      <c r="A47" s="54">
        <v>43932</v>
      </c>
      <c r="B47" s="56"/>
      <c r="C47" s="56">
        <v>17587.549370031931</v>
      </c>
      <c r="D47" s="56">
        <v>17683.946086545988</v>
      </c>
      <c r="E47" s="56">
        <v>14877.46790389028</v>
      </c>
    </row>
    <row r="48" spans="1:5" x14ac:dyDescent="0.25">
      <c r="A48" s="54">
        <v>43933</v>
      </c>
      <c r="B48" s="56"/>
      <c r="C48" s="56">
        <v>18485.680277821411</v>
      </c>
      <c r="D48" s="56">
        <v>18579.285829037806</v>
      </c>
      <c r="E48" s="56">
        <v>15585.722974410608</v>
      </c>
    </row>
    <row r="49" spans="1:5" x14ac:dyDescent="0.25">
      <c r="A49" s="54">
        <v>43934</v>
      </c>
      <c r="B49" s="56"/>
      <c r="C49" s="56">
        <v>19383.811185610892</v>
      </c>
      <c r="D49" s="56">
        <v>19474.625571529621</v>
      </c>
      <c r="E49" s="56">
        <v>16293.978044930936</v>
      </c>
    </row>
    <row r="50" spans="1:5" x14ac:dyDescent="0.25">
      <c r="A50" s="54">
        <v>43935</v>
      </c>
      <c r="B50" s="56"/>
      <c r="C50" s="56">
        <v>20281.942093400368</v>
      </c>
      <c r="D50" s="56">
        <v>20369.965314021436</v>
      </c>
      <c r="E50" s="56">
        <v>17002.233115451265</v>
      </c>
    </row>
    <row r="51" spans="1:5" x14ac:dyDescent="0.25">
      <c r="A51" s="54">
        <v>43936</v>
      </c>
      <c r="B51" s="56"/>
      <c r="C51" s="56">
        <v>21180.073001189849</v>
      </c>
      <c r="D51" s="56">
        <v>21265.305056513251</v>
      </c>
      <c r="E51" s="56">
        <v>17710.48818597159</v>
      </c>
    </row>
    <row r="52" spans="1:5" x14ac:dyDescent="0.25">
      <c r="A52" s="54">
        <v>43937</v>
      </c>
      <c r="B52" s="56"/>
      <c r="C52" s="56">
        <v>22078.203908979329</v>
      </c>
      <c r="D52" s="56">
        <v>22160.644799005069</v>
      </c>
      <c r="E52" s="56">
        <v>18418.743256491922</v>
      </c>
    </row>
    <row r="53" spans="1:5" x14ac:dyDescent="0.25">
      <c r="A53" s="54">
        <v>43938</v>
      </c>
      <c r="B53" s="56"/>
      <c r="C53" s="56">
        <v>22976.334816768809</v>
      </c>
      <c r="D53" s="56">
        <v>23055.984541496884</v>
      </c>
      <c r="E53" s="56">
        <v>19126.998327012247</v>
      </c>
    </row>
    <row r="54" spans="1:5" x14ac:dyDescent="0.25">
      <c r="A54" s="54">
        <v>43939</v>
      </c>
      <c r="B54" s="56"/>
      <c r="C54" s="56">
        <v>23874.465724558286</v>
      </c>
      <c r="D54" s="56">
        <v>23951.324283988699</v>
      </c>
      <c r="E54" s="56">
        <v>19835.253397532579</v>
      </c>
    </row>
    <row r="55" spans="1:5" x14ac:dyDescent="0.25">
      <c r="A55" s="54">
        <v>43940</v>
      </c>
      <c r="B55" s="56"/>
      <c r="C55" s="56">
        <v>24772.596632347766</v>
      </c>
      <c r="D55" s="56">
        <v>24846.664026480517</v>
      </c>
      <c r="E55" s="56">
        <v>20543.508468052903</v>
      </c>
    </row>
    <row r="56" spans="1:5" x14ac:dyDescent="0.25">
      <c r="A56" s="54">
        <v>43941</v>
      </c>
      <c r="B56" s="56"/>
      <c r="C56" s="56">
        <v>25670.727540137246</v>
      </c>
      <c r="D56" s="56">
        <v>25742.003768972332</v>
      </c>
      <c r="E56" s="56">
        <v>21251.763538573236</v>
      </c>
    </row>
    <row r="57" spans="1:5" x14ac:dyDescent="0.25">
      <c r="A57" s="54">
        <v>43942</v>
      </c>
      <c r="B57" s="56"/>
      <c r="C57" s="56">
        <v>26568.858447926727</v>
      </c>
      <c r="D57" s="56">
        <v>26637.343511464147</v>
      </c>
      <c r="E57" s="56">
        <v>21960.01860909356</v>
      </c>
    </row>
    <row r="58" spans="1:5" x14ac:dyDescent="0.25">
      <c r="A58" s="54">
        <v>43943</v>
      </c>
      <c r="B58" s="56"/>
      <c r="C58" s="56">
        <v>27466.989355716203</v>
      </c>
      <c r="D58" s="56">
        <v>27532.683253955962</v>
      </c>
      <c r="E58" s="56">
        <v>22668.273679613892</v>
      </c>
    </row>
    <row r="59" spans="1:5" x14ac:dyDescent="0.25">
      <c r="A59" s="54">
        <v>43944</v>
      </c>
      <c r="B59" s="56"/>
      <c r="C59" s="56">
        <v>28365.120263505683</v>
      </c>
      <c r="D59" s="56">
        <v>28428.022996447777</v>
      </c>
      <c r="E59" s="56">
        <v>23376.528750134217</v>
      </c>
    </row>
    <row r="60" spans="1:5" x14ac:dyDescent="0.25">
      <c r="A60" s="54">
        <v>43945</v>
      </c>
      <c r="B60" s="56"/>
      <c r="C60" s="56">
        <v>29263.251171295164</v>
      </c>
      <c r="D60" s="56">
        <v>29323.362738939595</v>
      </c>
      <c r="E60" s="56">
        <v>24084.783820654542</v>
      </c>
    </row>
    <row r="61" spans="1:5" x14ac:dyDescent="0.25">
      <c r="A61" s="54">
        <v>43946</v>
      </c>
      <c r="B61" s="56"/>
      <c r="C61" s="56">
        <v>30161.38207908464</v>
      </c>
      <c r="D61" s="56">
        <v>30218.70248143141</v>
      </c>
      <c r="E61" s="56">
        <v>24793.038891174874</v>
      </c>
    </row>
    <row r="62" spans="1:5" x14ac:dyDescent="0.25">
      <c r="A62" s="54">
        <v>43947</v>
      </c>
      <c r="B62" s="56"/>
      <c r="C62" s="56">
        <v>31059.512986874121</v>
      </c>
      <c r="D62" s="56">
        <v>31114.042223923225</v>
      </c>
      <c r="E62" s="56">
        <v>25501.293961695199</v>
      </c>
    </row>
    <row r="63" spans="1:5" x14ac:dyDescent="0.25">
      <c r="A63" s="54">
        <v>43948</v>
      </c>
      <c r="B63" s="56"/>
      <c r="C63" s="56">
        <v>31957.643894663601</v>
      </c>
      <c r="D63" s="56">
        <v>32009.381966415043</v>
      </c>
      <c r="E63" s="56">
        <v>26209.549032215531</v>
      </c>
    </row>
    <row r="64" spans="1:5" x14ac:dyDescent="0.25">
      <c r="A64" s="54">
        <v>43949</v>
      </c>
      <c r="B64" s="56"/>
      <c r="C64" s="56">
        <v>32855.774802453081</v>
      </c>
      <c r="D64" s="56">
        <v>32904.721708906858</v>
      </c>
      <c r="E64" s="56">
        <v>26917.804102735856</v>
      </c>
    </row>
    <row r="65" spans="1:5" x14ac:dyDescent="0.25">
      <c r="A65" s="54">
        <v>43950</v>
      </c>
      <c r="B65" s="56"/>
      <c r="C65" s="56">
        <v>33753.905710242558</v>
      </c>
      <c r="D65" s="56">
        <v>33800.061451398673</v>
      </c>
      <c r="E65" s="56">
        <v>27626.059173256188</v>
      </c>
    </row>
    <row r="66" spans="1:5" x14ac:dyDescent="0.25">
      <c r="A66" s="57">
        <v>43951</v>
      </c>
      <c r="B66" s="56"/>
      <c r="C66" s="56">
        <v>34652.036618032034</v>
      </c>
      <c r="D66" s="56">
        <v>34695.401193890488</v>
      </c>
      <c r="E66" s="56">
        <v>28334.314243776513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1CF7-64E5-432A-8B7D-1BE0272DBB50}">
  <dimension ref="A1:H66"/>
  <sheetViews>
    <sheetView workbookViewId="0">
      <selection activeCell="D22" sqref="D22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35">
        <v>43887</v>
      </c>
      <c r="B2" s="44">
        <v>0</v>
      </c>
      <c r="G2" t="s">
        <v>46</v>
      </c>
      <c r="H2" s="36">
        <f>_xlfn.FORECAST.ETS.STAT($B$2:$B$33,$A$2:$A$33,1,1,1)</f>
        <v>0.9</v>
      </c>
    </row>
    <row r="3" spans="1:8" x14ac:dyDescent="0.25">
      <c r="A3" s="35">
        <v>43888</v>
      </c>
      <c r="B3" s="44">
        <v>0</v>
      </c>
      <c r="G3" t="s">
        <v>47</v>
      </c>
      <c r="H3" s="36">
        <f>_xlfn.FORECAST.ETS.STAT($B$2:$B$33,$A$2:$A$33,2,1,1)</f>
        <v>0.89900000000000002</v>
      </c>
    </row>
    <row r="4" spans="1:8" x14ac:dyDescent="0.25">
      <c r="A4" s="35">
        <v>43889</v>
      </c>
      <c r="B4" s="44">
        <v>0</v>
      </c>
      <c r="G4" t="s">
        <v>48</v>
      </c>
      <c r="H4" s="36">
        <f>_xlfn.FORECAST.ETS.STAT($B$2:$B$33,$A$2:$A$33,3,1,1)</f>
        <v>2.2204460492503131E-16</v>
      </c>
    </row>
    <row r="5" spans="1:8" x14ac:dyDescent="0.25">
      <c r="A5" s="35">
        <v>43890</v>
      </c>
      <c r="B5" s="44">
        <v>0</v>
      </c>
      <c r="G5" t="s">
        <v>49</v>
      </c>
      <c r="H5" s="36">
        <f>_xlfn.FORECAST.ETS.STAT($B$2:$B$33,$A$2:$A$33,4,1,1)</f>
        <v>3.7773333042662527</v>
      </c>
    </row>
    <row r="6" spans="1:8" x14ac:dyDescent="0.25">
      <c r="A6" s="35">
        <v>43891</v>
      </c>
      <c r="B6" s="44">
        <v>0</v>
      </c>
      <c r="G6" t="s">
        <v>50</v>
      </c>
      <c r="H6" s="36">
        <f>_xlfn.FORECAST.ETS.STAT($B$2:$B$33,$A$2:$A$33,5,1,1)</f>
        <v>5.0855732948684319E-2</v>
      </c>
    </row>
    <row r="7" spans="1:8" x14ac:dyDescent="0.25">
      <c r="A7" s="35">
        <v>43892</v>
      </c>
      <c r="B7" s="44">
        <v>2</v>
      </c>
      <c r="G7" t="s">
        <v>51</v>
      </c>
      <c r="H7" s="36">
        <f>_xlfn.FORECAST.ETS.STAT($B$2:$B$33,$A$2:$A$33,6,1,1)</f>
        <v>115.47847530185402</v>
      </c>
    </row>
    <row r="8" spans="1:8" x14ac:dyDescent="0.25">
      <c r="A8" s="35">
        <v>43893</v>
      </c>
      <c r="B8" s="44">
        <v>4</v>
      </c>
      <c r="G8" t="s">
        <v>52</v>
      </c>
      <c r="H8" s="36">
        <f>_xlfn.FORECAST.ETS.STAT($B$2:$B$33,$A$2:$A$33,7,1,1)</f>
        <v>141.62225380722387</v>
      </c>
    </row>
    <row r="9" spans="1:8" x14ac:dyDescent="0.25">
      <c r="A9" s="35">
        <v>43894</v>
      </c>
      <c r="B9" s="44">
        <v>6</v>
      </c>
    </row>
    <row r="10" spans="1:8" x14ac:dyDescent="0.25">
      <c r="A10" s="35">
        <v>43895</v>
      </c>
      <c r="B10" s="44">
        <v>9</v>
      </c>
    </row>
    <row r="11" spans="1:8" x14ac:dyDescent="0.25">
      <c r="A11" s="35">
        <v>43896</v>
      </c>
      <c r="B11" s="44">
        <v>13</v>
      </c>
    </row>
    <row r="12" spans="1:8" x14ac:dyDescent="0.25">
      <c r="A12" s="35">
        <v>43897</v>
      </c>
      <c r="B12" s="44">
        <v>21</v>
      </c>
    </row>
    <row r="13" spans="1:8" x14ac:dyDescent="0.25">
      <c r="A13" s="35">
        <v>43898</v>
      </c>
      <c r="B13" s="44">
        <v>30</v>
      </c>
    </row>
    <row r="14" spans="1:8" x14ac:dyDescent="0.25">
      <c r="A14" s="35">
        <v>43899</v>
      </c>
      <c r="B14" s="44">
        <v>39</v>
      </c>
    </row>
    <row r="15" spans="1:8" x14ac:dyDescent="0.25">
      <c r="A15" s="35">
        <v>43900</v>
      </c>
      <c r="B15" s="44">
        <v>41</v>
      </c>
    </row>
    <row r="16" spans="1:8" x14ac:dyDescent="0.25">
      <c r="A16" s="35">
        <v>43901</v>
      </c>
      <c r="B16" s="44">
        <v>59</v>
      </c>
    </row>
    <row r="17" spans="1:2" x14ac:dyDescent="0.25">
      <c r="A17" s="35">
        <v>43902</v>
      </c>
      <c r="B17" s="44">
        <v>78</v>
      </c>
    </row>
    <row r="18" spans="1:2" x14ac:dyDescent="0.25">
      <c r="A18" s="35">
        <v>43903</v>
      </c>
      <c r="B18" s="44">
        <v>112</v>
      </c>
    </row>
    <row r="19" spans="1:2" x14ac:dyDescent="0.25">
      <c r="A19" s="35">
        <v>43904</v>
      </c>
      <c r="B19" s="44">
        <v>169</v>
      </c>
    </row>
    <row r="20" spans="1:2" x14ac:dyDescent="0.25">
      <c r="A20" s="35">
        <v>43905</v>
      </c>
      <c r="B20" s="44">
        <v>245</v>
      </c>
    </row>
    <row r="21" spans="1:2" x14ac:dyDescent="0.25">
      <c r="A21" s="35">
        <v>43906</v>
      </c>
      <c r="B21" s="44">
        <v>331</v>
      </c>
    </row>
    <row r="22" spans="1:2" x14ac:dyDescent="0.25">
      <c r="A22" s="35">
        <v>43907</v>
      </c>
      <c r="B22" s="44">
        <v>448</v>
      </c>
    </row>
    <row r="23" spans="1:2" x14ac:dyDescent="0.25">
      <c r="A23" s="35">
        <v>43908</v>
      </c>
      <c r="B23" s="44">
        <v>642</v>
      </c>
    </row>
    <row r="24" spans="1:2" x14ac:dyDescent="0.25">
      <c r="A24" s="35">
        <v>43909</v>
      </c>
      <c r="B24" s="44">
        <v>785</v>
      </c>
    </row>
    <row r="25" spans="1:2" x14ac:dyDescent="0.25">
      <c r="A25" s="35">
        <v>43910</v>
      </c>
      <c r="B25" s="44">
        <v>1020</v>
      </c>
    </row>
    <row r="26" spans="1:2" x14ac:dyDescent="0.25">
      <c r="A26" s="35">
        <v>43911</v>
      </c>
      <c r="B26" s="44">
        <v>1280</v>
      </c>
    </row>
    <row r="27" spans="1:2" x14ac:dyDescent="0.25">
      <c r="A27" s="35">
        <v>43912</v>
      </c>
      <c r="B27" s="44">
        <v>1600</v>
      </c>
    </row>
    <row r="28" spans="1:2" x14ac:dyDescent="0.25">
      <c r="A28" s="35">
        <v>43913</v>
      </c>
      <c r="B28" s="44">
        <v>2060</v>
      </c>
    </row>
    <row r="29" spans="1:2" x14ac:dyDescent="0.25">
      <c r="A29" s="35">
        <v>43914</v>
      </c>
      <c r="B29" s="44">
        <v>2362</v>
      </c>
    </row>
    <row r="30" spans="1:2" x14ac:dyDescent="0.25">
      <c r="A30" s="35">
        <v>43915</v>
      </c>
      <c r="B30" s="44">
        <v>2995</v>
      </c>
    </row>
    <row r="31" spans="1:2" x14ac:dyDescent="0.25">
      <c r="A31" s="35">
        <v>43916</v>
      </c>
      <c r="B31" s="44">
        <v>3544</v>
      </c>
    </row>
    <row r="32" spans="1:2" x14ac:dyDescent="0.25">
      <c r="A32" s="35">
        <v>43917</v>
      </c>
      <c r="B32" s="44">
        <v>4268</v>
      </c>
    </row>
    <row r="33" spans="1:5" x14ac:dyDescent="0.25">
      <c r="A33" s="35">
        <v>43918</v>
      </c>
      <c r="B33" s="44">
        <v>5170</v>
      </c>
      <c r="C33" s="44">
        <v>5170</v>
      </c>
      <c r="D33" s="44">
        <v>5170</v>
      </c>
      <c r="E33" s="44">
        <v>5170</v>
      </c>
    </row>
    <row r="34" spans="1:5" x14ac:dyDescent="0.25">
      <c r="A34" s="35">
        <v>43919</v>
      </c>
      <c r="C34" s="44">
        <f t="shared" ref="C34:C66" si="0">_xlfn.FORECAST.ETS(A34,$B$2:$B$33,$A$2:$A$33,1,1)</f>
        <v>6044.5294341523841</v>
      </c>
      <c r="D34" s="44">
        <f t="shared" ref="D34:D66" si="1">C34-_xlfn.FORECAST.ETS.CONFINT(A34,$B$2:$B$33,$A$2:$A$33,0.95,1,1)</f>
        <v>5880.3168065350264</v>
      </c>
      <c r="E34" s="44">
        <f t="shared" ref="E34:E66" si="2">C34+_xlfn.FORECAST.ETS.CONFINT(A34,$B$2:$B$33,$A$2:$A$33,0.95,1,1)</f>
        <v>6208.7420617697417</v>
      </c>
    </row>
    <row r="35" spans="1:5" x14ac:dyDescent="0.25">
      <c r="A35" s="35">
        <v>43920</v>
      </c>
      <c r="C35" s="44">
        <f t="shared" si="0"/>
        <v>6939.8691766441998</v>
      </c>
      <c r="D35" s="44">
        <f t="shared" si="1"/>
        <v>6601.8782192135523</v>
      </c>
      <c r="E35" s="44">
        <f t="shared" si="2"/>
        <v>7277.8601340748473</v>
      </c>
    </row>
    <row r="36" spans="1:5" x14ac:dyDescent="0.25">
      <c r="A36" s="35">
        <v>43921</v>
      </c>
      <c r="C36" s="44">
        <f t="shared" si="0"/>
        <v>7835.2089191360155</v>
      </c>
      <c r="D36" s="44">
        <f t="shared" si="1"/>
        <v>7277.9591076504694</v>
      </c>
      <c r="E36" s="44">
        <f t="shared" si="2"/>
        <v>8392.4587306215617</v>
      </c>
    </row>
    <row r="37" spans="1:5" x14ac:dyDescent="0.25">
      <c r="A37" s="35">
        <v>43922</v>
      </c>
      <c r="C37" s="44">
        <f t="shared" si="0"/>
        <v>8730.5486616278322</v>
      </c>
      <c r="D37" s="44">
        <f t="shared" si="1"/>
        <v>7918.5007969632734</v>
      </c>
      <c r="E37" s="44">
        <f t="shared" si="2"/>
        <v>9542.596526292391</v>
      </c>
    </row>
    <row r="38" spans="1:5" x14ac:dyDescent="0.25">
      <c r="A38" s="35">
        <v>43923</v>
      </c>
      <c r="C38" s="44">
        <f t="shared" si="0"/>
        <v>9625.888404119647</v>
      </c>
      <c r="D38" s="44">
        <f t="shared" si="1"/>
        <v>8528.3873399873301</v>
      </c>
      <c r="E38" s="44">
        <f t="shared" si="2"/>
        <v>10723.389468251964</v>
      </c>
    </row>
    <row r="39" spans="1:5" x14ac:dyDescent="0.25">
      <c r="A39" s="35">
        <v>43924</v>
      </c>
      <c r="C39" s="44">
        <f t="shared" si="0"/>
        <v>10521.228146611462</v>
      </c>
      <c r="D39" s="44">
        <f t="shared" si="1"/>
        <v>9110.7759289357018</v>
      </c>
      <c r="E39" s="44">
        <f t="shared" si="2"/>
        <v>11931.680364287222</v>
      </c>
    </row>
    <row r="40" spans="1:5" x14ac:dyDescent="0.25">
      <c r="A40" s="35">
        <v>43925</v>
      </c>
      <c r="C40" s="44">
        <f t="shared" si="0"/>
        <v>11416.567889103279</v>
      </c>
      <c r="D40" s="44">
        <f t="shared" si="1"/>
        <v>9667.9656174643351</v>
      </c>
      <c r="E40" s="44">
        <f t="shared" si="2"/>
        <v>13165.170160742222</v>
      </c>
    </row>
    <row r="41" spans="1:5" x14ac:dyDescent="0.25">
      <c r="A41" s="35">
        <v>43926</v>
      </c>
      <c r="C41" s="44">
        <f t="shared" si="0"/>
        <v>12311.907631595095</v>
      </c>
      <c r="D41" s="44">
        <f t="shared" si="1"/>
        <v>10201.741885492509</v>
      </c>
      <c r="E41" s="44">
        <f t="shared" si="2"/>
        <v>14422.073377697681</v>
      </c>
    </row>
    <row r="42" spans="1:5" x14ac:dyDescent="0.25">
      <c r="A42" s="35">
        <v>43927</v>
      </c>
      <c r="C42" s="44">
        <f t="shared" si="0"/>
        <v>13207.24737408691</v>
      </c>
      <c r="D42" s="44">
        <f t="shared" si="1"/>
        <v>10713.548971026146</v>
      </c>
      <c r="E42" s="44">
        <f t="shared" si="2"/>
        <v>15700.945777147674</v>
      </c>
    </row>
    <row r="43" spans="1:5" x14ac:dyDescent="0.25">
      <c r="A43" s="35">
        <v>43928</v>
      </c>
      <c r="C43" s="44">
        <f t="shared" si="0"/>
        <v>14102.587116578725</v>
      </c>
      <c r="D43" s="44">
        <f t="shared" si="1"/>
        <v>11204.588806582644</v>
      </c>
      <c r="E43" s="44">
        <f t="shared" si="2"/>
        <v>17000.585426574806</v>
      </c>
    </row>
    <row r="44" spans="1:5" x14ac:dyDescent="0.25">
      <c r="A44" s="35">
        <v>43929</v>
      </c>
      <c r="C44" s="44">
        <f t="shared" si="0"/>
        <v>14997.926859070543</v>
      </c>
      <c r="D44" s="44">
        <f t="shared" si="1"/>
        <v>11675.883140798374</v>
      </c>
      <c r="E44" s="44">
        <f t="shared" si="2"/>
        <v>18319.970577342712</v>
      </c>
    </row>
    <row r="45" spans="1:5" x14ac:dyDescent="0.25">
      <c r="A45" s="35">
        <v>43930</v>
      </c>
      <c r="C45" s="44">
        <f t="shared" si="0"/>
        <v>15893.266601562358</v>
      </c>
      <c r="D45" s="44">
        <f t="shared" si="1"/>
        <v>12128.315066457024</v>
      </c>
      <c r="E45" s="44">
        <f t="shared" si="2"/>
        <v>19658.218136667692</v>
      </c>
    </row>
    <row r="46" spans="1:5" x14ac:dyDescent="0.25">
      <c r="A46" s="35">
        <v>43931</v>
      </c>
      <c r="C46" s="44">
        <f t="shared" si="0"/>
        <v>16788.606344054173</v>
      </c>
      <c r="D46" s="44">
        <f t="shared" si="1"/>
        <v>12562.65810210523</v>
      </c>
      <c r="E46" s="44">
        <f t="shared" si="2"/>
        <v>21014.554586003116</v>
      </c>
    </row>
    <row r="47" spans="1:5" x14ac:dyDescent="0.25">
      <c r="A47" s="35">
        <v>43932</v>
      </c>
      <c r="C47" s="44">
        <f t="shared" si="0"/>
        <v>17683.946086545988</v>
      </c>
      <c r="D47" s="44">
        <f t="shared" si="1"/>
        <v>12979.597304399884</v>
      </c>
      <c r="E47" s="44">
        <f t="shared" si="2"/>
        <v>22388.294868692094</v>
      </c>
    </row>
    <row r="48" spans="1:5" x14ac:dyDescent="0.25">
      <c r="A48" s="35">
        <v>43933</v>
      </c>
      <c r="C48" s="44">
        <f t="shared" si="0"/>
        <v>18579.285829037806</v>
      </c>
      <c r="D48" s="44">
        <f t="shared" si="1"/>
        <v>13379.745044008188</v>
      </c>
      <c r="E48" s="44">
        <f t="shared" si="2"/>
        <v>23778.826614067424</v>
      </c>
    </row>
    <row r="49" spans="1:5" x14ac:dyDescent="0.25">
      <c r="A49" s="35">
        <v>43934</v>
      </c>
      <c r="C49" s="44">
        <f t="shared" si="0"/>
        <v>19474.625571529621</v>
      </c>
      <c r="D49" s="44">
        <f t="shared" si="1"/>
        <v>13763.653077365259</v>
      </c>
      <c r="E49" s="44">
        <f t="shared" si="2"/>
        <v>25185.598065693983</v>
      </c>
    </row>
    <row r="50" spans="1:5" x14ac:dyDescent="0.25">
      <c r="A50" s="35">
        <v>43935</v>
      </c>
      <c r="C50" s="44">
        <f t="shared" si="0"/>
        <v>20369.965314021436</v>
      </c>
      <c r="D50" s="44">
        <f t="shared" si="1"/>
        <v>14131.821970207036</v>
      </c>
      <c r="E50" s="44">
        <f t="shared" si="2"/>
        <v>26608.108657835837</v>
      </c>
    </row>
    <row r="51" spans="1:5" x14ac:dyDescent="0.25">
      <c r="A51" s="35">
        <v>43936</v>
      </c>
      <c r="C51" s="44">
        <f t="shared" si="0"/>
        <v>21265.305056513251</v>
      </c>
      <c r="D51" s="44">
        <f t="shared" si="1"/>
        <v>14484.708580246705</v>
      </c>
      <c r="E51" s="44">
        <f t="shared" si="2"/>
        <v>28045.901532779797</v>
      </c>
    </row>
    <row r="52" spans="1:5" x14ac:dyDescent="0.25">
      <c r="A52" s="35">
        <v>43937</v>
      </c>
      <c r="C52" s="44">
        <f t="shared" si="0"/>
        <v>22160.644799005069</v>
      </c>
      <c r="D52" s="44">
        <f t="shared" si="1"/>
        <v>14822.732086986816</v>
      </c>
      <c r="E52" s="44">
        <f t="shared" si="2"/>
        <v>29498.557511023322</v>
      </c>
    </row>
    <row r="53" spans="1:5" x14ac:dyDescent="0.25">
      <c r="A53" s="35">
        <v>43938</v>
      </c>
      <c r="C53" s="44">
        <f t="shared" si="0"/>
        <v>23055.984541496884</v>
      </c>
      <c r="D53" s="44">
        <f t="shared" si="1"/>
        <v>15146.278913861428</v>
      </c>
      <c r="E53" s="44">
        <f t="shared" si="2"/>
        <v>30965.69016913234</v>
      </c>
    </row>
    <row r="54" spans="1:5" x14ac:dyDescent="0.25">
      <c r="A54" s="35">
        <v>43939</v>
      </c>
      <c r="C54" s="44">
        <f t="shared" si="0"/>
        <v>23951.324283988699</v>
      </c>
      <c r="D54" s="44">
        <f t="shared" si="1"/>
        <v>15455.706792243027</v>
      </c>
      <c r="E54" s="44">
        <f t="shared" si="2"/>
        <v>32446.941775734369</v>
      </c>
    </row>
    <row r="55" spans="1:5" x14ac:dyDescent="0.25">
      <c r="A55" s="35">
        <v>43940</v>
      </c>
      <c r="C55" s="44">
        <f t="shared" si="0"/>
        <v>24846.664026480517</v>
      </c>
      <c r="D55" s="44">
        <f t="shared" si="1"/>
        <v>15751.348151153805</v>
      </c>
      <c r="E55" s="44">
        <f t="shared" si="2"/>
        <v>33941.97990180723</v>
      </c>
    </row>
    <row r="56" spans="1:5" x14ac:dyDescent="0.25">
      <c r="A56" s="35">
        <v>43941</v>
      </c>
      <c r="C56" s="44">
        <f t="shared" si="0"/>
        <v>25742.003768972332</v>
      </c>
      <c r="D56" s="44">
        <f t="shared" si="1"/>
        <v>16033.512970411357</v>
      </c>
      <c r="E56" s="44">
        <f t="shared" si="2"/>
        <v>35450.494567533307</v>
      </c>
    </row>
    <row r="57" spans="1:5" x14ac:dyDescent="0.25">
      <c r="A57" s="35">
        <v>43942</v>
      </c>
      <c r="C57" s="44">
        <f t="shared" si="0"/>
        <v>26637.343511464147</v>
      </c>
      <c r="D57" s="44">
        <f t="shared" si="1"/>
        <v>16302.491201947387</v>
      </c>
      <c r="E57" s="44">
        <f t="shared" si="2"/>
        <v>36972.195820980909</v>
      </c>
    </row>
    <row r="58" spans="1:5" x14ac:dyDescent="0.25">
      <c r="A58" s="35">
        <v>43943</v>
      </c>
      <c r="C58" s="44">
        <f t="shared" si="0"/>
        <v>27532.683253955962</v>
      </c>
      <c r="D58" s="44">
        <f t="shared" si="1"/>
        <v>16558.554840024291</v>
      </c>
      <c r="E58" s="44">
        <f t="shared" si="2"/>
        <v>38506.811667887632</v>
      </c>
    </row>
    <row r="59" spans="1:5" x14ac:dyDescent="0.25">
      <c r="A59" s="35">
        <v>43944</v>
      </c>
      <c r="C59" s="44">
        <f t="shared" si="0"/>
        <v>28428.022996447777</v>
      </c>
      <c r="D59" s="44">
        <f t="shared" si="1"/>
        <v>16801.959703324494</v>
      </c>
      <c r="E59" s="44">
        <f t="shared" si="2"/>
        <v>40054.08628957106</v>
      </c>
    </row>
    <row r="60" spans="1:5" x14ac:dyDescent="0.25">
      <c r="A60" s="35">
        <v>43945</v>
      </c>
      <c r="C60" s="44">
        <f t="shared" si="0"/>
        <v>29323.362738939595</v>
      </c>
      <c r="D60" s="44">
        <f t="shared" si="1"/>
        <v>17032.946978583386</v>
      </c>
      <c r="E60" s="44">
        <f t="shared" si="2"/>
        <v>41613.778499295804</v>
      </c>
    </row>
    <row r="61" spans="1:5" x14ac:dyDescent="0.25">
      <c r="A61" s="35">
        <v>43946</v>
      </c>
      <c r="C61" s="44">
        <f t="shared" si="0"/>
        <v>30218.70248143141</v>
      </c>
      <c r="D61" s="44">
        <f t="shared" si="1"/>
        <v>17251.744565338544</v>
      </c>
      <c r="E61" s="44">
        <f t="shared" si="2"/>
        <v>43185.660397524276</v>
      </c>
    </row>
    <row r="62" spans="1:5" x14ac:dyDescent="0.25">
      <c r="A62" s="35">
        <v>43947</v>
      </c>
      <c r="C62" s="44">
        <f t="shared" si="0"/>
        <v>31114.042223923225</v>
      </c>
      <c r="D62" s="44">
        <f t="shared" si="1"/>
        <v>17458.568253614034</v>
      </c>
      <c r="E62" s="44">
        <f t="shared" si="2"/>
        <v>44769.516194232419</v>
      </c>
    </row>
    <row r="63" spans="1:5" x14ac:dyDescent="0.25">
      <c r="A63" s="35">
        <v>43948</v>
      </c>
      <c r="C63" s="44">
        <f t="shared" si="0"/>
        <v>32009.381966415043</v>
      </c>
      <c r="D63" s="44">
        <f t="shared" si="1"/>
        <v>17653.622760341423</v>
      </c>
      <c r="E63" s="44">
        <f t="shared" si="2"/>
        <v>46365.141172488664</v>
      </c>
    </row>
    <row r="64" spans="1:5" x14ac:dyDescent="0.25">
      <c r="A64" s="35">
        <v>43949</v>
      </c>
      <c r="C64" s="44">
        <f t="shared" si="0"/>
        <v>32904.721708906858</v>
      </c>
      <c r="D64" s="44">
        <f t="shared" si="1"/>
        <v>17837.102645604245</v>
      </c>
      <c r="E64" s="44">
        <f t="shared" si="2"/>
        <v>47972.340772209471</v>
      </c>
    </row>
    <row r="65" spans="1:5" x14ac:dyDescent="0.25">
      <c r="A65" s="35">
        <v>43950</v>
      </c>
      <c r="C65" s="44">
        <f t="shared" si="0"/>
        <v>33800.061451398673</v>
      </c>
      <c r="D65" s="44">
        <f t="shared" si="1"/>
        <v>18009.193126064565</v>
      </c>
      <c r="E65" s="44">
        <f t="shared" si="2"/>
        <v>49590.929776732781</v>
      </c>
    </row>
    <row r="66" spans="1:5" x14ac:dyDescent="0.25">
      <c r="A66" s="35">
        <v>43951</v>
      </c>
      <c r="C66" s="44">
        <f t="shared" si="0"/>
        <v>34695.401193890488</v>
      </c>
      <c r="D66" s="44">
        <f t="shared" si="1"/>
        <v>18170.070799957764</v>
      </c>
      <c r="E66" s="44">
        <f t="shared" si="2"/>
        <v>51220.731587823211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</vt:lpstr>
      <vt:lpstr>AC Region</vt:lpstr>
      <vt:lpstr>AC Age</vt:lpstr>
      <vt:lpstr>Symptoms</vt:lpstr>
      <vt:lpstr>DND Age</vt:lpstr>
      <vt:lpstr>Week</vt:lpstr>
      <vt:lpstr>Weekday</vt:lpstr>
      <vt:lpstr>FCT AC</vt:lpstr>
      <vt:lpstr>FCT AC 28</vt:lpstr>
      <vt:lpstr>FCT AC 29</vt:lpstr>
      <vt:lpstr>FCT DNC</vt:lpstr>
      <vt:lpstr>FCT DNC 28</vt:lpstr>
      <vt:lpstr>FCT DNC 29</vt:lpstr>
      <vt:lpstr>Evolution</vt:lpstr>
      <vt:lpstr>RoG</vt:lpstr>
      <vt:lpstr>Share 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2020-03-28T00:21:56Z</dcterms:created>
  <dcterms:modified xsi:type="dcterms:W3CDTF">2020-03-29T14:28:08Z</dcterms:modified>
</cp:coreProperties>
</file>