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cel\"/>
    </mc:Choice>
  </mc:AlternateContent>
  <xr:revisionPtr revIDLastSave="0" documentId="13_ncr:1_{1B81DF82-CD85-4D8F-A4A7-C02DF8C58B5A}" xr6:coauthVersionLast="47" xr6:coauthVersionMax="47" xr10:uidLastSave="{00000000-0000-0000-0000-000000000000}"/>
  <bookViews>
    <workbookView xWindow="-110" yWindow="-110" windowWidth="19420" windowHeight="11500" xr2:uid="{BB15403F-6927-49B6-9AEC-053E3FE49F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1" l="1"/>
  <c r="C87" i="1"/>
  <c r="D87" i="1"/>
  <c r="E87" i="1"/>
  <c r="C74" i="1" l="1"/>
  <c r="D74" i="1"/>
  <c r="E74" i="1"/>
  <c r="C75" i="1"/>
  <c r="D75" i="1"/>
  <c r="E75" i="1"/>
  <c r="C76" i="1"/>
  <c r="D76" i="1"/>
  <c r="E76" i="1"/>
  <c r="B76" i="1"/>
  <c r="B75" i="1"/>
  <c r="B74" i="1"/>
  <c r="C71" i="1"/>
  <c r="D71" i="1"/>
  <c r="E71" i="1"/>
  <c r="B71" i="1"/>
  <c r="C69" i="1"/>
  <c r="D69" i="1"/>
  <c r="E69" i="1"/>
  <c r="B69" i="1"/>
  <c r="C66" i="1"/>
  <c r="C68" i="1" s="1"/>
  <c r="D66" i="1"/>
  <c r="D68" i="1" s="1"/>
  <c r="E66" i="1"/>
  <c r="E68" i="1" s="1"/>
  <c r="B66" i="1"/>
  <c r="B68" i="1" s="1"/>
  <c r="O25" i="1"/>
  <c r="P25" i="1"/>
  <c r="N25" i="1"/>
  <c r="P22" i="1"/>
  <c r="O22" i="1"/>
  <c r="O23" i="1"/>
  <c r="P23" i="1"/>
  <c r="N23" i="1"/>
  <c r="N22" i="1"/>
  <c r="O18" i="1"/>
  <c r="O19" i="1" s="1"/>
  <c r="P18" i="1"/>
  <c r="N18" i="1"/>
  <c r="N19" i="1" s="1"/>
  <c r="N20" i="1" s="1"/>
  <c r="O14" i="1"/>
  <c r="O15" i="1" s="1"/>
  <c r="O16" i="1" s="1"/>
  <c r="P14" i="1"/>
  <c r="P15" i="1" s="1"/>
  <c r="P16" i="1" s="1"/>
  <c r="N14" i="1"/>
  <c r="N15" i="1" s="1"/>
  <c r="N16" i="1" s="1"/>
  <c r="N10" i="1"/>
  <c r="O10" i="1"/>
  <c r="P10" i="1"/>
  <c r="M10" i="1"/>
  <c r="G39" i="1"/>
  <c r="H39" i="1"/>
  <c r="I39" i="1"/>
  <c r="G41" i="1"/>
  <c r="H41" i="1"/>
  <c r="I41" i="1"/>
  <c r="G42" i="1"/>
  <c r="H42" i="1"/>
  <c r="I42" i="1"/>
  <c r="G43" i="1"/>
  <c r="H43" i="1"/>
  <c r="I43" i="1"/>
  <c r="G44" i="1"/>
  <c r="H44" i="1"/>
  <c r="I44" i="1"/>
  <c r="G48" i="1"/>
  <c r="H48" i="1"/>
  <c r="I48" i="1"/>
  <c r="G50" i="1"/>
  <c r="H50" i="1"/>
  <c r="I50" i="1"/>
  <c r="H38" i="1"/>
  <c r="I38" i="1"/>
  <c r="G38" i="1"/>
  <c r="F54" i="1"/>
  <c r="F39" i="1"/>
  <c r="F41" i="1"/>
  <c r="F42" i="1"/>
  <c r="F43" i="1"/>
  <c r="F44" i="1"/>
  <c r="F45" i="1"/>
  <c r="F47" i="1"/>
  <c r="F48" i="1"/>
  <c r="F50" i="1"/>
  <c r="F38" i="1"/>
  <c r="I32" i="1"/>
  <c r="H32" i="1"/>
  <c r="G32" i="1"/>
  <c r="I30" i="1"/>
  <c r="H30" i="1"/>
  <c r="G30" i="1"/>
  <c r="I23" i="1"/>
  <c r="H23" i="1"/>
  <c r="G23" i="1"/>
  <c r="J23" i="1" s="1"/>
  <c r="I22" i="1"/>
  <c r="H22" i="1"/>
  <c r="G22" i="1"/>
  <c r="I21" i="1"/>
  <c r="H21" i="1"/>
  <c r="G21" i="1"/>
  <c r="I15" i="1"/>
  <c r="H15" i="1"/>
  <c r="G15" i="1"/>
  <c r="G8" i="1"/>
  <c r="H8" i="1"/>
  <c r="I8" i="1"/>
  <c r="G9" i="1"/>
  <c r="H9" i="1"/>
  <c r="I9" i="1"/>
  <c r="G10" i="1"/>
  <c r="H10" i="1"/>
  <c r="I10" i="1"/>
  <c r="G13" i="1"/>
  <c r="H13" i="1"/>
  <c r="I13" i="1"/>
  <c r="H7" i="1"/>
  <c r="I7" i="1"/>
  <c r="G7" i="1"/>
  <c r="C40" i="1"/>
  <c r="C46" i="1" s="1"/>
  <c r="C49" i="1" s="1"/>
  <c r="C51" i="1" s="1"/>
  <c r="C63" i="1" s="1"/>
  <c r="D40" i="1"/>
  <c r="D46" i="1" s="1"/>
  <c r="D49" i="1" s="1"/>
  <c r="D51" i="1" s="1"/>
  <c r="D63" i="1" s="1"/>
  <c r="E40" i="1"/>
  <c r="E46" i="1" s="1"/>
  <c r="E49" i="1" s="1"/>
  <c r="E51" i="1" s="1"/>
  <c r="F51" i="1" s="1"/>
  <c r="B40" i="1"/>
  <c r="B46" i="1" s="1"/>
  <c r="B49" i="1" s="1"/>
  <c r="B51" i="1" s="1"/>
  <c r="C33" i="1"/>
  <c r="D33" i="1"/>
  <c r="E33" i="1"/>
  <c r="B33" i="1"/>
  <c r="C27" i="1"/>
  <c r="D27" i="1"/>
  <c r="E27" i="1"/>
  <c r="B27" i="1"/>
  <c r="C24" i="1"/>
  <c r="D24" i="1"/>
  <c r="E24" i="1"/>
  <c r="B24" i="1"/>
  <c r="C19" i="1"/>
  <c r="D19" i="1"/>
  <c r="E19" i="1"/>
  <c r="B19" i="1"/>
  <c r="C14" i="1"/>
  <c r="D14" i="1"/>
  <c r="E14" i="1"/>
  <c r="P31" i="1" s="1"/>
  <c r="B14" i="1"/>
  <c r="M31" i="1" s="1"/>
  <c r="G69" i="1" l="1"/>
  <c r="H19" i="1"/>
  <c r="H27" i="1"/>
  <c r="O11" i="1"/>
  <c r="O12" i="1" s="1"/>
  <c r="F69" i="1"/>
  <c r="H68" i="1"/>
  <c r="G68" i="1"/>
  <c r="N11" i="1"/>
  <c r="N12" i="1" s="1"/>
  <c r="I19" i="1"/>
  <c r="J22" i="1"/>
  <c r="H69" i="1"/>
  <c r="N31" i="1"/>
  <c r="N32" i="1" s="1"/>
  <c r="N33" i="1" s="1"/>
  <c r="F68" i="1"/>
  <c r="J9" i="1"/>
  <c r="G51" i="1"/>
  <c r="J38" i="1"/>
  <c r="H14" i="1"/>
  <c r="H24" i="1"/>
  <c r="H33" i="1"/>
  <c r="J7" i="1"/>
  <c r="D57" i="1"/>
  <c r="D61" i="1"/>
  <c r="J32" i="1"/>
  <c r="J10" i="1"/>
  <c r="J50" i="1"/>
  <c r="N24" i="1"/>
  <c r="N26" i="1" s="1"/>
  <c r="N27" i="1" s="1"/>
  <c r="E61" i="1"/>
  <c r="G33" i="1"/>
  <c r="J30" i="1"/>
  <c r="J42" i="1"/>
  <c r="C61" i="1"/>
  <c r="J39" i="1"/>
  <c r="J21" i="1"/>
  <c r="J48" i="1"/>
  <c r="J13" i="1"/>
  <c r="I51" i="1"/>
  <c r="O31" i="1"/>
  <c r="P32" i="1" s="1"/>
  <c r="P33" i="1" s="1"/>
  <c r="B60" i="1"/>
  <c r="E63" i="1"/>
  <c r="J8" i="1"/>
  <c r="E55" i="1"/>
  <c r="F55" i="1" s="1"/>
  <c r="H51" i="1"/>
  <c r="P24" i="1"/>
  <c r="P26" i="1" s="1"/>
  <c r="P27" i="1" s="1"/>
  <c r="B61" i="1"/>
  <c r="E60" i="1"/>
  <c r="D55" i="1"/>
  <c r="J44" i="1"/>
  <c r="C57" i="1"/>
  <c r="D60" i="1"/>
  <c r="J15" i="1"/>
  <c r="C55" i="1"/>
  <c r="C62" i="1" s="1"/>
  <c r="J43" i="1"/>
  <c r="J41" i="1"/>
  <c r="E57" i="1"/>
  <c r="B63" i="1"/>
  <c r="C60" i="1"/>
  <c r="G49" i="1"/>
  <c r="D52" i="1"/>
  <c r="P19" i="1"/>
  <c r="P20" i="1" s="1"/>
  <c r="B20" i="1"/>
  <c r="F49" i="1"/>
  <c r="C52" i="1"/>
  <c r="F40" i="1"/>
  <c r="H46" i="1"/>
  <c r="G40" i="1"/>
  <c r="I49" i="1"/>
  <c r="G46" i="1"/>
  <c r="B52" i="1"/>
  <c r="E52" i="1"/>
  <c r="G19" i="1"/>
  <c r="G27" i="1"/>
  <c r="I40" i="1"/>
  <c r="B28" i="1"/>
  <c r="B34" i="1" s="1"/>
  <c r="I46" i="1"/>
  <c r="H40" i="1"/>
  <c r="O24" i="1"/>
  <c r="O26" i="1" s="1"/>
  <c r="O27" i="1" s="1"/>
  <c r="F46" i="1"/>
  <c r="B55" i="1"/>
  <c r="H49" i="1"/>
  <c r="O20" i="1"/>
  <c r="P11" i="1"/>
  <c r="P12" i="1" s="1"/>
  <c r="N29" i="1"/>
  <c r="I27" i="1"/>
  <c r="G24" i="1"/>
  <c r="E20" i="1"/>
  <c r="E28" i="1"/>
  <c r="I33" i="1"/>
  <c r="D20" i="1"/>
  <c r="D28" i="1"/>
  <c r="I24" i="1"/>
  <c r="C20" i="1"/>
  <c r="C28" i="1"/>
  <c r="G14" i="1"/>
  <c r="I14" i="1"/>
  <c r="J19" i="1" l="1"/>
  <c r="J24" i="1"/>
  <c r="N7" i="1"/>
  <c r="N8" i="1" s="1"/>
  <c r="J51" i="1"/>
  <c r="O29" i="1"/>
  <c r="J33" i="1"/>
  <c r="P29" i="1"/>
  <c r="G55" i="1"/>
  <c r="B62" i="1"/>
  <c r="I55" i="1"/>
  <c r="E62" i="1"/>
  <c r="O32" i="1"/>
  <c r="O33" i="1" s="1"/>
  <c r="H55" i="1"/>
  <c r="D62" i="1"/>
  <c r="J14" i="1"/>
  <c r="J46" i="1"/>
  <c r="G20" i="1"/>
  <c r="O7" i="1"/>
  <c r="O8" i="1" s="1"/>
  <c r="J40" i="1"/>
  <c r="J27" i="1"/>
  <c r="J49" i="1"/>
  <c r="P7" i="1"/>
  <c r="P8" i="1" s="1"/>
  <c r="F15" i="1"/>
  <c r="F23" i="1"/>
  <c r="F31" i="1"/>
  <c r="F8" i="1"/>
  <c r="F16" i="1"/>
  <c r="F32" i="1"/>
  <c r="F9" i="1"/>
  <c r="F17" i="1"/>
  <c r="F25" i="1"/>
  <c r="F10" i="1"/>
  <c r="F18" i="1"/>
  <c r="F26" i="1"/>
  <c r="F11" i="1"/>
  <c r="F7" i="1"/>
  <c r="F12" i="1"/>
  <c r="F20" i="1"/>
  <c r="I20" i="1"/>
  <c r="F13" i="1"/>
  <c r="F21" i="1"/>
  <c r="F29" i="1"/>
  <c r="F14" i="1"/>
  <c r="F22" i="1"/>
  <c r="F30" i="1"/>
  <c r="C34" i="1"/>
  <c r="G34" i="1" s="1"/>
  <c r="G28" i="1"/>
  <c r="F19" i="1"/>
  <c r="D34" i="1"/>
  <c r="H28" i="1"/>
  <c r="F27" i="1"/>
  <c r="E34" i="1"/>
  <c r="I28" i="1"/>
  <c r="F28" i="1"/>
  <c r="F24" i="1"/>
  <c r="H20" i="1"/>
  <c r="F33" i="1"/>
  <c r="J20" i="1" l="1"/>
  <c r="J55" i="1"/>
  <c r="J28" i="1"/>
  <c r="I34" i="1"/>
  <c r="F34" i="1"/>
  <c r="H34" i="1"/>
  <c r="J34" i="1" l="1"/>
</calcChain>
</file>

<file path=xl/sharedStrings.xml><?xml version="1.0" encoding="utf-8"?>
<sst xmlns="http://schemas.openxmlformats.org/spreadsheetml/2006/main" count="111" uniqueCount="99">
  <si>
    <t>DISLICORES</t>
  </si>
  <si>
    <t>G4632 - Comercio al por mayor de bebidas y tabaco</t>
  </si>
  <si>
    <t>Pymes-Individuales</t>
  </si>
  <si>
    <t>Cifras en miles de pesos</t>
  </si>
  <si>
    <t>Depreciación y Amortización</t>
  </si>
  <si>
    <t xml:space="preserve">Efectivo y equivalentes al efectivo </t>
  </si>
  <si>
    <t>Cuentas por Cobrar corrientes</t>
  </si>
  <si>
    <t>Inventarios corrientes</t>
  </si>
  <si>
    <t>Activos por impuestos corrientes</t>
  </si>
  <si>
    <t>Otros activos financieros corrientes</t>
  </si>
  <si>
    <t>Otros activos no financieros corrientes</t>
  </si>
  <si>
    <t>Activos corrientes totales</t>
  </si>
  <si>
    <t>Propiedades, planta y equipo</t>
  </si>
  <si>
    <t>Activos intangibles distintos de la plusvalía</t>
  </si>
  <si>
    <t>Activos por impuestos diferidos</t>
  </si>
  <si>
    <t>Total de activos no corrientes</t>
  </si>
  <si>
    <t>Total de activos</t>
  </si>
  <si>
    <t>Cuentas por Pagar corrientes</t>
  </si>
  <si>
    <t>Pasivos por impuestos corrientes</t>
  </si>
  <si>
    <t>Otros pasivos financieros corrientes</t>
  </si>
  <si>
    <t>Pasivos corrientes totales</t>
  </si>
  <si>
    <t>Otros pasivos no financieros no corrientes</t>
  </si>
  <si>
    <t xml:space="preserve">Total de pasivos no corrientes </t>
  </si>
  <si>
    <t>Total pasivos</t>
  </si>
  <si>
    <t>Capital emitido</t>
  </si>
  <si>
    <t>Prima de emisión</t>
  </si>
  <si>
    <t>Otras reservas</t>
  </si>
  <si>
    <t>Ganancias acumuladas</t>
  </si>
  <si>
    <t xml:space="preserve">Patrimonio total </t>
  </si>
  <si>
    <t>Total de patrimonio y pasivos</t>
  </si>
  <si>
    <t>Ingresos de actividades ordinarias</t>
  </si>
  <si>
    <t xml:space="preserve">Costo de ventas </t>
  </si>
  <si>
    <t xml:space="preserve">Ganancia bruta </t>
  </si>
  <si>
    <t>Otros ingresos</t>
  </si>
  <si>
    <t>Gastos de ventas</t>
  </si>
  <si>
    <t>Gastos de administración</t>
  </si>
  <si>
    <t>Otros gastos</t>
  </si>
  <si>
    <t>Otras ganancias (pérdidas)</t>
  </si>
  <si>
    <t xml:space="preserve">Ganancia (pérdida) por actividades de operación </t>
  </si>
  <si>
    <t xml:space="preserve">Ingresos financieros </t>
  </si>
  <si>
    <t xml:space="preserve">Costos financieros </t>
  </si>
  <si>
    <t xml:space="preserve">Ganancia (pérdida), antes de impuestos </t>
  </si>
  <si>
    <t xml:space="preserve">Ingreso (gasto) por impuestos </t>
  </si>
  <si>
    <t>Ganancia (pérdida)</t>
  </si>
  <si>
    <t>Activos corrientes pignorados como garantía</t>
  </si>
  <si>
    <t>Cuentas por Pagar no corrientes</t>
  </si>
  <si>
    <t>Otros activos financieros no corrientes</t>
  </si>
  <si>
    <t>Análisis Horizontal</t>
  </si>
  <si>
    <t>A. Vertical</t>
  </si>
  <si>
    <t>EBITDA</t>
  </si>
  <si>
    <t>Promedio</t>
  </si>
  <si>
    <t>Prom. Activos</t>
  </si>
  <si>
    <t>Rotación Activos</t>
  </si>
  <si>
    <t>Activos Fijos (AF) = CAPEX</t>
  </si>
  <si>
    <t>Prom. AF</t>
  </si>
  <si>
    <t>Rotación AF</t>
  </si>
  <si>
    <t>Prom. Inventarios</t>
  </si>
  <si>
    <t>Rotación Inventarios</t>
  </si>
  <si>
    <t>Días de Inventario</t>
  </si>
  <si>
    <t>Prom. CxC</t>
  </si>
  <si>
    <t>Rotación CxC</t>
  </si>
  <si>
    <t>Días de CxC</t>
  </si>
  <si>
    <t>Inventario Inicial</t>
  </si>
  <si>
    <t>Inventario Final</t>
  </si>
  <si>
    <t>Compras</t>
  </si>
  <si>
    <t>Prom. CxP</t>
  </si>
  <si>
    <t>Rotación CxP</t>
  </si>
  <si>
    <t>Días de CxP</t>
  </si>
  <si>
    <t>Ciclo de efectivo</t>
  </si>
  <si>
    <t>KTNO</t>
  </si>
  <si>
    <t>Prom. KTNO</t>
  </si>
  <si>
    <t>Rotación KTNO</t>
  </si>
  <si>
    <t>veces</t>
  </si>
  <si>
    <t>días</t>
  </si>
  <si>
    <t>Dividendos</t>
  </si>
  <si>
    <t>Considera los aumentos en las Reservas</t>
  </si>
  <si>
    <t>Margen Bruto</t>
  </si>
  <si>
    <t>Margen Operacional</t>
  </si>
  <si>
    <t>Margen EBITDA</t>
  </si>
  <si>
    <t>Margen Neto</t>
  </si>
  <si>
    <t>Deudas corto plazo</t>
  </si>
  <si>
    <t>Deudas largo plazo</t>
  </si>
  <si>
    <t>Total deudas financieras</t>
  </si>
  <si>
    <t>Intereses</t>
  </si>
  <si>
    <t>CAPEX (Activo Fijo=PPE+Intangibles)</t>
  </si>
  <si>
    <t>Inventario/ventas</t>
  </si>
  <si>
    <t>CxC/Ventas</t>
  </si>
  <si>
    <t>CxP/Ventas</t>
  </si>
  <si>
    <t>Cuentas por Cobrar en mora</t>
  </si>
  <si>
    <t>Valor vencidas de 1 a 90 días</t>
  </si>
  <si>
    <t>Valor vencidas de 91 a 180 días</t>
  </si>
  <si>
    <t>Número de cuentas vencidas de 1 a 90 días</t>
  </si>
  <si>
    <t>Número de cuentas vencidas de 91 a 180 días</t>
  </si>
  <si>
    <t>Valor vencidas de 181 a 360 días</t>
  </si>
  <si>
    <t>Número de cuentas vencidas de 181 a 360 días</t>
  </si>
  <si>
    <t>Valor vencidas mas de 360 días</t>
  </si>
  <si>
    <t>Número de cuentas vencidas mas de 360 días</t>
  </si>
  <si>
    <t>Total CxC vencidas</t>
  </si>
  <si>
    <t>Deterioro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</si>
</sst>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indexed="8"/>
      <name val="Arial"/>
      <family val="2"/>
    </font>
    <font>
      <sz val="12"/>
      <name val="Franklin Gothic Book"/>
      <family val="2"/>
    </font>
    <font>
      <b/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  <font>
      <sz val="12"/>
      <color theme="1"/>
      <name val="Aptos Narrow"/>
      <family val="2"/>
      <scheme val="minor"/>
    </font>
    <font>
      <b/>
      <sz val="12"/>
      <color rgb="FF14085C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4">
    <xf numFmtId="0" fontId="0" fillId="0" borderId="0" xfId="0"/>
    <xf numFmtId="165" fontId="3" fillId="0" borderId="0" xfId="2" applyNumberFormat="1" applyFont="1" applyBorder="1" applyAlignment="1">
      <alignment vertical="center"/>
    </xf>
    <xf numFmtId="165" fontId="4" fillId="0" borderId="0" xfId="2" applyNumberFormat="1" applyFont="1" applyBorder="1" applyAlignment="1">
      <alignment vertical="center"/>
    </xf>
    <xf numFmtId="1" fontId="4" fillId="0" borderId="1" xfId="2" applyNumberFormat="1" applyFont="1" applyBorder="1" applyAlignment="1">
      <alignment horizontal="center" vertical="center"/>
    </xf>
    <xf numFmtId="6" fontId="5" fillId="2" borderId="1" xfId="0" applyNumberFormat="1" applyFont="1" applyFill="1" applyBorder="1" applyAlignment="1">
      <alignment horizontal="center" vertical="center"/>
    </xf>
    <xf numFmtId="6" fontId="6" fillId="0" borderId="2" xfId="0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6" fontId="6" fillId="0" borderId="0" xfId="0" applyNumberFormat="1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5" fontId="3" fillId="0" borderId="0" xfId="2" applyNumberFormat="1" applyFont="1" applyFill="1" applyBorder="1" applyAlignment="1">
      <alignment vertical="center"/>
    </xf>
    <xf numFmtId="165" fontId="4" fillId="0" borderId="0" xfId="2" applyNumberFormat="1" applyFont="1" applyFill="1" applyBorder="1" applyAlignment="1">
      <alignment vertical="center"/>
    </xf>
    <xf numFmtId="166" fontId="5" fillId="2" borderId="1" xfId="1" applyNumberFormat="1" applyFont="1" applyFill="1" applyBorder="1" applyAlignment="1">
      <alignment horizontal="center" vertical="center"/>
    </xf>
    <xf numFmtId="166" fontId="0" fillId="0" borderId="0" xfId="1" applyNumberFormat="1" applyFont="1"/>
    <xf numFmtId="10" fontId="0" fillId="0" borderId="0" xfId="1" applyNumberFormat="1" applyFont="1"/>
    <xf numFmtId="0" fontId="7" fillId="0" borderId="0" xfId="0" applyFont="1"/>
    <xf numFmtId="165" fontId="8" fillId="0" borderId="0" xfId="2" applyNumberFormat="1" applyFont="1" applyBorder="1" applyAlignment="1">
      <alignment vertical="center"/>
    </xf>
    <xf numFmtId="167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165" fontId="4" fillId="0" borderId="0" xfId="2" applyNumberFormat="1" applyFont="1" applyFill="1" applyBorder="1" applyAlignment="1">
      <alignment horizontal="center" vertical="center"/>
    </xf>
  </cellXfs>
  <cellStyles count="3">
    <cellStyle name="Comma 28" xfId="2" xr:uid="{F49A2D0C-FADA-4B58-B3D8-14BCDB5C6066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154412</xdr:colOff>
      <xdr:row>5</xdr:row>
      <xdr:rowOff>0</xdr:rowOff>
    </xdr:from>
    <xdr:to>
      <xdr:col>21</xdr:col>
      <xdr:colOff>376428</xdr:colOff>
      <xdr:row>6</xdr:row>
      <xdr:rowOff>78513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392F1F-9ACC-4240-A5FE-1AF1D3550194}"/>
                </a:ext>
              </a:extLst>
            </xdr:cNvPr>
            <xdr:cNvSpPr txBox="1"/>
          </xdr:nvSpPr>
          <xdr:spPr>
            <a:xfrm>
              <a:off x="19536566" y="7590692"/>
              <a:ext cx="3270016" cy="28366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392F1F-9ACC-4240-A5FE-1AF1D3550194}"/>
                </a:ext>
              </a:extLst>
            </xdr:cNvPr>
            <xdr:cNvSpPr txBox="1"/>
          </xdr:nvSpPr>
          <xdr:spPr>
            <a:xfrm>
              <a:off x="19536566" y="7590692"/>
              <a:ext cx="3270016" cy="28366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Activos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Totales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17</xdr:col>
      <xdr:colOff>263267</xdr:colOff>
      <xdr:row>8</xdr:row>
      <xdr:rowOff>184508</xdr:rowOff>
    </xdr:from>
    <xdr:to>
      <xdr:col>21</xdr:col>
      <xdr:colOff>213934</xdr:colOff>
      <xdr:row>10</xdr:row>
      <xdr:rowOff>79665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62E3AD3A-B207-4AD5-99F6-BF748B7C13C0}"/>
                </a:ext>
              </a:extLst>
            </xdr:cNvPr>
            <xdr:cNvSpPr txBox="1"/>
          </xdr:nvSpPr>
          <xdr:spPr>
            <a:xfrm>
              <a:off x="19645421" y="8390662"/>
              <a:ext cx="2998667" cy="3054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Fijos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Fijos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62E3AD3A-B207-4AD5-99F6-BF748B7C13C0}"/>
                </a:ext>
              </a:extLst>
            </xdr:cNvPr>
            <xdr:cNvSpPr txBox="1"/>
          </xdr:nvSpPr>
          <xdr:spPr>
            <a:xfrm>
              <a:off x="19645421" y="8390662"/>
              <a:ext cx="2998667" cy="3054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Activos Fijos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Fijos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17</xdr:col>
      <xdr:colOff>201446</xdr:colOff>
      <xdr:row>13</xdr:row>
      <xdr:rowOff>60971</xdr:rowOff>
    </xdr:from>
    <xdr:to>
      <xdr:col>21</xdr:col>
      <xdr:colOff>253896</xdr:colOff>
      <xdr:row>14</xdr:row>
      <xdr:rowOff>140785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F091D25E-658B-43C3-9FF7-D6B3F043A0CF}"/>
                </a:ext>
              </a:extLst>
            </xdr:cNvPr>
            <xdr:cNvSpPr txBox="1"/>
          </xdr:nvSpPr>
          <xdr:spPr>
            <a:xfrm>
              <a:off x="19583600" y="9292894"/>
              <a:ext cx="3100450" cy="28496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Costos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F091D25E-658B-43C3-9FF7-D6B3F043A0CF}"/>
                </a:ext>
              </a:extLst>
            </xdr:cNvPr>
            <xdr:cNvSpPr txBox="1"/>
          </xdr:nvSpPr>
          <xdr:spPr>
            <a:xfrm>
              <a:off x="19583600" y="9292894"/>
              <a:ext cx="3100450" cy="28496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Inventarios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"Costos de 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Inventarios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17</xdr:col>
      <xdr:colOff>400820</xdr:colOff>
      <xdr:row>15</xdr:row>
      <xdr:rowOff>22441</xdr:rowOff>
    </xdr:from>
    <xdr:to>
      <xdr:col>20</xdr:col>
      <xdr:colOff>736346</xdr:colOff>
      <xdr:row>16</xdr:row>
      <xdr:rowOff>105443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12">
              <a:extLst>
                <a:ext uri="{FF2B5EF4-FFF2-40B4-BE49-F238E27FC236}">
                  <a16:creationId xmlns:a16="http://schemas.microsoft.com/office/drawing/2014/main" id="{8E5FDA69-B01A-4A94-8735-C33F10875523}"/>
                </a:ext>
              </a:extLst>
            </xdr:cNvPr>
            <xdr:cNvSpPr txBox="1"/>
          </xdr:nvSpPr>
          <xdr:spPr>
            <a:xfrm>
              <a:off x="19782974" y="9664672"/>
              <a:ext cx="2621526" cy="28815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5" name="CuadroTexto 12">
              <a:extLst>
                <a:ext uri="{FF2B5EF4-FFF2-40B4-BE49-F238E27FC236}">
                  <a16:creationId xmlns:a16="http://schemas.microsoft.com/office/drawing/2014/main" id="{8E5FDA69-B01A-4A94-8735-C33F10875523}"/>
                </a:ext>
              </a:extLst>
            </xdr:cNvPr>
            <xdr:cNvSpPr txBox="1"/>
          </xdr:nvSpPr>
          <xdr:spPr>
            <a:xfrm>
              <a:off x="19782974" y="9664672"/>
              <a:ext cx="2621526" cy="28815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Inventario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Inventarios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17</xdr:col>
      <xdr:colOff>228068</xdr:colOff>
      <xdr:row>17</xdr:row>
      <xdr:rowOff>45645</xdr:rowOff>
    </xdr:from>
    <xdr:to>
      <xdr:col>22</xdr:col>
      <xdr:colOff>223405</xdr:colOff>
      <xdr:row>19</xdr:row>
      <xdr:rowOff>35837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15">
              <a:extLst>
                <a:ext uri="{FF2B5EF4-FFF2-40B4-BE49-F238E27FC236}">
                  <a16:creationId xmlns:a16="http://schemas.microsoft.com/office/drawing/2014/main" id="{8582075E-C837-4FDA-BE96-DD6ACE2458A7}"/>
                </a:ext>
              </a:extLst>
            </xdr:cNvPr>
            <xdr:cNvSpPr txBox="1"/>
          </xdr:nvSpPr>
          <xdr:spPr>
            <a:xfrm>
              <a:off x="19610222" y="10098183"/>
              <a:ext cx="3805337" cy="4005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6" name="CuadroTexto 15">
              <a:extLst>
                <a:ext uri="{FF2B5EF4-FFF2-40B4-BE49-F238E27FC236}">
                  <a16:creationId xmlns:a16="http://schemas.microsoft.com/office/drawing/2014/main" id="{8582075E-C837-4FDA-BE96-DD6ACE2458A7}"/>
                </a:ext>
              </a:extLst>
            </xdr:cNvPr>
            <xdr:cNvSpPr txBox="1"/>
          </xdr:nvSpPr>
          <xdr:spPr>
            <a:xfrm>
              <a:off x="19610222" y="10098183"/>
              <a:ext cx="3805337" cy="4005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17</xdr:col>
      <xdr:colOff>279538</xdr:colOff>
      <xdr:row>19</xdr:row>
      <xdr:rowOff>26547</xdr:rowOff>
    </xdr:from>
    <xdr:to>
      <xdr:col>22</xdr:col>
      <xdr:colOff>193771</xdr:colOff>
      <xdr:row>20</xdr:row>
      <xdr:rowOff>133402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CA4687EA-0117-4A78-A799-2AB1ED8535EC}"/>
                </a:ext>
              </a:extLst>
            </xdr:cNvPr>
            <xdr:cNvSpPr txBox="1"/>
          </xdr:nvSpPr>
          <xdr:spPr>
            <a:xfrm>
              <a:off x="19661692" y="10489393"/>
              <a:ext cx="3724233" cy="31200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CA4687EA-0117-4A78-A799-2AB1ED8535EC}"/>
                </a:ext>
              </a:extLst>
            </xdr:cNvPr>
            <xdr:cNvSpPr txBox="1"/>
          </xdr:nvSpPr>
          <xdr:spPr>
            <a:xfrm>
              <a:off x="19661692" y="10489393"/>
              <a:ext cx="3724233" cy="31200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17</xdr:col>
      <xdr:colOff>197895</xdr:colOff>
      <xdr:row>23</xdr:row>
      <xdr:rowOff>3439</xdr:rowOff>
    </xdr:from>
    <xdr:to>
      <xdr:col>22</xdr:col>
      <xdr:colOff>186993</xdr:colOff>
      <xdr:row>24</xdr:row>
      <xdr:rowOff>112051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96C3F4F7-584C-4382-B3EF-317E1DA8D045}"/>
                </a:ext>
              </a:extLst>
            </xdr:cNvPr>
            <xdr:cNvSpPr txBox="1"/>
          </xdr:nvSpPr>
          <xdr:spPr>
            <a:xfrm>
              <a:off x="19580049" y="11286901"/>
              <a:ext cx="3799098" cy="3137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Compras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96C3F4F7-584C-4382-B3EF-317E1DA8D045}"/>
                </a:ext>
              </a:extLst>
            </xdr:cNvPr>
            <xdr:cNvSpPr txBox="1"/>
          </xdr:nvSpPr>
          <xdr:spPr>
            <a:xfrm>
              <a:off x="19580049" y="11286901"/>
              <a:ext cx="3799098" cy="3137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"Compras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17</xdr:col>
      <xdr:colOff>244042</xdr:colOff>
      <xdr:row>21</xdr:row>
      <xdr:rowOff>151121</xdr:rowOff>
    </xdr:from>
    <xdr:to>
      <xdr:col>22</xdr:col>
      <xdr:colOff>455063</xdr:colOff>
      <xdr:row>22</xdr:row>
      <xdr:rowOff>92080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11">
              <a:extLst>
                <a:ext uri="{FF2B5EF4-FFF2-40B4-BE49-F238E27FC236}">
                  <a16:creationId xmlns:a16="http://schemas.microsoft.com/office/drawing/2014/main" id="{1BA641B6-2C05-449A-BF09-096302B441AF}"/>
                </a:ext>
              </a:extLst>
            </xdr:cNvPr>
            <xdr:cNvSpPr txBox="1"/>
          </xdr:nvSpPr>
          <xdr:spPr>
            <a:xfrm>
              <a:off x="19626196" y="11024275"/>
              <a:ext cx="4021021" cy="146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Compras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Costo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Ventas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Final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Inicial</m:t>
                    </m:r>
                  </m:oMath>
                </m:oMathPara>
              </a14:m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9" name="CuadroTexto 11">
              <a:extLst>
                <a:ext uri="{FF2B5EF4-FFF2-40B4-BE49-F238E27FC236}">
                  <a16:creationId xmlns:a16="http://schemas.microsoft.com/office/drawing/2014/main" id="{1BA641B6-2C05-449A-BF09-096302B441AF}"/>
                </a:ext>
              </a:extLst>
            </xdr:cNvPr>
            <xdr:cNvSpPr txBox="1"/>
          </xdr:nvSpPr>
          <xdr:spPr>
            <a:xfrm>
              <a:off x="19626196" y="11024275"/>
              <a:ext cx="4021021" cy="146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solidFill>
                    <a:schemeClr val="tx1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"Compras = Costo de Ventas + Inventario Final – Inventario Inicial</a:t>
              </a:r>
              <a:r>
                <a:rPr lang="es-CO" sz="1000" b="0" i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17</xdr:col>
      <xdr:colOff>0</xdr:colOff>
      <xdr:row>24</xdr:row>
      <xdr:rowOff>169600</xdr:rowOff>
    </xdr:from>
    <xdr:to>
      <xdr:col>22</xdr:col>
      <xdr:colOff>431866</xdr:colOff>
      <xdr:row>26</xdr:row>
      <xdr:rowOff>69692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13">
              <a:extLst>
                <a:ext uri="{FF2B5EF4-FFF2-40B4-BE49-F238E27FC236}">
                  <a16:creationId xmlns:a16="http://schemas.microsoft.com/office/drawing/2014/main" id="{803FA599-5D7E-43BD-A3F5-91D1B72E616E}"/>
                </a:ext>
              </a:extLst>
            </xdr:cNvPr>
            <xdr:cNvSpPr txBox="1"/>
          </xdr:nvSpPr>
          <xdr:spPr>
            <a:xfrm>
              <a:off x="19382154" y="11658215"/>
              <a:ext cx="4241866" cy="3104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0" name="CuadroTexto 13">
              <a:extLst>
                <a:ext uri="{FF2B5EF4-FFF2-40B4-BE49-F238E27FC236}">
                  <a16:creationId xmlns:a16="http://schemas.microsoft.com/office/drawing/2014/main" id="{803FA599-5D7E-43BD-A3F5-91D1B72E616E}"/>
                </a:ext>
              </a:extLst>
            </xdr:cNvPr>
            <xdr:cNvSpPr txBox="1"/>
          </xdr:nvSpPr>
          <xdr:spPr>
            <a:xfrm>
              <a:off x="19382154" y="11658215"/>
              <a:ext cx="4241866" cy="3104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17</xdr:col>
      <xdr:colOff>359998</xdr:colOff>
      <xdr:row>28</xdr:row>
      <xdr:rowOff>54231</xdr:rowOff>
    </xdr:from>
    <xdr:to>
      <xdr:col>22</xdr:col>
      <xdr:colOff>402517</xdr:colOff>
      <xdr:row>28</xdr:row>
      <xdr:rowOff>202828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CA05BDF6-7142-482C-AA58-4C74A57DF6C8}"/>
                </a:ext>
              </a:extLst>
            </xdr:cNvPr>
            <xdr:cNvSpPr txBox="1"/>
          </xdr:nvSpPr>
          <xdr:spPr>
            <a:xfrm>
              <a:off x="19742152" y="12363462"/>
              <a:ext cx="3852519" cy="14859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Ciclo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efectivo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CxC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CxP</m:t>
                    </m:r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CA05BDF6-7142-482C-AA58-4C74A57DF6C8}"/>
                </a:ext>
              </a:extLst>
            </xdr:cNvPr>
            <xdr:cNvSpPr txBox="1"/>
          </xdr:nvSpPr>
          <xdr:spPr>
            <a:xfrm>
              <a:off x="19742152" y="12363462"/>
              <a:ext cx="3852519" cy="14859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"Ciclo de efectivo = Días de Inventario + Días de CxC – Días de CxP</a:t>
              </a:r>
              <a:r>
                <a:rPr lang="es-CO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17</xdr:col>
      <xdr:colOff>331602</xdr:colOff>
      <xdr:row>29</xdr:row>
      <xdr:rowOff>118809</xdr:rowOff>
    </xdr:from>
    <xdr:to>
      <xdr:col>23</xdr:col>
      <xdr:colOff>25441</xdr:colOff>
      <xdr:row>31</xdr:row>
      <xdr:rowOff>47908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6CEB58C3-FDD7-4BFC-83C9-EB17A797A9BC}"/>
            </a:ext>
          </a:extLst>
        </xdr:cNvPr>
        <xdr:cNvSpPr txBox="1"/>
      </xdr:nvSpPr>
      <xdr:spPr>
        <a:xfrm>
          <a:off x="19713756" y="12633194"/>
          <a:ext cx="4265839" cy="33940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200000"/>
            </a:lnSpc>
          </a:pPr>
          <a:r>
            <a:rPr lang="es-MX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KTNO = Efectivo + CxC + Inventario – CxP – Otras CxP</a:t>
          </a:r>
          <a:endParaRPr lang="es-CO" sz="1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17</xdr:col>
      <xdr:colOff>193461</xdr:colOff>
      <xdr:row>31</xdr:row>
      <xdr:rowOff>155088</xdr:rowOff>
    </xdr:from>
    <xdr:to>
      <xdr:col>21</xdr:col>
      <xdr:colOff>170669</xdr:colOff>
      <xdr:row>33</xdr:row>
      <xdr:rowOff>30068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3">
              <a:extLst>
                <a:ext uri="{FF2B5EF4-FFF2-40B4-BE49-F238E27FC236}">
                  <a16:creationId xmlns:a16="http://schemas.microsoft.com/office/drawing/2014/main" id="{F6EE9323-FC08-4C74-86DD-B1A586BD88E5}"/>
                </a:ext>
              </a:extLst>
            </xdr:cNvPr>
            <xdr:cNvSpPr txBox="1"/>
          </xdr:nvSpPr>
          <xdr:spPr>
            <a:xfrm>
              <a:off x="19575615" y="13079780"/>
              <a:ext cx="3025208" cy="28528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KTNO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3" name="CuadroTexto 13">
              <a:extLst>
                <a:ext uri="{FF2B5EF4-FFF2-40B4-BE49-F238E27FC236}">
                  <a16:creationId xmlns:a16="http://schemas.microsoft.com/office/drawing/2014/main" id="{F6EE9323-FC08-4C74-86DD-B1A586BD88E5}"/>
                </a:ext>
              </a:extLst>
            </xdr:cNvPr>
            <xdr:cNvSpPr txBox="1"/>
          </xdr:nvSpPr>
          <xdr:spPr>
            <a:xfrm>
              <a:off x="19575615" y="13079780"/>
              <a:ext cx="3025208" cy="28528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Capital de Trabajo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KTNO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E858-ECA2-4EF6-9669-C5FB4BE68415}">
  <dimension ref="A1:Q97"/>
  <sheetViews>
    <sheetView tabSelected="1" zoomScale="115" zoomScaleNormal="115" workbookViewId="0"/>
  </sheetViews>
  <sheetFormatPr baseColWidth="10" defaultRowHeight="14.5" x14ac:dyDescent="0.35"/>
  <cols>
    <col min="1" max="1" width="45.7265625" customWidth="1"/>
    <col min="2" max="2" width="16.6328125" bestFit="1" customWidth="1"/>
    <col min="3" max="5" width="17.26953125" bestFit="1" customWidth="1"/>
    <col min="12" max="12" width="26.08984375" bestFit="1" customWidth="1"/>
    <col min="13" max="13" width="14.08984375" bestFit="1" customWidth="1"/>
    <col min="14" max="15" width="15.81640625" bestFit="1" customWidth="1"/>
    <col min="16" max="16" width="15.90625" bestFit="1" customWidth="1"/>
  </cols>
  <sheetData>
    <row r="1" spans="1:17" ht="16" x14ac:dyDescent="0.35">
      <c r="A1" s="2" t="s">
        <v>0</v>
      </c>
    </row>
    <row r="2" spans="1:17" ht="16" x14ac:dyDescent="0.35">
      <c r="A2" s="1" t="s">
        <v>1</v>
      </c>
    </row>
    <row r="3" spans="1:17" ht="16" x14ac:dyDescent="0.35">
      <c r="A3" s="1" t="s">
        <v>2</v>
      </c>
    </row>
    <row r="4" spans="1:17" ht="16" x14ac:dyDescent="0.35">
      <c r="A4" s="1" t="s">
        <v>3</v>
      </c>
    </row>
    <row r="5" spans="1:17" ht="16" x14ac:dyDescent="0.35">
      <c r="A5" s="1"/>
      <c r="G5" s="6" t="s">
        <v>47</v>
      </c>
      <c r="H5" s="7"/>
      <c r="I5" s="7"/>
    </row>
    <row r="6" spans="1:17" ht="16" x14ac:dyDescent="0.4">
      <c r="A6" s="1"/>
      <c r="B6" s="3">
        <v>2021</v>
      </c>
      <c r="C6" s="3">
        <v>2022</v>
      </c>
      <c r="D6" s="3">
        <v>2023</v>
      </c>
      <c r="E6" s="3">
        <v>2024</v>
      </c>
      <c r="F6" s="8" t="s">
        <v>48</v>
      </c>
      <c r="G6" s="3">
        <v>2022</v>
      </c>
      <c r="H6" s="3">
        <v>2023</v>
      </c>
      <c r="I6" s="3">
        <v>2024</v>
      </c>
      <c r="J6" s="8" t="s">
        <v>50</v>
      </c>
      <c r="L6" s="18"/>
      <c r="M6" s="3">
        <v>2021</v>
      </c>
      <c r="N6" s="3">
        <v>2022</v>
      </c>
      <c r="O6" s="3">
        <v>2023</v>
      </c>
      <c r="P6" s="3">
        <v>2024</v>
      </c>
      <c r="Q6" s="18"/>
    </row>
    <row r="7" spans="1:17" ht="16" x14ac:dyDescent="0.4">
      <c r="A7" s="1" t="s">
        <v>5</v>
      </c>
      <c r="B7" s="4">
        <v>10673799</v>
      </c>
      <c r="C7" s="4">
        <v>11200497</v>
      </c>
      <c r="D7" s="4">
        <v>11369275</v>
      </c>
      <c r="E7" s="4">
        <v>11661234</v>
      </c>
      <c r="F7" s="9">
        <f>+E7/$E$20</f>
        <v>2.00286803366998E-2</v>
      </c>
      <c r="G7" s="9">
        <f>+C7/B7-1</f>
        <v>4.9344942695660698E-2</v>
      </c>
      <c r="H7" s="9">
        <f t="shared" ref="H7:I7" si="0">+D7/C7-1</f>
        <v>1.5068795607909191E-2</v>
      </c>
      <c r="I7" s="9">
        <f t="shared" si="0"/>
        <v>2.5679649757790246E-2</v>
      </c>
      <c r="J7" s="9">
        <f>+AVERAGE(G7:I7)</f>
        <v>3.0031129353786712E-2</v>
      </c>
      <c r="L7" s="1" t="s">
        <v>51</v>
      </c>
      <c r="N7" s="4">
        <f>+AVERAGE(B20:C20)</f>
        <v>458179706</v>
      </c>
      <c r="O7" s="4">
        <f>+AVERAGE(C20:D20)</f>
        <v>562877809.5</v>
      </c>
      <c r="P7" s="4">
        <f>+AVERAGE(D20:E20)</f>
        <v>558986184</v>
      </c>
      <c r="Q7" s="18"/>
    </row>
    <row r="8" spans="1:17" ht="16" x14ac:dyDescent="0.35">
      <c r="A8" s="1" t="s">
        <v>6</v>
      </c>
      <c r="B8" s="4">
        <v>89646183</v>
      </c>
      <c r="C8" s="4">
        <v>131752481</v>
      </c>
      <c r="D8" s="4">
        <v>122263452</v>
      </c>
      <c r="E8" s="4">
        <v>150514599</v>
      </c>
      <c r="F8" s="9">
        <f t="shared" ref="F8:F34" si="1">+E8/$E$20</f>
        <v>0.25851541864073352</v>
      </c>
      <c r="G8" s="9">
        <f t="shared" ref="G8:G14" si="2">+C8/B8-1</f>
        <v>0.46969426461804842</v>
      </c>
      <c r="H8" s="9">
        <f t="shared" ref="H8:H34" si="3">+D8/C8-1</f>
        <v>-7.2021634264329393E-2</v>
      </c>
      <c r="I8" s="9">
        <f t="shared" ref="I8:I34" si="4">+E8/D8-1</f>
        <v>0.23106780103018854</v>
      </c>
      <c r="J8" s="9">
        <f t="shared" ref="J8:J34" si="5">+AVERAGE(G8:I8)</f>
        <v>0.20958014379463585</v>
      </c>
      <c r="L8" s="19" t="s">
        <v>52</v>
      </c>
      <c r="N8" s="20">
        <f>C38/N7</f>
        <v>2.2607709102681208</v>
      </c>
      <c r="O8" s="20">
        <f>D38/O7</f>
        <v>1.7945252219078642</v>
      </c>
      <c r="P8" s="20">
        <f>E38/P7</f>
        <v>1.9271077172096975</v>
      </c>
      <c r="Q8" s="19" t="s">
        <v>72</v>
      </c>
    </row>
    <row r="9" spans="1:17" ht="16" x14ac:dyDescent="0.4">
      <c r="A9" s="1" t="s">
        <v>7</v>
      </c>
      <c r="B9" s="4">
        <v>169357031</v>
      </c>
      <c r="C9" s="4">
        <v>288726610</v>
      </c>
      <c r="D9" s="4">
        <v>219057527</v>
      </c>
      <c r="E9" s="4">
        <v>220768607</v>
      </c>
      <c r="F9" s="9">
        <f t="shared" si="1"/>
        <v>0.3791797555886029</v>
      </c>
      <c r="G9" s="9">
        <f t="shared" si="2"/>
        <v>0.70483981854877942</v>
      </c>
      <c r="H9" s="9">
        <f t="shared" si="3"/>
        <v>-0.24129775568659917</v>
      </c>
      <c r="I9" s="9">
        <f t="shared" si="4"/>
        <v>7.8110988626289846E-3</v>
      </c>
      <c r="J9" s="9">
        <f t="shared" si="5"/>
        <v>0.15711772057493642</v>
      </c>
      <c r="L9" s="18"/>
      <c r="Q9" s="18"/>
    </row>
    <row r="10" spans="1:17" ht="16" x14ac:dyDescent="0.4">
      <c r="A10" s="1" t="s">
        <v>8</v>
      </c>
      <c r="B10" s="4">
        <v>12546157</v>
      </c>
      <c r="C10" s="4">
        <v>26439643</v>
      </c>
      <c r="D10" s="4">
        <v>22561598</v>
      </c>
      <c r="E10" s="4">
        <v>29855129</v>
      </c>
      <c r="F10" s="9">
        <f t="shared" si="1"/>
        <v>5.1277492172092251E-2</v>
      </c>
      <c r="G10" s="9">
        <f t="shared" si="2"/>
        <v>1.1073897768057583</v>
      </c>
      <c r="H10" s="9">
        <f t="shared" si="3"/>
        <v>-0.14667539194837087</v>
      </c>
      <c r="I10" s="9">
        <f t="shared" si="4"/>
        <v>0.32327191540244615</v>
      </c>
      <c r="J10" s="9">
        <f t="shared" si="5"/>
        <v>0.4279954334199445</v>
      </c>
      <c r="L10" s="1" t="s">
        <v>53</v>
      </c>
      <c r="M10" s="4">
        <f>+B15+B16</f>
        <v>27530174</v>
      </c>
      <c r="N10" s="4">
        <f>+C15+C16</f>
        <v>35777572</v>
      </c>
      <c r="O10" s="4">
        <f>+D15+D16</f>
        <v>64636152</v>
      </c>
      <c r="P10" s="4">
        <f>+E15+E16</f>
        <v>80550271</v>
      </c>
      <c r="Q10" s="18"/>
    </row>
    <row r="11" spans="1:17" ht="16" x14ac:dyDescent="0.4">
      <c r="A11" s="1" t="s">
        <v>9</v>
      </c>
      <c r="B11" s="4">
        <v>0</v>
      </c>
      <c r="C11" s="4">
        <v>0</v>
      </c>
      <c r="D11" s="4">
        <v>0</v>
      </c>
      <c r="E11" s="4">
        <v>822360</v>
      </c>
      <c r="F11" s="9">
        <f t="shared" si="1"/>
        <v>1.4124393320371111E-3</v>
      </c>
      <c r="G11" s="9"/>
      <c r="H11" s="9"/>
      <c r="I11" s="9"/>
      <c r="J11" s="9"/>
      <c r="L11" s="1" t="s">
        <v>54</v>
      </c>
      <c r="N11" s="4">
        <f>+AVERAGE(M10:N10)</f>
        <v>31653873</v>
      </c>
      <c r="O11" s="4">
        <f t="shared" ref="O11:P11" si="6">+AVERAGE(N10:O10)</f>
        <v>50206862</v>
      </c>
      <c r="P11" s="4">
        <f t="shared" si="6"/>
        <v>72593211.5</v>
      </c>
      <c r="Q11" s="18"/>
    </row>
    <row r="12" spans="1:17" ht="16" x14ac:dyDescent="0.35">
      <c r="A12" s="1" t="s">
        <v>10</v>
      </c>
      <c r="B12" s="4">
        <v>1556553</v>
      </c>
      <c r="C12" s="4">
        <v>7786191</v>
      </c>
      <c r="D12" s="4">
        <v>3082432</v>
      </c>
      <c r="E12" s="4">
        <v>1410047</v>
      </c>
      <c r="F12" s="9">
        <f t="shared" si="1"/>
        <v>2.4218175042814974E-3</v>
      </c>
      <c r="G12" s="9"/>
      <c r="H12" s="9"/>
      <c r="I12" s="9"/>
      <c r="J12" s="9"/>
      <c r="L12" s="19" t="s">
        <v>55</v>
      </c>
      <c r="N12" s="20">
        <f>C38/N11</f>
        <v>32.723937162444543</v>
      </c>
      <c r="O12" s="20">
        <f>D38/O11</f>
        <v>20.118732495171677</v>
      </c>
      <c r="P12" s="20">
        <f>E38/P11</f>
        <v>14.83921935317602</v>
      </c>
      <c r="Q12" s="19" t="s">
        <v>72</v>
      </c>
    </row>
    <row r="13" spans="1:17" ht="16" x14ac:dyDescent="0.4">
      <c r="A13" s="1" t="s">
        <v>44</v>
      </c>
      <c r="B13" s="4">
        <v>9458057</v>
      </c>
      <c r="C13" s="4">
        <v>16611014</v>
      </c>
      <c r="D13" s="4">
        <v>17389638</v>
      </c>
      <c r="E13" s="4">
        <v>9509582</v>
      </c>
      <c r="F13" s="9">
        <f t="shared" si="1"/>
        <v>1.6333123751194289E-2</v>
      </c>
      <c r="G13" s="9">
        <f t="shared" si="2"/>
        <v>0.75628186634950501</v>
      </c>
      <c r="H13" s="9">
        <f t="shared" si="3"/>
        <v>4.6873959651108521E-2</v>
      </c>
      <c r="I13" s="9">
        <f t="shared" si="4"/>
        <v>-0.45314663824514345</v>
      </c>
      <c r="J13" s="9">
        <f t="shared" si="5"/>
        <v>0.11666972925182335</v>
      </c>
      <c r="L13" s="18"/>
      <c r="Q13" s="18"/>
    </row>
    <row r="14" spans="1:17" ht="16" x14ac:dyDescent="0.4">
      <c r="A14" s="2" t="s">
        <v>11</v>
      </c>
      <c r="B14" s="5">
        <f>SUM(B7:B13)</f>
        <v>293237780</v>
      </c>
      <c r="C14" s="5">
        <f t="shared" ref="C14:E14" si="7">SUM(C7:C13)</f>
        <v>482516436</v>
      </c>
      <c r="D14" s="5">
        <f t="shared" si="7"/>
        <v>395723922</v>
      </c>
      <c r="E14" s="5">
        <f t="shared" si="7"/>
        <v>424541558</v>
      </c>
      <c r="F14" s="10">
        <f t="shared" si="1"/>
        <v>0.72916872732564131</v>
      </c>
      <c r="G14" s="10">
        <f t="shared" si="2"/>
        <v>0.64547841004661821</v>
      </c>
      <c r="H14" s="10">
        <f t="shared" si="3"/>
        <v>-0.17987473073352467</v>
      </c>
      <c r="I14" s="10">
        <f t="shared" si="4"/>
        <v>7.2822577554459755E-2</v>
      </c>
      <c r="J14" s="10">
        <f t="shared" si="5"/>
        <v>0.17947541895585109</v>
      </c>
      <c r="L14" s="1" t="s">
        <v>56</v>
      </c>
      <c r="N14" s="4">
        <f>+AVERAGE(B9:C9)</f>
        <v>229041820.5</v>
      </c>
      <c r="O14" s="4">
        <f>+AVERAGE(C9:D9)</f>
        <v>253892068.5</v>
      </c>
      <c r="P14" s="4">
        <f>+AVERAGE(D9:E9)</f>
        <v>219913067</v>
      </c>
      <c r="Q14" s="18"/>
    </row>
    <row r="15" spans="1:17" ht="16" x14ac:dyDescent="0.35">
      <c r="A15" s="1" t="s">
        <v>12</v>
      </c>
      <c r="B15" s="4">
        <v>27156177</v>
      </c>
      <c r="C15" s="4">
        <v>35418575</v>
      </c>
      <c r="D15" s="4">
        <v>64292155</v>
      </c>
      <c r="E15" s="4">
        <v>80217486</v>
      </c>
      <c r="F15" s="9">
        <f t="shared" si="1"/>
        <v>0.13777704696670109</v>
      </c>
      <c r="G15" s="9">
        <f t="shared" ref="G15:G20" si="8">+C15/B15-1</f>
        <v>0.30425482938927662</v>
      </c>
      <c r="H15" s="9">
        <f t="shared" si="3"/>
        <v>0.81521009809118516</v>
      </c>
      <c r="I15" s="9">
        <f t="shared" si="4"/>
        <v>0.24770255406744424</v>
      </c>
      <c r="J15" s="9">
        <f t="shared" si="5"/>
        <v>0.45572249384930202</v>
      </c>
      <c r="L15" s="19" t="s">
        <v>57</v>
      </c>
      <c r="N15" s="20">
        <f>C39/N14</f>
        <v>3.2178702447922607</v>
      </c>
      <c r="O15" s="20">
        <f>D39/O14</f>
        <v>2.9248553859412905</v>
      </c>
      <c r="P15" s="20">
        <f>E39/P14</f>
        <v>3.5521465898158748</v>
      </c>
      <c r="Q15" s="19" t="s">
        <v>72</v>
      </c>
    </row>
    <row r="16" spans="1:17" ht="16" x14ac:dyDescent="0.35">
      <c r="A16" s="1" t="s">
        <v>13</v>
      </c>
      <c r="B16" s="4">
        <v>373997</v>
      </c>
      <c r="C16" s="4">
        <v>358997</v>
      </c>
      <c r="D16" s="4">
        <v>343997</v>
      </c>
      <c r="E16" s="4">
        <v>332785</v>
      </c>
      <c r="F16" s="9">
        <f t="shared" si="1"/>
        <v>5.7157281860981807E-4</v>
      </c>
      <c r="G16" s="9"/>
      <c r="H16" s="9"/>
      <c r="I16" s="9"/>
      <c r="J16" s="9"/>
      <c r="L16" s="19" t="s">
        <v>58</v>
      </c>
      <c r="N16" s="21">
        <f>365/N15</f>
        <v>113.42906091092672</v>
      </c>
      <c r="O16" s="21">
        <f t="shared" ref="O16:P16" si="9">365/O15</f>
        <v>124.79249461509154</v>
      </c>
      <c r="P16" s="21">
        <f t="shared" si="9"/>
        <v>102.75476835513135</v>
      </c>
      <c r="Q16" s="19" t="s">
        <v>73</v>
      </c>
    </row>
    <row r="17" spans="1:17" ht="16" x14ac:dyDescent="0.4">
      <c r="A17" s="1" t="s">
        <v>14</v>
      </c>
      <c r="B17" s="4">
        <v>5581430</v>
      </c>
      <c r="C17" s="4">
        <v>71716020</v>
      </c>
      <c r="D17" s="4">
        <v>75385517</v>
      </c>
      <c r="E17" s="4">
        <v>0</v>
      </c>
      <c r="F17" s="9">
        <f t="shared" si="1"/>
        <v>0</v>
      </c>
      <c r="G17" s="9"/>
      <c r="H17" s="9"/>
      <c r="I17" s="9"/>
      <c r="J17" s="9"/>
      <c r="L17" s="18"/>
      <c r="Q17" s="18"/>
    </row>
    <row r="18" spans="1:17" ht="16" x14ac:dyDescent="0.4">
      <c r="A18" s="1" t="s">
        <v>46</v>
      </c>
      <c r="B18" s="4">
        <v>0</v>
      </c>
      <c r="C18" s="4">
        <v>0</v>
      </c>
      <c r="D18" s="4">
        <v>0</v>
      </c>
      <c r="E18" s="4">
        <v>77134948</v>
      </c>
      <c r="F18" s="9">
        <f t="shared" si="1"/>
        <v>0.13248265288904773</v>
      </c>
      <c r="G18" s="9"/>
      <c r="H18" s="9"/>
      <c r="I18" s="9"/>
      <c r="J18" s="9"/>
      <c r="L18" s="1" t="s">
        <v>59</v>
      </c>
      <c r="N18" s="4">
        <f>+AVERAGE(B8:C8)</f>
        <v>110699332</v>
      </c>
      <c r="O18" s="4">
        <f>+AVERAGE(C8:D8)</f>
        <v>127007966.5</v>
      </c>
      <c r="P18" s="4">
        <f>+AVERAGE(D8:E8)</f>
        <v>136389025.5</v>
      </c>
      <c r="Q18" s="18"/>
    </row>
    <row r="19" spans="1:17" ht="16" x14ac:dyDescent="0.35">
      <c r="A19" s="2" t="s">
        <v>15</v>
      </c>
      <c r="B19" s="5">
        <f>SUM(B15:B18)</f>
        <v>33111604</v>
      </c>
      <c r="C19" s="5">
        <f t="shared" ref="C19:E19" si="10">SUM(C15:C18)</f>
        <v>107493592</v>
      </c>
      <c r="D19" s="5">
        <f t="shared" si="10"/>
        <v>140021669</v>
      </c>
      <c r="E19" s="5">
        <f t="shared" si="10"/>
        <v>157685219</v>
      </c>
      <c r="F19" s="10">
        <f t="shared" si="1"/>
        <v>0.27083127267435864</v>
      </c>
      <c r="G19" s="10">
        <f t="shared" si="8"/>
        <v>2.2464024394589885</v>
      </c>
      <c r="H19" s="10">
        <f t="shared" si="3"/>
        <v>0.30260480085175678</v>
      </c>
      <c r="I19" s="10">
        <f t="shared" si="4"/>
        <v>0.12614868917181665</v>
      </c>
      <c r="J19" s="10">
        <f t="shared" si="5"/>
        <v>0.89171864316085392</v>
      </c>
      <c r="L19" s="19" t="s">
        <v>60</v>
      </c>
      <c r="N19" s="20">
        <f>C38/N18</f>
        <v>9.3572321737226023</v>
      </c>
      <c r="O19" s="20">
        <f>D38/O18</f>
        <v>7.9530320328370898</v>
      </c>
      <c r="P19" s="20">
        <f>E38/P18</f>
        <v>7.8981911121580675</v>
      </c>
      <c r="Q19" s="19" t="s">
        <v>72</v>
      </c>
    </row>
    <row r="20" spans="1:17" ht="16" x14ac:dyDescent="0.35">
      <c r="A20" s="2" t="s">
        <v>16</v>
      </c>
      <c r="B20" s="5">
        <f>+B14+B19</f>
        <v>326349384</v>
      </c>
      <c r="C20" s="5">
        <f t="shared" ref="C20:E20" si="11">+C14+C19</f>
        <v>590010028</v>
      </c>
      <c r="D20" s="5">
        <f t="shared" si="11"/>
        <v>535745591</v>
      </c>
      <c r="E20" s="5">
        <f t="shared" si="11"/>
        <v>582226777</v>
      </c>
      <c r="F20" s="10">
        <f t="shared" si="1"/>
        <v>1</v>
      </c>
      <c r="G20" s="10">
        <f t="shared" si="8"/>
        <v>0.80790912110316726</v>
      </c>
      <c r="H20" s="10">
        <f t="shared" si="3"/>
        <v>-9.1972058820668057E-2</v>
      </c>
      <c r="I20" s="10">
        <f t="shared" si="4"/>
        <v>8.6759810590769648E-2</v>
      </c>
      <c r="J20" s="10">
        <f t="shared" si="5"/>
        <v>0.2675656242910896</v>
      </c>
      <c r="L20" s="19" t="s">
        <v>61</v>
      </c>
      <c r="N20" s="21">
        <f>365/N19</f>
        <v>39.007261252425614</v>
      </c>
      <c r="O20" s="21">
        <f t="shared" ref="O20:P20" si="12">365/O19</f>
        <v>45.894446104700691</v>
      </c>
      <c r="P20" s="21">
        <f t="shared" si="12"/>
        <v>46.213113207420093</v>
      </c>
      <c r="Q20" s="19" t="s">
        <v>73</v>
      </c>
    </row>
    <row r="21" spans="1:17" ht="16" x14ac:dyDescent="0.4">
      <c r="A21" s="1" t="s">
        <v>17</v>
      </c>
      <c r="B21" s="4">
        <v>127619547</v>
      </c>
      <c r="C21" s="4">
        <v>173681053</v>
      </c>
      <c r="D21" s="4">
        <v>130649499</v>
      </c>
      <c r="E21" s="4">
        <v>154491950</v>
      </c>
      <c r="F21" s="9">
        <f t="shared" si="1"/>
        <v>0.26534669325248156</v>
      </c>
      <c r="G21" s="9">
        <f t="shared" ref="G21:G34" si="13">+C21/B21-1</f>
        <v>0.3609282988600484</v>
      </c>
      <c r="H21" s="9">
        <f t="shared" si="3"/>
        <v>-0.2477619363581357</v>
      </c>
      <c r="I21" s="9">
        <f t="shared" si="4"/>
        <v>0.18249171395597918</v>
      </c>
      <c r="J21" s="9">
        <f t="shared" si="5"/>
        <v>9.8552692152630628E-2</v>
      </c>
      <c r="L21" s="18"/>
      <c r="Q21" s="18"/>
    </row>
    <row r="22" spans="1:17" ht="16" x14ac:dyDescent="0.4">
      <c r="A22" s="1" t="s">
        <v>18</v>
      </c>
      <c r="B22" s="4">
        <v>21780825</v>
      </c>
      <c r="C22" s="4">
        <v>25228700</v>
      </c>
      <c r="D22" s="4">
        <v>19709124</v>
      </c>
      <c r="E22" s="4">
        <v>16767880</v>
      </c>
      <c r="F22" s="9">
        <f t="shared" si="1"/>
        <v>2.879956859146655E-2</v>
      </c>
      <c r="G22" s="9">
        <f t="shared" si="13"/>
        <v>0.15829864112126146</v>
      </c>
      <c r="H22" s="9">
        <f t="shared" si="3"/>
        <v>-0.21878162568820436</v>
      </c>
      <c r="I22" s="9">
        <f t="shared" si="4"/>
        <v>-0.14923260922200299</v>
      </c>
      <c r="J22" s="9">
        <f t="shared" si="5"/>
        <v>-6.9905197929648624E-2</v>
      </c>
      <c r="L22" s="1" t="s">
        <v>62</v>
      </c>
      <c r="N22" s="4">
        <f>+B9</f>
        <v>169357031</v>
      </c>
      <c r="O22" s="4">
        <f>+C9</f>
        <v>288726610</v>
      </c>
      <c r="P22" s="4">
        <f>+D9</f>
        <v>219057527</v>
      </c>
      <c r="Q22" s="18"/>
    </row>
    <row r="23" spans="1:17" ht="16" x14ac:dyDescent="0.4">
      <c r="A23" s="1" t="s">
        <v>19</v>
      </c>
      <c r="B23" s="4">
        <v>83346383</v>
      </c>
      <c r="C23" s="4">
        <v>234094585</v>
      </c>
      <c r="D23" s="4">
        <v>190811645</v>
      </c>
      <c r="E23" s="4">
        <v>164714877</v>
      </c>
      <c r="F23" s="9">
        <f t="shared" si="1"/>
        <v>0.28290501829667652</v>
      </c>
      <c r="G23" s="9">
        <f t="shared" si="13"/>
        <v>1.8086951895680943</v>
      </c>
      <c r="H23" s="9">
        <f t="shared" si="3"/>
        <v>-0.18489509272501969</v>
      </c>
      <c r="I23" s="9">
        <f t="shared" si="4"/>
        <v>-0.13676716638546882</v>
      </c>
      <c r="J23" s="9">
        <f t="shared" si="5"/>
        <v>0.49567764348586857</v>
      </c>
      <c r="L23" s="1" t="s">
        <v>63</v>
      </c>
      <c r="N23" s="4">
        <f>+C9</f>
        <v>288726610</v>
      </c>
      <c r="O23" s="4">
        <f t="shared" ref="O23:P23" si="14">+D9</f>
        <v>219057527</v>
      </c>
      <c r="P23" s="4">
        <f t="shared" si="14"/>
        <v>220768607</v>
      </c>
      <c r="Q23" s="18"/>
    </row>
    <row r="24" spans="1:17" ht="16" x14ac:dyDescent="0.4">
      <c r="A24" s="2" t="s">
        <v>20</v>
      </c>
      <c r="B24" s="5">
        <f>SUM(B21:B23)</f>
        <v>232746755</v>
      </c>
      <c r="C24" s="5">
        <f t="shared" ref="C24:E24" si="15">SUM(C21:C23)</f>
        <v>433004338</v>
      </c>
      <c r="D24" s="5">
        <f t="shared" si="15"/>
        <v>341170268</v>
      </c>
      <c r="E24" s="5">
        <f t="shared" si="15"/>
        <v>335974707</v>
      </c>
      <c r="F24" s="10">
        <f t="shared" si="1"/>
        <v>0.57705128014062468</v>
      </c>
      <c r="G24" s="10">
        <f t="shared" si="13"/>
        <v>0.86040977456377421</v>
      </c>
      <c r="H24" s="10">
        <f t="shared" si="3"/>
        <v>-0.21208579670164873</v>
      </c>
      <c r="I24" s="10">
        <f t="shared" si="4"/>
        <v>-1.5228645305047528E-2</v>
      </c>
      <c r="J24" s="10">
        <f t="shared" si="5"/>
        <v>0.21103177751902599</v>
      </c>
      <c r="L24" s="13" t="s">
        <v>64</v>
      </c>
      <c r="N24" s="4">
        <f>C39+N23-N22</f>
        <v>856396438</v>
      </c>
      <c r="O24" s="4">
        <f>D39+O23-O22</f>
        <v>672928501</v>
      </c>
      <c r="P24" s="4">
        <f>E39+P23-P22</f>
        <v>782874531</v>
      </c>
      <c r="Q24" s="18"/>
    </row>
    <row r="25" spans="1:17" ht="16" x14ac:dyDescent="0.4">
      <c r="A25" s="1" t="s">
        <v>45</v>
      </c>
      <c r="B25" s="4">
        <v>0</v>
      </c>
      <c r="C25" s="4">
        <v>0</v>
      </c>
      <c r="D25" s="4">
        <v>0</v>
      </c>
      <c r="E25" s="4">
        <v>102769181</v>
      </c>
      <c r="F25" s="9">
        <f t="shared" si="1"/>
        <v>0.17651057124086891</v>
      </c>
      <c r="G25" s="9"/>
      <c r="H25" s="9"/>
      <c r="I25" s="9"/>
      <c r="J25" s="9"/>
      <c r="L25" s="1" t="s">
        <v>65</v>
      </c>
      <c r="N25" s="4">
        <f>+AVERAGE(B21:C21)</f>
        <v>150650300</v>
      </c>
      <c r="O25" s="4">
        <f>+AVERAGE(C21:D21)</f>
        <v>152165276</v>
      </c>
      <c r="P25" s="4">
        <f>+AVERAGE(D21:E21)</f>
        <v>142570724.5</v>
      </c>
      <c r="Q25" s="18"/>
    </row>
    <row r="26" spans="1:17" ht="16" x14ac:dyDescent="0.35">
      <c r="A26" s="1" t="s">
        <v>21</v>
      </c>
      <c r="B26" s="4">
        <v>10984203</v>
      </c>
      <c r="C26" s="4">
        <v>40054882</v>
      </c>
      <c r="D26" s="4">
        <v>60693332</v>
      </c>
      <c r="E26" s="4">
        <v>0</v>
      </c>
      <c r="F26" s="9">
        <f t="shared" si="1"/>
        <v>0</v>
      </c>
      <c r="G26" s="9"/>
      <c r="H26" s="9"/>
      <c r="I26" s="9"/>
      <c r="J26" s="9"/>
      <c r="L26" s="19" t="s">
        <v>66</v>
      </c>
      <c r="N26" s="20">
        <f>+N24/N25</f>
        <v>5.6846646704321202</v>
      </c>
      <c r="O26" s="20">
        <f t="shared" ref="O26:P26" si="16">+O24/O25</f>
        <v>4.4223525806242421</v>
      </c>
      <c r="P26" s="20">
        <f t="shared" si="16"/>
        <v>5.4911310421235884</v>
      </c>
      <c r="Q26" s="19" t="s">
        <v>72</v>
      </c>
    </row>
    <row r="27" spans="1:17" ht="16" x14ac:dyDescent="0.35">
      <c r="A27" s="2" t="s">
        <v>22</v>
      </c>
      <c r="B27" s="5">
        <f>SUM(B25:B26)</f>
        <v>10984203</v>
      </c>
      <c r="C27" s="5">
        <f t="shared" ref="C27:E27" si="17">SUM(C25:C26)</f>
        <v>40054882</v>
      </c>
      <c r="D27" s="5">
        <f t="shared" si="17"/>
        <v>60693332</v>
      </c>
      <c r="E27" s="5">
        <f t="shared" si="17"/>
        <v>102769181</v>
      </c>
      <c r="F27" s="10">
        <f t="shared" si="1"/>
        <v>0.17651057124086891</v>
      </c>
      <c r="G27" s="10">
        <f t="shared" si="13"/>
        <v>2.6465897434706913</v>
      </c>
      <c r="H27" s="10">
        <f t="shared" si="3"/>
        <v>0.51525429534407308</v>
      </c>
      <c r="I27" s="10">
        <f t="shared" si="4"/>
        <v>0.69325323908728564</v>
      </c>
      <c r="J27" s="10">
        <f t="shared" si="5"/>
        <v>1.2850324259673498</v>
      </c>
      <c r="L27" s="19" t="s">
        <v>67</v>
      </c>
      <c r="N27" s="21">
        <f>365/N26</f>
        <v>64.207833031645563</v>
      </c>
      <c r="O27" s="21">
        <f t="shared" ref="O27:P27" si="18">365/O26</f>
        <v>82.535255465424243</v>
      </c>
      <c r="P27" s="21">
        <f t="shared" si="18"/>
        <v>66.470823078161928</v>
      </c>
      <c r="Q27" s="19" t="s">
        <v>73</v>
      </c>
    </row>
    <row r="28" spans="1:17" ht="16" x14ac:dyDescent="0.4">
      <c r="A28" s="2" t="s">
        <v>23</v>
      </c>
      <c r="B28" s="5">
        <f>+B24+B27</f>
        <v>243730958</v>
      </c>
      <c r="C28" s="5">
        <f t="shared" ref="C28:E28" si="19">+C24+C27</f>
        <v>473059220</v>
      </c>
      <c r="D28" s="5">
        <f t="shared" si="19"/>
        <v>401863600</v>
      </c>
      <c r="E28" s="5">
        <f t="shared" si="19"/>
        <v>438743888</v>
      </c>
      <c r="F28" s="10">
        <f t="shared" si="1"/>
        <v>0.75356185138149356</v>
      </c>
      <c r="G28" s="10">
        <f t="shared" si="13"/>
        <v>0.94090740003573936</v>
      </c>
      <c r="H28" s="10">
        <f t="shared" si="3"/>
        <v>-0.1505004384017713</v>
      </c>
      <c r="I28" s="10">
        <f t="shared" si="4"/>
        <v>9.1773148899278345E-2</v>
      </c>
      <c r="J28" s="10">
        <f t="shared" si="5"/>
        <v>0.29406003684441545</v>
      </c>
      <c r="L28" s="18"/>
      <c r="Q28" s="18"/>
    </row>
    <row r="29" spans="1:17" ht="16" x14ac:dyDescent="0.4">
      <c r="A29" s="1" t="s">
        <v>24</v>
      </c>
      <c r="B29" s="4">
        <v>270000</v>
      </c>
      <c r="C29" s="4">
        <v>270000</v>
      </c>
      <c r="D29" s="4">
        <v>270000</v>
      </c>
      <c r="E29" s="4">
        <v>270000</v>
      </c>
      <c r="F29" s="9">
        <f t="shared" si="1"/>
        <v>4.6373683015956513E-4</v>
      </c>
      <c r="G29" s="9"/>
      <c r="H29" s="9"/>
      <c r="I29" s="9"/>
      <c r="J29" s="9"/>
      <c r="L29" s="19" t="s">
        <v>68</v>
      </c>
      <c r="M29" s="18"/>
      <c r="N29" s="21">
        <f>+N16+N20-N27</f>
        <v>88.22848913170678</v>
      </c>
      <c r="O29" s="21">
        <f t="shared" ref="O29:P29" si="20">+O16+O20-O27</f>
        <v>88.15168525436799</v>
      </c>
      <c r="P29" s="21">
        <f t="shared" si="20"/>
        <v>82.497058484389513</v>
      </c>
      <c r="Q29" s="19" t="s">
        <v>73</v>
      </c>
    </row>
    <row r="30" spans="1:17" ht="16" x14ac:dyDescent="0.4">
      <c r="A30" s="1" t="s">
        <v>25</v>
      </c>
      <c r="B30" s="4">
        <v>25989859</v>
      </c>
      <c r="C30" s="4">
        <v>27635144</v>
      </c>
      <c r="D30" s="4">
        <v>26157300</v>
      </c>
      <c r="E30" s="4">
        <v>26157300</v>
      </c>
      <c r="F30" s="9">
        <f t="shared" si="1"/>
        <v>4.4926308842714049E-2</v>
      </c>
      <c r="G30" s="9">
        <f t="shared" si="13"/>
        <v>6.3304883647117949E-2</v>
      </c>
      <c r="H30" s="9">
        <f t="shared" si="3"/>
        <v>-5.3476978444548684E-2</v>
      </c>
      <c r="I30" s="9">
        <f t="shared" si="4"/>
        <v>0</v>
      </c>
      <c r="J30" s="9">
        <f t="shared" si="5"/>
        <v>3.2759684008564216E-3</v>
      </c>
      <c r="L30" s="18"/>
    </row>
    <row r="31" spans="1:17" ht="16" x14ac:dyDescent="0.35">
      <c r="A31" s="1" t="s">
        <v>26</v>
      </c>
      <c r="B31" s="4">
        <v>135000</v>
      </c>
      <c r="C31" s="4">
        <v>135000</v>
      </c>
      <c r="D31" s="4">
        <v>135000</v>
      </c>
      <c r="E31" s="4">
        <v>135000</v>
      </c>
      <c r="F31" s="9">
        <f t="shared" si="1"/>
        <v>2.3186841507978257E-4</v>
      </c>
      <c r="G31" s="9"/>
      <c r="H31" s="9"/>
      <c r="I31" s="9"/>
      <c r="J31" s="9"/>
      <c r="L31" s="1" t="s">
        <v>69</v>
      </c>
      <c r="M31" s="4">
        <f>+B14-B24</f>
        <v>60491025</v>
      </c>
      <c r="N31" s="4">
        <f>+C14-C24</f>
        <v>49512098</v>
      </c>
      <c r="O31" s="4">
        <f>+D14-D24</f>
        <v>54553654</v>
      </c>
      <c r="P31" s="4">
        <f>+E14-E24</f>
        <v>88566851</v>
      </c>
    </row>
    <row r="32" spans="1:17" ht="16" x14ac:dyDescent="0.35">
      <c r="A32" s="1" t="s">
        <v>27</v>
      </c>
      <c r="B32" s="4">
        <v>56223567</v>
      </c>
      <c r="C32" s="4">
        <v>88910664</v>
      </c>
      <c r="D32" s="4">
        <v>107319691</v>
      </c>
      <c r="E32" s="4">
        <v>116920589</v>
      </c>
      <c r="F32" s="9">
        <f t="shared" si="1"/>
        <v>0.20081623453055303</v>
      </c>
      <c r="G32" s="9">
        <f t="shared" si="13"/>
        <v>0.58137714741578028</v>
      </c>
      <c r="H32" s="9">
        <f t="shared" si="3"/>
        <v>0.20705083250756062</v>
      </c>
      <c r="I32" s="9">
        <f t="shared" si="4"/>
        <v>8.9460730929611154E-2</v>
      </c>
      <c r="J32" s="9">
        <f t="shared" si="5"/>
        <v>0.29262957028431735</v>
      </c>
      <c r="L32" s="1" t="s">
        <v>70</v>
      </c>
      <c r="N32" s="4">
        <f>+AVERAGE(M31:N31)</f>
        <v>55001561.5</v>
      </c>
      <c r="O32" s="4">
        <f t="shared" ref="O32:P32" si="21">+AVERAGE(N31:O31)</f>
        <v>52032876</v>
      </c>
      <c r="P32" s="4">
        <f t="shared" si="21"/>
        <v>71560252.5</v>
      </c>
    </row>
    <row r="33" spans="1:16" ht="16" x14ac:dyDescent="0.35">
      <c r="A33" s="2" t="s">
        <v>28</v>
      </c>
      <c r="B33" s="5">
        <f>SUM(B29:B32)</f>
        <v>82618426</v>
      </c>
      <c r="C33" s="5">
        <f t="shared" ref="C33:E33" si="22">SUM(C29:C32)</f>
        <v>116950808</v>
      </c>
      <c r="D33" s="5">
        <f t="shared" si="22"/>
        <v>133881991</v>
      </c>
      <c r="E33" s="5">
        <f t="shared" si="22"/>
        <v>143482889</v>
      </c>
      <c r="F33" s="10">
        <f t="shared" si="1"/>
        <v>0.24643814861850644</v>
      </c>
      <c r="G33" s="10">
        <f t="shared" si="13"/>
        <v>0.41555357154831296</v>
      </c>
      <c r="H33" s="10">
        <f t="shared" si="3"/>
        <v>0.14477183432542007</v>
      </c>
      <c r="I33" s="10">
        <f t="shared" si="4"/>
        <v>7.171164641553629E-2</v>
      </c>
      <c r="J33" s="10">
        <f t="shared" si="5"/>
        <v>0.21067901742975645</v>
      </c>
      <c r="L33" s="19" t="s">
        <v>71</v>
      </c>
      <c r="N33" s="21">
        <f>C38/N32</f>
        <v>18.832908062073837</v>
      </c>
      <c r="O33" s="21">
        <f>D38/O32</f>
        <v>19.412696426774488</v>
      </c>
      <c r="P33" s="21">
        <f>E38/P32</f>
        <v>15.053420737999772</v>
      </c>
    </row>
    <row r="34" spans="1:16" ht="16" x14ac:dyDescent="0.35">
      <c r="A34" s="2" t="s">
        <v>29</v>
      </c>
      <c r="B34" s="5">
        <f>+B28+B33</f>
        <v>326349384</v>
      </c>
      <c r="C34" s="5">
        <f t="shared" ref="C34:E34" si="23">+C28+C33</f>
        <v>590010028</v>
      </c>
      <c r="D34" s="5">
        <f t="shared" si="23"/>
        <v>535745591</v>
      </c>
      <c r="E34" s="5">
        <f t="shared" si="23"/>
        <v>582226777</v>
      </c>
      <c r="F34" s="10">
        <f t="shared" si="1"/>
        <v>1</v>
      </c>
      <c r="G34" s="10">
        <f t="shared" si="13"/>
        <v>0.80790912110316726</v>
      </c>
      <c r="H34" s="10">
        <f t="shared" si="3"/>
        <v>-9.1972058820668057E-2</v>
      </c>
      <c r="I34" s="10">
        <f t="shared" si="4"/>
        <v>8.6759810590769648E-2</v>
      </c>
      <c r="J34" s="10">
        <f t="shared" si="5"/>
        <v>0.2675656242910896</v>
      </c>
    </row>
    <row r="35" spans="1:16" ht="16" x14ac:dyDescent="0.35">
      <c r="A35" s="2"/>
      <c r="B35" s="11"/>
      <c r="C35" s="11"/>
      <c r="D35" s="11"/>
      <c r="E35" s="11"/>
      <c r="F35" s="12"/>
      <c r="G35" s="12"/>
      <c r="H35" s="12"/>
      <c r="I35" s="12"/>
    </row>
    <row r="36" spans="1:16" ht="16" x14ac:dyDescent="0.35">
      <c r="A36" s="1"/>
      <c r="G36" s="6" t="s">
        <v>47</v>
      </c>
      <c r="H36" s="7"/>
      <c r="I36" s="7"/>
    </row>
    <row r="37" spans="1:16" ht="16" x14ac:dyDescent="0.35">
      <c r="A37" s="1"/>
      <c r="B37" s="3">
        <v>2021</v>
      </c>
      <c r="C37" s="3">
        <v>2022</v>
      </c>
      <c r="D37" s="3">
        <v>2023</v>
      </c>
      <c r="E37" s="3">
        <v>2024</v>
      </c>
      <c r="F37" s="8" t="s">
        <v>48</v>
      </c>
      <c r="G37" s="3">
        <v>2022</v>
      </c>
      <c r="H37" s="3">
        <v>2023</v>
      </c>
      <c r="I37" s="3">
        <v>2024</v>
      </c>
      <c r="J37" s="8" t="s">
        <v>50</v>
      </c>
    </row>
    <row r="38" spans="1:16" ht="16" x14ac:dyDescent="0.35">
      <c r="A38" s="1" t="s">
        <v>30</v>
      </c>
      <c r="B38" s="4">
        <v>831813560</v>
      </c>
      <c r="C38" s="4">
        <v>1035839351</v>
      </c>
      <c r="D38" s="4">
        <v>1010098426</v>
      </c>
      <c r="E38" s="4">
        <v>1077226589</v>
      </c>
      <c r="F38" s="9">
        <f>+E38/$E$38</f>
        <v>1</v>
      </c>
      <c r="G38" s="9">
        <f t="shared" ref="G38" si="24">+C38/B38-1</f>
        <v>0.24527827004887981</v>
      </c>
      <c r="H38" s="9">
        <f t="shared" ref="H38" si="25">+D38/C38-1</f>
        <v>-2.485030615524475E-2</v>
      </c>
      <c r="I38" s="9">
        <f t="shared" ref="I38" si="26">+E38/D38-1</f>
        <v>6.6457051384416266E-2</v>
      </c>
      <c r="J38" s="9">
        <f>+AVERAGE(G38:I38)</f>
        <v>9.5628338426017104E-2</v>
      </c>
    </row>
    <row r="39" spans="1:16" ht="16" x14ac:dyDescent="0.35">
      <c r="A39" s="1" t="s">
        <v>31</v>
      </c>
      <c r="B39" s="4">
        <v>600346075</v>
      </c>
      <c r="C39" s="4">
        <v>737026859</v>
      </c>
      <c r="D39" s="4">
        <v>742597584</v>
      </c>
      <c r="E39" s="4">
        <v>781163451</v>
      </c>
      <c r="F39" s="9">
        <f t="shared" ref="F39:F51" si="27">+E39/$E$38</f>
        <v>0.72516168740799625</v>
      </c>
      <c r="G39" s="9">
        <f t="shared" ref="G39:G51" si="28">+C39/B39-1</f>
        <v>0.22766998851454145</v>
      </c>
      <c r="H39" s="9">
        <f t="shared" ref="H39:H51" si="29">+D39/C39-1</f>
        <v>7.5583744770961747E-3</v>
      </c>
      <c r="I39" s="9">
        <f t="shared" ref="I39:I51" si="30">+E39/D39-1</f>
        <v>5.1933736159313959E-2</v>
      </c>
      <c r="J39" s="9">
        <f t="shared" ref="J39:J51" si="31">+AVERAGE(G39:I39)</f>
        <v>9.5720699716983867E-2</v>
      </c>
    </row>
    <row r="40" spans="1:16" ht="16" x14ac:dyDescent="0.35">
      <c r="A40" s="2" t="s">
        <v>32</v>
      </c>
      <c r="B40" s="5">
        <f>+B38-B39</f>
        <v>231467485</v>
      </c>
      <c r="C40" s="5">
        <f t="shared" ref="C40:E40" si="32">+C38-C39</f>
        <v>298812492</v>
      </c>
      <c r="D40" s="5">
        <f t="shared" si="32"/>
        <v>267500842</v>
      </c>
      <c r="E40" s="5">
        <f t="shared" si="32"/>
        <v>296063138</v>
      </c>
      <c r="F40" s="10">
        <f t="shared" si="27"/>
        <v>0.27483831259200381</v>
      </c>
      <c r="G40" s="10">
        <f t="shared" si="28"/>
        <v>0.29094802235398198</v>
      </c>
      <c r="H40" s="10">
        <f t="shared" si="29"/>
        <v>-0.1047869511425914</v>
      </c>
      <c r="I40" s="10">
        <f t="shared" si="30"/>
        <v>0.10677460222723334</v>
      </c>
      <c r="J40" s="10">
        <f t="shared" si="31"/>
        <v>9.7645224479541312E-2</v>
      </c>
    </row>
    <row r="41" spans="1:16" ht="16" x14ac:dyDescent="0.35">
      <c r="A41" s="1" t="s">
        <v>33</v>
      </c>
      <c r="B41" s="4">
        <v>2011417</v>
      </c>
      <c r="C41" s="4">
        <v>10467557</v>
      </c>
      <c r="D41" s="4">
        <v>27325583</v>
      </c>
      <c r="E41" s="4">
        <v>1578338</v>
      </c>
      <c r="F41" s="9">
        <f t="shared" si="27"/>
        <v>1.4651866340072302E-3</v>
      </c>
      <c r="G41" s="9">
        <f t="shared" si="28"/>
        <v>4.2040710603519811</v>
      </c>
      <c r="H41" s="9">
        <f t="shared" si="29"/>
        <v>1.6105024314651453</v>
      </c>
      <c r="I41" s="9">
        <f t="shared" si="30"/>
        <v>-0.94223954892380524</v>
      </c>
      <c r="J41" s="9">
        <f t="shared" si="31"/>
        <v>1.6241113142977739</v>
      </c>
    </row>
    <row r="42" spans="1:16" ht="16" x14ac:dyDescent="0.35">
      <c r="A42" s="1" t="s">
        <v>34</v>
      </c>
      <c r="B42" s="4">
        <v>167755017</v>
      </c>
      <c r="C42" s="4">
        <v>221687810</v>
      </c>
      <c r="D42" s="4">
        <v>213576672</v>
      </c>
      <c r="E42" s="4">
        <v>226716661</v>
      </c>
      <c r="F42" s="9">
        <f t="shared" si="27"/>
        <v>0.21046329835811359</v>
      </c>
      <c r="G42" s="9">
        <f t="shared" si="28"/>
        <v>0.32149734752791326</v>
      </c>
      <c r="H42" s="9">
        <f t="shared" si="29"/>
        <v>-3.6588110099513349E-2</v>
      </c>
      <c r="I42" s="9">
        <f t="shared" si="30"/>
        <v>6.1523521632549816E-2</v>
      </c>
      <c r="J42" s="9">
        <f t="shared" si="31"/>
        <v>0.11547758635364991</v>
      </c>
    </row>
    <row r="43" spans="1:16" ht="16" x14ac:dyDescent="0.35">
      <c r="A43" s="1" t="s">
        <v>35</v>
      </c>
      <c r="B43" s="4">
        <v>8313176</v>
      </c>
      <c r="C43" s="4">
        <v>10750291</v>
      </c>
      <c r="D43" s="4">
        <v>11103193</v>
      </c>
      <c r="E43" s="4">
        <v>11846923</v>
      </c>
      <c r="F43" s="9">
        <f t="shared" si="27"/>
        <v>1.0997614727461949E-2</v>
      </c>
      <c r="G43" s="9">
        <f t="shared" si="28"/>
        <v>0.29316292593829352</v>
      </c>
      <c r="H43" s="9">
        <f t="shared" si="29"/>
        <v>3.282720439846698E-2</v>
      </c>
      <c r="I43" s="9">
        <f t="shared" si="30"/>
        <v>6.6983434404859876E-2</v>
      </c>
      <c r="J43" s="9">
        <f t="shared" si="31"/>
        <v>0.13099118824720679</v>
      </c>
    </row>
    <row r="44" spans="1:16" ht="16" x14ac:dyDescent="0.35">
      <c r="A44" s="1" t="s">
        <v>36</v>
      </c>
      <c r="B44" s="4">
        <v>11110200</v>
      </c>
      <c r="C44" s="4">
        <v>9618056</v>
      </c>
      <c r="D44" s="4">
        <v>15934348</v>
      </c>
      <c r="E44" s="4">
        <v>24071881</v>
      </c>
      <c r="F44" s="9">
        <f t="shared" si="27"/>
        <v>2.2346163050381222E-2</v>
      </c>
      <c r="G44" s="9">
        <f t="shared" si="28"/>
        <v>-0.13430397292577989</v>
      </c>
      <c r="H44" s="9">
        <f t="shared" si="29"/>
        <v>0.65671191766818571</v>
      </c>
      <c r="I44" s="9">
        <f t="shared" si="30"/>
        <v>0.51069130660382211</v>
      </c>
      <c r="J44" s="9">
        <f t="shared" si="31"/>
        <v>0.34436641711540927</v>
      </c>
    </row>
    <row r="45" spans="1:16" ht="16" x14ac:dyDescent="0.35">
      <c r="A45" s="1" t="s">
        <v>37</v>
      </c>
      <c r="B45" s="4"/>
      <c r="C45" s="4"/>
      <c r="D45" s="4"/>
      <c r="E45" s="4"/>
      <c r="F45" s="9">
        <f t="shared" si="27"/>
        <v>0</v>
      </c>
      <c r="G45" s="9"/>
      <c r="H45" s="9"/>
      <c r="I45" s="9"/>
      <c r="J45" s="9"/>
    </row>
    <row r="46" spans="1:16" ht="16" x14ac:dyDescent="0.35">
      <c r="A46" s="2" t="s">
        <v>38</v>
      </c>
      <c r="B46" s="5">
        <f>+B40+B41-B42-B43-B44+B45</f>
        <v>46300509</v>
      </c>
      <c r="C46" s="5">
        <f t="shared" ref="C46:E46" si="33">+C40+C41-C42-C43-C44+C45</f>
        <v>67223892</v>
      </c>
      <c r="D46" s="5">
        <f t="shared" si="33"/>
        <v>54212212</v>
      </c>
      <c r="E46" s="5">
        <f t="shared" si="33"/>
        <v>35006011</v>
      </c>
      <c r="F46" s="10">
        <f t="shared" si="27"/>
        <v>3.2496423090054266E-2</v>
      </c>
      <c r="G46" s="10">
        <f t="shared" si="28"/>
        <v>0.45190395207102374</v>
      </c>
      <c r="H46" s="10">
        <f t="shared" si="29"/>
        <v>-0.19355737391699968</v>
      </c>
      <c r="I46" s="10">
        <f t="shared" si="30"/>
        <v>-0.35427812833019989</v>
      </c>
      <c r="J46" s="10">
        <f t="shared" si="31"/>
        <v>-3.1977183392058607E-2</v>
      </c>
    </row>
    <row r="47" spans="1:16" ht="16" x14ac:dyDescent="0.35">
      <c r="A47" s="1" t="s">
        <v>39</v>
      </c>
      <c r="B47" s="4">
        <v>0</v>
      </c>
      <c r="C47" s="4">
        <v>0</v>
      </c>
      <c r="D47" s="4">
        <v>0</v>
      </c>
      <c r="E47" s="4">
        <v>0</v>
      </c>
      <c r="F47" s="9">
        <f t="shared" si="27"/>
        <v>0</v>
      </c>
      <c r="G47" s="9"/>
      <c r="H47" s="9"/>
      <c r="I47" s="9"/>
      <c r="J47" s="9"/>
    </row>
    <row r="48" spans="1:16" ht="16" x14ac:dyDescent="0.35">
      <c r="A48" s="1" t="s">
        <v>40</v>
      </c>
      <c r="B48" s="4">
        <v>4358181</v>
      </c>
      <c r="C48" s="4">
        <v>16936050</v>
      </c>
      <c r="D48" s="4">
        <v>25890632</v>
      </c>
      <c r="E48" s="4">
        <v>20235398</v>
      </c>
      <c r="F48" s="9">
        <f t="shared" si="27"/>
        <v>1.878471828177275E-2</v>
      </c>
      <c r="G48" s="9">
        <f t="shared" si="28"/>
        <v>2.8860363991307381</v>
      </c>
      <c r="H48" s="9">
        <f t="shared" si="29"/>
        <v>0.52872907200911667</v>
      </c>
      <c r="I48" s="9">
        <f t="shared" si="30"/>
        <v>-0.21842780817401442</v>
      </c>
      <c r="J48" s="9">
        <f t="shared" si="31"/>
        <v>1.0654458876552801</v>
      </c>
    </row>
    <row r="49" spans="1:10" ht="16" x14ac:dyDescent="0.35">
      <c r="A49" s="2" t="s">
        <v>41</v>
      </c>
      <c r="B49" s="5">
        <f>+B46+B47-B48</f>
        <v>41942328</v>
      </c>
      <c r="C49" s="5">
        <f t="shared" ref="C49:E49" si="34">+C46+C47-C48</f>
        <v>50287842</v>
      </c>
      <c r="D49" s="5">
        <f t="shared" si="34"/>
        <v>28321580</v>
      </c>
      <c r="E49" s="5">
        <f t="shared" si="34"/>
        <v>14770613</v>
      </c>
      <c r="F49" s="10">
        <f t="shared" si="27"/>
        <v>1.371170480828152E-2</v>
      </c>
      <c r="G49" s="10">
        <f t="shared" si="28"/>
        <v>0.19897593667189861</v>
      </c>
      <c r="H49" s="10">
        <f t="shared" si="29"/>
        <v>-0.43681059131549138</v>
      </c>
      <c r="I49" s="10">
        <f t="shared" si="30"/>
        <v>-0.47846790327375799</v>
      </c>
      <c r="J49" s="10">
        <f t="shared" si="31"/>
        <v>-0.23876751930578358</v>
      </c>
    </row>
    <row r="50" spans="1:10" ht="16" x14ac:dyDescent="0.35">
      <c r="A50" s="1" t="s">
        <v>42</v>
      </c>
      <c r="B50" s="4">
        <v>13421545</v>
      </c>
      <c r="C50" s="4">
        <v>17600745</v>
      </c>
      <c r="D50" s="4">
        <v>9912553</v>
      </c>
      <c r="E50" s="4">
        <v>5169715</v>
      </c>
      <c r="F50" s="15">
        <f t="shared" si="27"/>
        <v>4.799097100637942E-3</v>
      </c>
      <c r="G50" s="9">
        <f t="shared" si="28"/>
        <v>0.31137994917872724</v>
      </c>
      <c r="H50" s="9">
        <f t="shared" si="29"/>
        <v>-0.43681060091490442</v>
      </c>
      <c r="I50" s="9">
        <f t="shared" si="30"/>
        <v>-0.47846785787677504</v>
      </c>
      <c r="J50" s="9">
        <f t="shared" si="31"/>
        <v>-0.20129950320431741</v>
      </c>
    </row>
    <row r="51" spans="1:10" ht="16" x14ac:dyDescent="0.35">
      <c r="A51" s="2" t="s">
        <v>43</v>
      </c>
      <c r="B51" s="5">
        <f>+B49-B50</f>
        <v>28520783</v>
      </c>
      <c r="C51" s="5">
        <f t="shared" ref="C51:E51" si="35">+C49-C50</f>
        <v>32687097</v>
      </c>
      <c r="D51" s="5">
        <f t="shared" si="35"/>
        <v>18409027</v>
      </c>
      <c r="E51" s="5">
        <f t="shared" si="35"/>
        <v>9600898</v>
      </c>
      <c r="F51" s="10">
        <f t="shared" si="27"/>
        <v>8.9126077076435769E-3</v>
      </c>
      <c r="G51" s="10">
        <f t="shared" si="28"/>
        <v>0.1460799305545013</v>
      </c>
      <c r="H51" s="10">
        <f t="shared" si="29"/>
        <v>-0.43681058614657642</v>
      </c>
      <c r="I51" s="10">
        <f t="shared" si="30"/>
        <v>-0.47846792771828739</v>
      </c>
      <c r="J51" s="10">
        <f t="shared" si="31"/>
        <v>-0.25639952777012082</v>
      </c>
    </row>
    <row r="52" spans="1:10" ht="16" x14ac:dyDescent="0.35">
      <c r="A52" s="1"/>
      <c r="B52" s="16">
        <f>+B50/B49</f>
        <v>0.32000000095369052</v>
      </c>
      <c r="C52" s="16">
        <f t="shared" ref="C52:E52" si="36">+C50/C49</f>
        <v>0.35000000596565667</v>
      </c>
      <c r="D52" s="16">
        <f t="shared" si="36"/>
        <v>0.35</v>
      </c>
      <c r="E52" s="16">
        <f t="shared" si="36"/>
        <v>0.35000003046589873</v>
      </c>
      <c r="F52" s="17"/>
    </row>
    <row r="53" spans="1:10" ht="16" x14ac:dyDescent="0.35">
      <c r="A53" s="1"/>
    </row>
    <row r="54" spans="1:10" ht="16" x14ac:dyDescent="0.35">
      <c r="A54" s="1" t="s">
        <v>4</v>
      </c>
      <c r="B54" s="4">
        <v>662582</v>
      </c>
      <c r="C54" s="4">
        <v>663021</v>
      </c>
      <c r="D54" s="4">
        <v>1156220</v>
      </c>
      <c r="E54" s="4">
        <v>965723</v>
      </c>
      <c r="F54" s="9">
        <f t="shared" ref="F54" si="37">+E54/$E$38</f>
        <v>8.9649012553291144E-4</v>
      </c>
      <c r="J54" s="8" t="s">
        <v>50</v>
      </c>
    </row>
    <row r="55" spans="1:10" ht="16" x14ac:dyDescent="0.35">
      <c r="A55" s="14" t="s">
        <v>49</v>
      </c>
      <c r="B55" s="5">
        <f>+B46+B54</f>
        <v>46963091</v>
      </c>
      <c r="C55" s="5">
        <f t="shared" ref="C55:E55" si="38">+C46+C54</f>
        <v>67886913</v>
      </c>
      <c r="D55" s="5">
        <f t="shared" si="38"/>
        <v>55368432</v>
      </c>
      <c r="E55" s="5">
        <f t="shared" si="38"/>
        <v>35971734</v>
      </c>
      <c r="F55" s="10">
        <f t="shared" ref="F55" si="39">+E55/$E$38</f>
        <v>3.3392913215587183E-2</v>
      </c>
      <c r="G55" s="10">
        <f t="shared" ref="G55" si="40">+C55/B55-1</f>
        <v>0.44553758184272829</v>
      </c>
      <c r="H55" s="10">
        <f t="shared" ref="H55" si="41">+D55/C55-1</f>
        <v>-0.18440197744740583</v>
      </c>
      <c r="I55" s="10">
        <f t="shared" ref="I55" si="42">+E55/D55-1</f>
        <v>-0.35032052198985875</v>
      </c>
      <c r="J55" s="10">
        <f>+AVERAGE(G55:I55)</f>
        <v>-2.9728305864845428E-2</v>
      </c>
    </row>
    <row r="57" spans="1:10" ht="16" x14ac:dyDescent="0.35">
      <c r="A57" s="1" t="s">
        <v>74</v>
      </c>
      <c r="C57" s="4">
        <f>+B32+C51-C32-IF(C31&gt;B31,C31-B31,0)</f>
        <v>0</v>
      </c>
      <c r="D57" s="4">
        <f t="shared" ref="D57:E57" si="43">+C32+D51-D32-IF(D31&gt;C31,D31-C31,0)</f>
        <v>0</v>
      </c>
      <c r="E57" s="4">
        <f t="shared" si="43"/>
        <v>0</v>
      </c>
      <c r="F57" s="1" t="s">
        <v>75</v>
      </c>
    </row>
    <row r="59" spans="1:10" ht="16" x14ac:dyDescent="0.35">
      <c r="A59" s="1"/>
      <c r="B59" s="3">
        <v>2021</v>
      </c>
      <c r="C59" s="3">
        <v>2022</v>
      </c>
      <c r="D59" s="3">
        <v>2023</v>
      </c>
      <c r="E59" s="3">
        <v>2024</v>
      </c>
    </row>
    <row r="60" spans="1:10" ht="16" x14ac:dyDescent="0.35">
      <c r="A60" s="1" t="s">
        <v>76</v>
      </c>
      <c r="B60" s="15">
        <f>+B40/B38</f>
        <v>0.27826846799660249</v>
      </c>
      <c r="C60" s="15">
        <f t="shared" ref="C60:E60" si="44">+C40/C38</f>
        <v>0.28847377898081034</v>
      </c>
      <c r="D60" s="15">
        <f t="shared" si="44"/>
        <v>0.26482651107507021</v>
      </c>
      <c r="E60" s="15">
        <f t="shared" si="44"/>
        <v>0.27483831259200381</v>
      </c>
    </row>
    <row r="61" spans="1:10" ht="16" x14ac:dyDescent="0.35">
      <c r="A61" s="1" t="s">
        <v>77</v>
      </c>
      <c r="B61" s="15">
        <f>+B46/B38</f>
        <v>5.5662123372934677E-2</v>
      </c>
      <c r="C61" s="15">
        <f t="shared" ref="C61:E61" si="45">+C46/C38</f>
        <v>6.4897990151756652E-2</v>
      </c>
      <c r="D61" s="15">
        <f t="shared" si="45"/>
        <v>5.3670227182395391E-2</v>
      </c>
      <c r="E61" s="15">
        <f t="shared" si="45"/>
        <v>3.2496423090054266E-2</v>
      </c>
    </row>
    <row r="62" spans="1:10" ht="16" x14ac:dyDescent="0.35">
      <c r="A62" s="1" t="s">
        <v>78</v>
      </c>
      <c r="B62" s="15">
        <f>+B55/B38</f>
        <v>5.6458674465465555E-2</v>
      </c>
      <c r="C62" s="15">
        <f t="shared" ref="C62:E62" si="46">+C55/C38</f>
        <v>6.5538071067161072E-2</v>
      </c>
      <c r="D62" s="15">
        <f t="shared" si="46"/>
        <v>5.4814887910735147E-2</v>
      </c>
      <c r="E62" s="15">
        <f t="shared" si="46"/>
        <v>3.3392913215587183E-2</v>
      </c>
    </row>
    <row r="63" spans="1:10" ht="16" x14ac:dyDescent="0.35">
      <c r="A63" s="1" t="s">
        <v>79</v>
      </c>
      <c r="B63" s="15">
        <f>+B51/B38</f>
        <v>3.4287470620219272E-2</v>
      </c>
      <c r="C63" s="15">
        <f t="shared" ref="C63:E63" si="47">+C51/C38</f>
        <v>3.1556145234725691E-2</v>
      </c>
      <c r="D63" s="15">
        <f t="shared" si="47"/>
        <v>1.8224983354245917E-2</v>
      </c>
      <c r="E63" s="15">
        <f t="shared" si="47"/>
        <v>8.9126077076435769E-3</v>
      </c>
    </row>
    <row r="64" spans="1:10" ht="16" x14ac:dyDescent="0.4">
      <c r="A64" s="1"/>
      <c r="B64" s="18"/>
      <c r="C64" s="18"/>
      <c r="D64" s="18"/>
      <c r="E64" s="18"/>
      <c r="F64" s="6" t="s">
        <v>47</v>
      </c>
      <c r="G64" s="7"/>
      <c r="H64" s="7"/>
    </row>
    <row r="65" spans="1:8" ht="16" x14ac:dyDescent="0.4">
      <c r="A65" s="18"/>
      <c r="B65" s="3">
        <v>2021</v>
      </c>
      <c r="C65" s="3">
        <v>2022</v>
      </c>
      <c r="D65" s="3">
        <v>2023</v>
      </c>
      <c r="E65" s="3">
        <v>2024</v>
      </c>
      <c r="F65" s="3">
        <v>2022</v>
      </c>
      <c r="G65" s="3">
        <v>2023</v>
      </c>
      <c r="H65" s="3">
        <v>2024</v>
      </c>
    </row>
    <row r="66" spans="1:8" ht="16" x14ac:dyDescent="0.35">
      <c r="A66" s="1" t="s">
        <v>80</v>
      </c>
      <c r="B66" s="4">
        <f>+B23</f>
        <v>83346383</v>
      </c>
      <c r="C66" s="4">
        <f t="shared" ref="C66:E66" si="48">+C23</f>
        <v>234094585</v>
      </c>
      <c r="D66" s="4">
        <f t="shared" si="48"/>
        <v>190811645</v>
      </c>
      <c r="E66" s="4">
        <f t="shared" si="48"/>
        <v>164714877</v>
      </c>
    </row>
    <row r="67" spans="1:8" ht="16" x14ac:dyDescent="0.35">
      <c r="A67" s="1" t="s">
        <v>81</v>
      </c>
      <c r="B67" s="4">
        <v>0</v>
      </c>
      <c r="C67" s="4">
        <v>0</v>
      </c>
      <c r="D67" s="4">
        <v>0</v>
      </c>
      <c r="E67" s="4">
        <v>0</v>
      </c>
    </row>
    <row r="68" spans="1:8" ht="16" x14ac:dyDescent="0.35">
      <c r="A68" s="14" t="s">
        <v>82</v>
      </c>
      <c r="B68" s="5">
        <f>SUM(B66:B67)</f>
        <v>83346383</v>
      </c>
      <c r="C68" s="5">
        <f>SUM(C66:C67)</f>
        <v>234094585</v>
      </c>
      <c r="D68" s="5">
        <f>SUM(D66:D67)</f>
        <v>190811645</v>
      </c>
      <c r="E68" s="5">
        <f>SUM(E66:E67)</f>
        <v>164714877</v>
      </c>
      <c r="F68" s="10">
        <f>+C68/B68-1</f>
        <v>1.8086951895680943</v>
      </c>
      <c r="G68" s="10">
        <f t="shared" ref="G68:H69" si="49">+D68/C68-1</f>
        <v>-0.18489509272501969</v>
      </c>
      <c r="H68" s="10">
        <f t="shared" si="49"/>
        <v>-0.13676716638546882</v>
      </c>
    </row>
    <row r="69" spans="1:8" ht="16" x14ac:dyDescent="0.35">
      <c r="A69" s="13" t="s">
        <v>83</v>
      </c>
      <c r="B69" s="4">
        <f>+B48</f>
        <v>4358181</v>
      </c>
      <c r="C69" s="4">
        <f t="shared" ref="C69:E69" si="50">+C48</f>
        <v>16936050</v>
      </c>
      <c r="D69" s="4">
        <f t="shared" si="50"/>
        <v>25890632</v>
      </c>
      <c r="E69" s="4">
        <f t="shared" si="50"/>
        <v>20235398</v>
      </c>
      <c r="F69" s="9">
        <f>+C69/B69-1</f>
        <v>2.8860363991307381</v>
      </c>
      <c r="G69" s="9">
        <f t="shared" si="49"/>
        <v>0.52872907200911667</v>
      </c>
      <c r="H69" s="9">
        <f t="shared" si="49"/>
        <v>-0.21842780817401442</v>
      </c>
    </row>
    <row r="70" spans="1:8" ht="16" x14ac:dyDescent="0.4">
      <c r="A70" s="18"/>
      <c r="B70" s="18"/>
      <c r="C70" s="18"/>
      <c r="D70" s="18"/>
      <c r="E70" s="18"/>
    </row>
    <row r="71" spans="1:8" ht="16" x14ac:dyDescent="0.35">
      <c r="A71" s="13" t="s">
        <v>84</v>
      </c>
      <c r="B71" s="4">
        <f>+B15+B16</f>
        <v>27530174</v>
      </c>
      <c r="C71" s="4">
        <f t="shared" ref="C71:E71" si="51">+C15+C16</f>
        <v>35777572</v>
      </c>
      <c r="D71" s="4">
        <f t="shared" si="51"/>
        <v>64636152</v>
      </c>
      <c r="E71" s="4">
        <f t="shared" si="51"/>
        <v>80550271</v>
      </c>
    </row>
    <row r="73" spans="1:8" ht="16" x14ac:dyDescent="0.35">
      <c r="B73" s="3">
        <v>2021</v>
      </c>
      <c r="C73" s="3">
        <v>2022</v>
      </c>
      <c r="D73" s="3">
        <v>2023</v>
      </c>
      <c r="E73" s="3">
        <v>2024</v>
      </c>
    </row>
    <row r="74" spans="1:8" ht="16" x14ac:dyDescent="0.35">
      <c r="A74" s="13" t="s">
        <v>85</v>
      </c>
      <c r="B74" s="15">
        <f>+B9/B38</f>
        <v>0.20359974776078427</v>
      </c>
      <c r="C74" s="15">
        <f t="shared" ref="C74:E74" si="52">+C9/C38</f>
        <v>0.27873686177423473</v>
      </c>
      <c r="D74" s="15">
        <f t="shared" si="52"/>
        <v>0.21686750653346726</v>
      </c>
      <c r="E74" s="15">
        <f t="shared" si="52"/>
        <v>0.20494166153561216</v>
      </c>
    </row>
    <row r="75" spans="1:8" ht="16" x14ac:dyDescent="0.35">
      <c r="A75" s="13" t="s">
        <v>86</v>
      </c>
      <c r="B75" s="15">
        <f>+B8/B38</f>
        <v>0.10777196635265239</v>
      </c>
      <c r="C75" s="15">
        <f t="shared" ref="C75:E75" si="53">+C8/C38</f>
        <v>0.12719393299048357</v>
      </c>
      <c r="D75" s="15">
        <f t="shared" si="53"/>
        <v>0.12104112713467391</v>
      </c>
      <c r="E75" s="15">
        <f t="shared" si="53"/>
        <v>0.13972417738010365</v>
      </c>
    </row>
    <row r="76" spans="1:8" ht="16" x14ac:dyDescent="0.35">
      <c r="A76" s="13" t="s">
        <v>87</v>
      </c>
      <c r="B76" s="15">
        <f>+B21/B38</f>
        <v>0.15342325869272919</v>
      </c>
      <c r="C76" s="15">
        <f t="shared" ref="C76:E76" si="54">+C21/C38</f>
        <v>0.16767180435105908</v>
      </c>
      <c r="D76" s="15">
        <f t="shared" si="54"/>
        <v>0.12934333490387995</v>
      </c>
      <c r="E76" s="15">
        <f t="shared" si="54"/>
        <v>0.14341639129369838</v>
      </c>
    </row>
    <row r="77" spans="1:8" ht="16" x14ac:dyDescent="0.35">
      <c r="A77" s="13"/>
    </row>
    <row r="78" spans="1:8" ht="16" x14ac:dyDescent="0.35">
      <c r="A78" s="23" t="s">
        <v>88</v>
      </c>
      <c r="B78" s="3">
        <v>2021</v>
      </c>
      <c r="C78" s="3">
        <v>2022</v>
      </c>
      <c r="D78" s="3">
        <v>2023</v>
      </c>
      <c r="E78" s="3">
        <v>2024</v>
      </c>
    </row>
    <row r="79" spans="1:8" ht="16" x14ac:dyDescent="0.35">
      <c r="A79" s="13" t="s">
        <v>89</v>
      </c>
      <c r="B79" s="4">
        <v>44010942</v>
      </c>
      <c r="C79" s="4">
        <v>30890895</v>
      </c>
      <c r="D79" s="4">
        <v>37817219</v>
      </c>
      <c r="E79" s="4">
        <v>73609396</v>
      </c>
    </row>
    <row r="80" spans="1:8" ht="16" x14ac:dyDescent="0.35">
      <c r="A80" s="13" t="s">
        <v>91</v>
      </c>
      <c r="B80" s="22">
        <v>1968</v>
      </c>
      <c r="C80" s="22">
        <v>15948</v>
      </c>
      <c r="D80" s="22">
        <v>3418</v>
      </c>
      <c r="E80" s="22">
        <v>3984</v>
      </c>
    </row>
    <row r="81" spans="1:5" ht="16" x14ac:dyDescent="0.35">
      <c r="A81" s="13" t="s">
        <v>90</v>
      </c>
      <c r="B81" s="4">
        <v>343541</v>
      </c>
      <c r="C81" s="4">
        <v>3351372</v>
      </c>
      <c r="D81" s="4">
        <v>12690920</v>
      </c>
      <c r="E81" s="4">
        <v>6810512</v>
      </c>
    </row>
    <row r="82" spans="1:5" ht="16" x14ac:dyDescent="0.35">
      <c r="A82" s="13" t="s">
        <v>92</v>
      </c>
      <c r="B82" s="22">
        <v>147</v>
      </c>
      <c r="C82" s="22">
        <v>3161</v>
      </c>
      <c r="D82" s="22">
        <v>1147</v>
      </c>
      <c r="E82" s="22">
        <v>369</v>
      </c>
    </row>
    <row r="83" spans="1:5" ht="16" x14ac:dyDescent="0.35">
      <c r="A83" s="13" t="s">
        <v>93</v>
      </c>
      <c r="B83" s="4">
        <v>153693</v>
      </c>
      <c r="C83" s="4">
        <v>917927</v>
      </c>
      <c r="D83" s="4">
        <v>840149</v>
      </c>
      <c r="E83" s="4">
        <v>3158615</v>
      </c>
    </row>
    <row r="84" spans="1:5" ht="16" x14ac:dyDescent="0.35">
      <c r="A84" s="13" t="s">
        <v>94</v>
      </c>
      <c r="B84" s="22">
        <v>37</v>
      </c>
      <c r="C84" s="22">
        <v>2155</v>
      </c>
      <c r="D84" s="22">
        <v>76</v>
      </c>
      <c r="E84" s="22">
        <v>171</v>
      </c>
    </row>
    <row r="85" spans="1:5" ht="16" x14ac:dyDescent="0.35">
      <c r="A85" s="13" t="s">
        <v>95</v>
      </c>
      <c r="B85" s="4">
        <v>58379</v>
      </c>
      <c r="C85" s="4">
        <v>883</v>
      </c>
      <c r="D85" s="4">
        <v>874774</v>
      </c>
      <c r="E85" s="4">
        <v>531883</v>
      </c>
    </row>
    <row r="86" spans="1:5" ht="16" x14ac:dyDescent="0.35">
      <c r="A86" s="13" t="s">
        <v>96</v>
      </c>
      <c r="B86" s="22">
        <v>271</v>
      </c>
      <c r="C86" s="22">
        <v>833</v>
      </c>
      <c r="D86" s="22">
        <v>169</v>
      </c>
      <c r="E86" s="22">
        <v>40</v>
      </c>
    </row>
    <row r="87" spans="1:5" ht="16" x14ac:dyDescent="0.35">
      <c r="A87" s="14" t="s">
        <v>97</v>
      </c>
      <c r="B87" s="5">
        <f>+B79+B81+B83+B85</f>
        <v>44566555</v>
      </c>
      <c r="C87" s="5">
        <f>+C79+C81+C83+C85</f>
        <v>35161077</v>
      </c>
      <c r="D87" s="5">
        <f>+D79+D81+D83+D85</f>
        <v>52223062</v>
      </c>
      <c r="E87" s="5">
        <f>+E79+E81+E83+E85</f>
        <v>84110406</v>
      </c>
    </row>
    <row r="88" spans="1:5" ht="16" x14ac:dyDescent="0.35">
      <c r="A88" s="13" t="s">
        <v>98</v>
      </c>
      <c r="B88" s="4">
        <v>548560</v>
      </c>
      <c r="C88" s="4">
        <v>684693</v>
      </c>
      <c r="D88" s="4">
        <v>991074</v>
      </c>
      <c r="E88" s="4">
        <v>204109</v>
      </c>
    </row>
    <row r="89" spans="1:5" ht="16" x14ac:dyDescent="0.35">
      <c r="A89" s="13"/>
    </row>
    <row r="90" spans="1:5" ht="16" x14ac:dyDescent="0.35">
      <c r="A90" s="13"/>
    </row>
    <row r="91" spans="1:5" ht="16" x14ac:dyDescent="0.35">
      <c r="A91" s="13"/>
    </row>
    <row r="92" spans="1:5" ht="16" x14ac:dyDescent="0.35">
      <c r="A92" s="13"/>
    </row>
    <row r="93" spans="1:5" ht="16" x14ac:dyDescent="0.35">
      <c r="A93" s="13"/>
    </row>
    <row r="94" spans="1:5" ht="16" x14ac:dyDescent="0.35">
      <c r="A94" s="13"/>
    </row>
    <row r="95" spans="1:5" ht="16" x14ac:dyDescent="0.35">
      <c r="A95" s="13"/>
    </row>
    <row r="96" spans="1:5" ht="16" x14ac:dyDescent="0.35">
      <c r="A96" s="13"/>
    </row>
    <row r="97" spans="1:1" ht="16" x14ac:dyDescent="0.35">
      <c r="A97" s="13"/>
    </row>
  </sheetData>
  <mergeCells count="3">
    <mergeCell ref="G5:I5"/>
    <mergeCell ref="G36:I36"/>
    <mergeCell ref="F64:H64"/>
  </mergeCells>
  <pageMargins left="0.7" right="0.7" top="0.75" bottom="0.75" header="0.3" footer="0.3"/>
  <pageSetup paperSize="9" orientation="portrait" r:id="rId1"/>
  <ignoredErrors>
    <ignoredError sqref="B14:E14 N14:P14 N18:P18 N25:P25" formulaRange="1"/>
    <ignoredError sqref="N26:N27 N29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Jimenez</dc:creator>
  <cp:lastModifiedBy>Miguel Jimenez</cp:lastModifiedBy>
  <cp:lastPrinted>2025-10-20T19:44:14Z</cp:lastPrinted>
  <dcterms:created xsi:type="dcterms:W3CDTF">2025-10-20T18:23:54Z</dcterms:created>
  <dcterms:modified xsi:type="dcterms:W3CDTF">2025-10-20T19:52:00Z</dcterms:modified>
</cp:coreProperties>
</file>