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AMEN LIQUIDEZ, ENDEUDAMIENTO Y RENTABILIDAD\"/>
    </mc:Choice>
  </mc:AlternateContent>
  <xr:revisionPtr revIDLastSave="0" documentId="13_ncr:1_{999DFC40-B3D0-4DE3-B51E-0CD9C9772C14}" xr6:coauthVersionLast="47" xr6:coauthVersionMax="47" xr10:uidLastSave="{00000000-0000-0000-0000-000000000000}"/>
  <bookViews>
    <workbookView xWindow="-108" yWindow="-108" windowWidth="23256" windowHeight="12576" xr2:uid="{5C3FB708-D28B-41A5-92F5-EC0DC71B2F17}"/>
  </bookViews>
  <sheets>
    <sheet name="Terp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B65" i="1"/>
  <c r="H56" i="1"/>
  <c r="I37" i="1"/>
  <c r="I40" i="1"/>
  <c r="I32" i="1"/>
  <c r="B94" i="1" l="1"/>
  <c r="B93" i="1"/>
  <c r="B92" i="1"/>
  <c r="B91" i="1"/>
  <c r="E77" i="1"/>
  <c r="D78" i="1"/>
  <c r="E78" i="1"/>
  <c r="D79" i="1"/>
  <c r="E79" i="1"/>
  <c r="C79" i="1"/>
  <c r="E76" i="1" s="1"/>
  <c r="B79" i="1"/>
  <c r="D76" i="1" s="1"/>
  <c r="E69" i="1"/>
  <c r="E68" i="1"/>
  <c r="D69" i="1"/>
  <c r="D68" i="1"/>
  <c r="C70" i="1"/>
  <c r="F70" i="1" s="1"/>
  <c r="B70" i="1"/>
  <c r="C69" i="1"/>
  <c r="B69" i="1"/>
  <c r="C68" i="1"/>
  <c r="B68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5" i="1"/>
  <c r="F26" i="1"/>
  <c r="F27" i="1"/>
  <c r="F28" i="1"/>
  <c r="F29" i="1"/>
  <c r="F31" i="1"/>
  <c r="F32" i="1"/>
  <c r="F33" i="1"/>
  <c r="F36" i="1"/>
  <c r="F37" i="1"/>
  <c r="F38" i="1"/>
  <c r="F39" i="1"/>
  <c r="F40" i="1"/>
  <c r="F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5" i="1"/>
  <c r="E26" i="1"/>
  <c r="E27" i="1"/>
  <c r="E28" i="1"/>
  <c r="E29" i="1"/>
  <c r="E31" i="1"/>
  <c r="E32" i="1"/>
  <c r="E33" i="1"/>
  <c r="E36" i="1"/>
  <c r="E37" i="1"/>
  <c r="E38" i="1"/>
  <c r="E39" i="1"/>
  <c r="E40" i="1"/>
  <c r="E5" i="1"/>
  <c r="F65" i="1"/>
  <c r="B66" i="1"/>
  <c r="D57" i="1"/>
  <c r="D53" i="1"/>
  <c r="D50" i="1"/>
  <c r="D48" i="1"/>
  <c r="D47" i="1"/>
  <c r="D45" i="1"/>
  <c r="E44" i="1"/>
  <c r="D49" i="1"/>
  <c r="D52" i="1"/>
  <c r="D54" i="1"/>
  <c r="D55" i="1"/>
  <c r="D44" i="1"/>
  <c r="F61" i="1"/>
  <c r="F60" i="1"/>
  <c r="F47" i="1"/>
  <c r="F48" i="1"/>
  <c r="F49" i="1"/>
  <c r="F50" i="1"/>
  <c r="F52" i="1"/>
  <c r="F53" i="1"/>
  <c r="F54" i="1"/>
  <c r="F55" i="1"/>
  <c r="F57" i="1"/>
  <c r="F45" i="1"/>
  <c r="E47" i="1"/>
  <c r="E48" i="1"/>
  <c r="E49" i="1"/>
  <c r="E50" i="1"/>
  <c r="E52" i="1"/>
  <c r="E53" i="1"/>
  <c r="E54" i="1"/>
  <c r="E55" i="1"/>
  <c r="E57" i="1"/>
  <c r="E45" i="1"/>
  <c r="F44" i="1"/>
  <c r="I59" i="1"/>
  <c r="H60" i="1" s="1"/>
  <c r="H61" i="1" s="1"/>
  <c r="I51" i="1"/>
  <c r="I49" i="1"/>
  <c r="H49" i="1"/>
  <c r="I55" i="1" s="1"/>
  <c r="H57" i="1" s="1"/>
  <c r="D70" i="1" l="1"/>
  <c r="D77" i="1"/>
  <c r="E70" i="1"/>
  <c r="F69" i="1"/>
  <c r="F68" i="1"/>
  <c r="C66" i="1"/>
  <c r="D65" i="1"/>
  <c r="I50" i="1"/>
  <c r="H52" i="1" s="1"/>
  <c r="H53" i="1" s="1"/>
  <c r="H64" i="1" s="1"/>
  <c r="I20" i="1" l="1"/>
  <c r="H20" i="1"/>
  <c r="I14" i="1"/>
  <c r="H14" i="1"/>
  <c r="B41" i="1" l="1"/>
  <c r="C41" i="1"/>
  <c r="B34" i="1"/>
  <c r="H9" i="1" s="1"/>
  <c r="C34" i="1"/>
  <c r="B30" i="1"/>
  <c r="H7" i="1" s="1"/>
  <c r="C30" i="1"/>
  <c r="B23" i="1"/>
  <c r="C23" i="1"/>
  <c r="B13" i="1"/>
  <c r="C13" i="1"/>
  <c r="B46" i="1"/>
  <c r="H25" i="1" s="1"/>
  <c r="C46" i="1"/>
  <c r="F41" i="1" l="1"/>
  <c r="E41" i="1"/>
  <c r="F46" i="1"/>
  <c r="D46" i="1"/>
  <c r="I17" i="1"/>
  <c r="E13" i="1"/>
  <c r="F13" i="1"/>
  <c r="E23" i="1"/>
  <c r="F23" i="1"/>
  <c r="I7" i="1"/>
  <c r="F30" i="1"/>
  <c r="E30" i="1"/>
  <c r="I9" i="1"/>
  <c r="F34" i="1"/>
  <c r="E34" i="1"/>
  <c r="I25" i="1"/>
  <c r="E46" i="1"/>
  <c r="B24" i="1"/>
  <c r="H6" i="1"/>
  <c r="H8" i="1"/>
  <c r="I6" i="1"/>
  <c r="I8" i="1"/>
  <c r="C24" i="1"/>
  <c r="D41" i="1" s="1"/>
  <c r="C51" i="1"/>
  <c r="B51" i="1"/>
  <c r="C35" i="1"/>
  <c r="B35" i="1"/>
  <c r="D23" i="1" l="1"/>
  <c r="D13" i="1"/>
  <c r="D34" i="1"/>
  <c r="D51" i="1"/>
  <c r="D30" i="1"/>
  <c r="B73" i="1"/>
  <c r="B72" i="1"/>
  <c r="B74" i="1" s="1"/>
  <c r="I13" i="1"/>
  <c r="E35" i="1"/>
  <c r="D35" i="1"/>
  <c r="F35" i="1"/>
  <c r="F24" i="1"/>
  <c r="D10" i="1"/>
  <c r="D22" i="1"/>
  <c r="D36" i="1"/>
  <c r="E24" i="1"/>
  <c r="D11" i="1"/>
  <c r="D12" i="1"/>
  <c r="D24" i="1"/>
  <c r="C73" i="1"/>
  <c r="D25" i="1"/>
  <c r="D37" i="1"/>
  <c r="D32" i="1"/>
  <c r="D21" i="1"/>
  <c r="C72" i="1"/>
  <c r="D14" i="1"/>
  <c r="D26" i="1"/>
  <c r="D38" i="1"/>
  <c r="D20" i="1"/>
  <c r="B86" i="1" s="1"/>
  <c r="D33" i="1"/>
  <c r="D15" i="1"/>
  <c r="D27" i="1"/>
  <c r="D39" i="1"/>
  <c r="D16" i="1"/>
  <c r="D28" i="1"/>
  <c r="D40" i="1"/>
  <c r="D17" i="1"/>
  <c r="D29" i="1"/>
  <c r="D9" i="1"/>
  <c r="D6" i="1"/>
  <c r="B83" i="1" s="1"/>
  <c r="D18" i="1"/>
  <c r="B87" i="1" s="1"/>
  <c r="D5" i="1"/>
  <c r="B82" i="1" s="1"/>
  <c r="D7" i="1"/>
  <c r="D19" i="1"/>
  <c r="D31" i="1"/>
  <c r="D8" i="1"/>
  <c r="B84" i="1" s="1"/>
  <c r="E51" i="1"/>
  <c r="F51" i="1"/>
  <c r="C42" i="1"/>
  <c r="H15" i="1"/>
  <c r="I38" i="1"/>
  <c r="I39" i="1"/>
  <c r="I26" i="1"/>
  <c r="I31" i="1"/>
  <c r="C62" i="1"/>
  <c r="I18" i="1"/>
  <c r="I16" i="1"/>
  <c r="H13" i="1"/>
  <c r="I15" i="1"/>
  <c r="H26" i="1"/>
  <c r="B62" i="1"/>
  <c r="B63" i="1" s="1"/>
  <c r="H18" i="1"/>
  <c r="B42" i="1"/>
  <c r="B56" i="1"/>
  <c r="B58" i="1" s="1"/>
  <c r="H29" i="1" s="1"/>
  <c r="C56" i="1"/>
  <c r="D56" i="1" s="1"/>
  <c r="B85" i="1" l="1"/>
  <c r="B88" i="1"/>
  <c r="C74" i="1"/>
  <c r="C63" i="1"/>
  <c r="F63" i="1" s="1"/>
  <c r="F62" i="1"/>
  <c r="F56" i="1"/>
  <c r="C58" i="1"/>
  <c r="D58" i="1" s="1"/>
  <c r="E56" i="1"/>
  <c r="H27" i="1"/>
  <c r="H28" i="1" s="1"/>
  <c r="H19" i="1"/>
  <c r="I27" i="1"/>
  <c r="I28" i="1" s="1"/>
  <c r="I19" i="1"/>
  <c r="B89" i="1" l="1"/>
  <c r="E58" i="1"/>
  <c r="F58" i="1"/>
  <c r="I33" i="1"/>
  <c r="I29" i="1"/>
  <c r="I41" i="1" l="1"/>
</calcChain>
</file>

<file path=xl/sharedStrings.xml><?xml version="1.0" encoding="utf-8"?>
<sst xmlns="http://schemas.openxmlformats.org/spreadsheetml/2006/main" count="156" uniqueCount="117">
  <si>
    <t>Ingresos de actividades ordinarias</t>
  </si>
  <si>
    <t>Costos de ventas</t>
  </si>
  <si>
    <t>Utilidad Bruta</t>
  </si>
  <si>
    <t>Depreciación</t>
  </si>
  <si>
    <t>Amortización</t>
  </si>
  <si>
    <t>Utilidad Operacional</t>
  </si>
  <si>
    <t>(Pérdida) antes de impuestos sobre la renta</t>
  </si>
  <si>
    <t>Impuesto sobre la renta</t>
  </si>
  <si>
    <t>(Pérdida) neta del período</t>
  </si>
  <si>
    <t>Efectivo y equivalentes de efectivo</t>
  </si>
  <si>
    <t>Inventarios</t>
  </si>
  <si>
    <t>TOTAL ACTIVOS CORRIENTES</t>
  </si>
  <si>
    <t>Propiedades de inversión</t>
  </si>
  <si>
    <t>TOTAL ACTIVOS NO CORRIENTES</t>
  </si>
  <si>
    <t>Activos mantenidos para la venta</t>
  </si>
  <si>
    <t>TOTAL ACTIVOS</t>
  </si>
  <si>
    <t>TOTAL PASIVOS CORRIENTES</t>
  </si>
  <si>
    <t>TOTAL PASIVOS NO CORRIENTES</t>
  </si>
  <si>
    <t>TOTAL PASIVOS</t>
  </si>
  <si>
    <t>TOTAL PATRIMONIO</t>
  </si>
  <si>
    <t>Estados financieros separados</t>
  </si>
  <si>
    <t>Indicadores de Liquidez</t>
  </si>
  <si>
    <t>Razón corriente</t>
  </si>
  <si>
    <t>Prueba Ácida</t>
  </si>
  <si>
    <t>Liquidez (personalizado)</t>
  </si>
  <si>
    <t>Indicadores de Endeudamiento</t>
  </si>
  <si>
    <t>Nivel endeudamiento</t>
  </si>
  <si>
    <t>Total Deuda</t>
  </si>
  <si>
    <t>Nivel endeudamiento*</t>
  </si>
  <si>
    <t>Apalancamiento financiero</t>
  </si>
  <si>
    <t>Apalancamiento financiero*</t>
  </si>
  <si>
    <t>Cobertura de intereses</t>
  </si>
  <si>
    <t>Cobertura de intereses**</t>
  </si>
  <si>
    <t>Impacto carga financiera</t>
  </si>
  <si>
    <t>*con Total Deuda</t>
  </si>
  <si>
    <t>**con EBITDA</t>
  </si>
  <si>
    <t>Indicadores de Rentabilidad</t>
  </si>
  <si>
    <t>Margen Bruto</t>
  </si>
  <si>
    <t>Margen Operacional</t>
  </si>
  <si>
    <t>EBITDA</t>
  </si>
  <si>
    <t>Margen EBITDA</t>
  </si>
  <si>
    <t>Margen Neto</t>
  </si>
  <si>
    <t>ROA Operacional</t>
  </si>
  <si>
    <t>ROA</t>
  </si>
  <si>
    <t>ROE</t>
  </si>
  <si>
    <t>DuPont</t>
  </si>
  <si>
    <t>Rotación de Activos</t>
  </si>
  <si>
    <t>Multiplicador de Capital</t>
  </si>
  <si>
    <t>2021</t>
  </si>
  <si>
    <t>2022</t>
  </si>
  <si>
    <t>ORGANIZACIÓN TERPEL S.A.</t>
  </si>
  <si>
    <t>Cifras en miles de pesos</t>
  </si>
  <si>
    <t>Deudores comerciales y otras cuentas por cobrar</t>
  </si>
  <si>
    <t>Cuentas por cobrar a entidades relacionadas</t>
  </si>
  <si>
    <t>Otros activos no financieros</t>
  </si>
  <si>
    <t>Activos del contrato</t>
  </si>
  <si>
    <t>Activos por impuestos</t>
  </si>
  <si>
    <t>Activos financieros a valor razonable</t>
  </si>
  <si>
    <t>Inversiones (método de participación)</t>
  </si>
  <si>
    <t>Intangibles</t>
  </si>
  <si>
    <t>Plusvalía</t>
  </si>
  <si>
    <t>Propiedades, planta y equipo</t>
  </si>
  <si>
    <t>Otros pasivos financieros</t>
  </si>
  <si>
    <t>Cuentas por pagar comerciales y otras cuentas por pagar</t>
  </si>
  <si>
    <t>Cuentas por pagar a entidades relacionadas</t>
  </si>
  <si>
    <t>Pasivos por impuestos</t>
  </si>
  <si>
    <t>Provisiones por beneficios a los empleados</t>
  </si>
  <si>
    <t>Pasivo por impuestos diferidos</t>
  </si>
  <si>
    <t>Capital emitido</t>
  </si>
  <si>
    <t>Prima de emisión</t>
  </si>
  <si>
    <t>Reservas legales y estatutarias</t>
  </si>
  <si>
    <t>Otras reservas</t>
  </si>
  <si>
    <t>Ganancias acumuladas</t>
  </si>
  <si>
    <t>Costos de distribución</t>
  </si>
  <si>
    <t>Gastos de administración</t>
  </si>
  <si>
    <t>Otros ingresos, por función</t>
  </si>
  <si>
    <t>Otros gastos por función</t>
  </si>
  <si>
    <t>Ingresos financieros</t>
  </si>
  <si>
    <t>Costos financieros</t>
  </si>
  <si>
    <t>Participación en las ganancias en empresas del
grupo y negocios conjuntos que se contabilizan
utilizando el método de la participación</t>
  </si>
  <si>
    <t>Diferencia en cambio</t>
  </si>
  <si>
    <t>Indicadores de Actividad</t>
  </si>
  <si>
    <t>Inventario</t>
  </si>
  <si>
    <t>Compras</t>
  </si>
  <si>
    <t>Prom. CxP</t>
  </si>
  <si>
    <t>Rotación CxP</t>
  </si>
  <si>
    <t>Días de CxP</t>
  </si>
  <si>
    <t>veces</t>
  </si>
  <si>
    <t>días</t>
  </si>
  <si>
    <t>Prom. Inventario</t>
  </si>
  <si>
    <t>Rotación Inventario</t>
  </si>
  <si>
    <t>Días de Inventario</t>
  </si>
  <si>
    <t>Prom. CxC</t>
  </si>
  <si>
    <t>Rotación CxC</t>
  </si>
  <si>
    <t>Días CxC</t>
  </si>
  <si>
    <t>Ciclo de efectivo</t>
  </si>
  <si>
    <t>Cambios [$]</t>
  </si>
  <si>
    <t>Cambios [%]</t>
  </si>
  <si>
    <t>% sobre ventas</t>
  </si>
  <si>
    <t>Costos de distribución y gastos</t>
  </si>
  <si>
    <t>% sobre Activos</t>
  </si>
  <si>
    <t>Otros pasivos financieros C (% Activos)</t>
  </si>
  <si>
    <t>Otros pasivos financieros NC (% Activos)</t>
  </si>
  <si>
    <t>Total</t>
  </si>
  <si>
    <t>Nota 18</t>
  </si>
  <si>
    <t>Nota 16</t>
  </si>
  <si>
    <t>Inventario (Combustibles)</t>
  </si>
  <si>
    <t>Inventario (Lubricantes)</t>
  </si>
  <si>
    <t>Inventario (Otros)</t>
  </si>
  <si>
    <t>Total Inventario</t>
  </si>
  <si>
    <t>% sobre Inventario</t>
  </si>
  <si>
    <t>% sobre total</t>
  </si>
  <si>
    <t>PPE</t>
  </si>
  <si>
    <t>Subtotal</t>
  </si>
  <si>
    <t>Otros pasivos financieros Corriente</t>
  </si>
  <si>
    <t>Otros pasivos financieros No Corriente</t>
  </si>
  <si>
    <t>KTNO (AC –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</si>
</sst>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%"/>
    <numFmt numFmtId="168" formatCode="&quot;$&quot;\ #,##0.000;[Red]\-&quot;$&quot;\ #,##0.000"/>
  </numFmts>
  <fonts count="1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0"/>
      <name val="Franklin Gothic Book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rgb="FF14085C"/>
      <name val="Franklin Gothic Book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center" vertical="center"/>
    </xf>
    <xf numFmtId="165" fontId="2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6" fontId="4" fillId="2" borderId="1" xfId="0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vertical="center"/>
    </xf>
    <xf numFmtId="167" fontId="4" fillId="2" borderId="1" xfId="2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9" fontId="5" fillId="0" borderId="2" xfId="2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 wrapText="1"/>
    </xf>
    <xf numFmtId="9" fontId="0" fillId="0" borderId="0" xfId="2" applyFont="1"/>
    <xf numFmtId="165" fontId="10" fillId="0" borderId="0" xfId="1" applyNumberFormat="1" applyFont="1" applyBorder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3" fontId="0" fillId="0" borderId="0" xfId="0" applyNumberFormat="1"/>
    <xf numFmtId="49" fontId="2" fillId="0" borderId="0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6" fontId="4" fillId="2" borderId="3" xfId="0" applyNumberFormat="1" applyFont="1" applyFill="1" applyBorder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67" fontId="4" fillId="2" borderId="0" xfId="2" applyNumberFormat="1" applyFont="1" applyFill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68" fontId="0" fillId="0" borderId="0" xfId="0" applyNumberFormat="1"/>
    <xf numFmtId="49" fontId="2" fillId="0" borderId="1" xfId="1" applyNumberFormat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9" fontId="4" fillId="2" borderId="0" xfId="2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3">
    <cellStyle name="Comma 28" xfId="1" xr:uid="{CFDFCC01-0F4D-4AF5-98C2-F3D5DBEF47B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696488</xdr:colOff>
      <xdr:row>3</xdr:row>
      <xdr:rowOff>35342</xdr:rowOff>
    </xdr:from>
    <xdr:to>
      <xdr:col>13</xdr:col>
      <xdr:colOff>337923</xdr:colOff>
      <xdr:row>4</xdr:row>
      <xdr:rowOff>192803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8232C536-4E81-4C23-8C00-A22631E5F202}"/>
                </a:ext>
              </a:extLst>
            </xdr:cNvPr>
            <xdr:cNvSpPr txBox="1"/>
          </xdr:nvSpPr>
          <xdr:spPr>
            <a:xfrm>
              <a:off x="11196400" y="886989"/>
              <a:ext cx="2689435" cy="3703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Raz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9">
              <a:extLst>
                <a:ext uri="{FF2B5EF4-FFF2-40B4-BE49-F238E27FC236}">
                  <a16:creationId xmlns:a16="http://schemas.microsoft.com/office/drawing/2014/main" id="{8232C536-4E81-4C23-8C00-A22631E5F202}"/>
                </a:ext>
              </a:extLst>
            </xdr:cNvPr>
            <xdr:cNvSpPr txBox="1"/>
          </xdr:nvSpPr>
          <xdr:spPr>
            <a:xfrm>
              <a:off x="11196400" y="886989"/>
              <a:ext cx="2689435" cy="3703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"Razón Corriente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"Activos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656090</xdr:colOff>
      <xdr:row>5</xdr:row>
      <xdr:rowOff>132387</xdr:rowOff>
    </xdr:from>
    <xdr:to>
      <xdr:col>14</xdr:col>
      <xdr:colOff>215258</xdr:colOff>
      <xdr:row>7</xdr:row>
      <xdr:rowOff>80656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726CDEA8-B680-4394-AC3A-6D374A17EA77}"/>
                </a:ext>
              </a:extLst>
            </xdr:cNvPr>
            <xdr:cNvSpPr txBox="1"/>
          </xdr:nvSpPr>
          <xdr:spPr>
            <a:xfrm>
              <a:off x="11314565" y="1389687"/>
              <a:ext cx="3369168" cy="36736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Prueba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Á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cida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Corrientes</m:t>
                        </m:r>
                      </m:den>
                    </m:f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726CDEA8-B680-4394-AC3A-6D374A17EA77}"/>
                </a:ext>
              </a:extLst>
            </xdr:cNvPr>
            <xdr:cNvSpPr txBox="1"/>
          </xdr:nvSpPr>
          <xdr:spPr>
            <a:xfrm>
              <a:off x="11314565" y="1389687"/>
              <a:ext cx="3369168" cy="36736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"Prueba Ácida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 + Cuentas por Cobrar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Pasivos Corrientes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636382</xdr:colOff>
      <xdr:row>8</xdr:row>
      <xdr:rowOff>40629</xdr:rowOff>
    </xdr:from>
    <xdr:to>
      <xdr:col>15</xdr:col>
      <xdr:colOff>147575</xdr:colOff>
      <xdr:row>9</xdr:row>
      <xdr:rowOff>21912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6C6365AC-D1EB-4775-9F28-D6AA7AEF32A4}"/>
                </a:ext>
              </a:extLst>
            </xdr:cNvPr>
            <xdr:cNvSpPr txBox="1"/>
          </xdr:nvSpPr>
          <xdr:spPr>
            <a:xfrm>
              <a:off x="11294857" y="1926579"/>
              <a:ext cx="4083193" cy="190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Corriente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9">
              <a:extLst>
                <a:ext uri="{FF2B5EF4-FFF2-40B4-BE49-F238E27FC236}">
                  <a16:creationId xmlns:a16="http://schemas.microsoft.com/office/drawing/2014/main" id="{6C6365AC-D1EB-4775-9F28-D6AA7AEF32A4}"/>
                </a:ext>
              </a:extLst>
            </xdr:cNvPr>
            <xdr:cNvSpPr txBox="1"/>
          </xdr:nvSpPr>
          <xdr:spPr>
            <a:xfrm>
              <a:off x="11294857" y="1926579"/>
              <a:ext cx="4083193" cy="1908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"Capital de trabajo = Activo Corriente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"−"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Pasivo Corriente</a:t>
              </a:r>
              <a:r>
                <a:rPr lang="es-CO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62255</xdr:colOff>
      <xdr:row>10</xdr:row>
      <xdr:rowOff>22164</xdr:rowOff>
    </xdr:from>
    <xdr:to>
      <xdr:col>14</xdr:col>
      <xdr:colOff>88960</xdr:colOff>
      <xdr:row>12</xdr:row>
      <xdr:rowOff>1490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F3979BE1-91D5-4DC2-BB8D-C85B504E0E9D}"/>
                </a:ext>
              </a:extLst>
            </xdr:cNvPr>
            <xdr:cNvSpPr txBox="1"/>
          </xdr:nvSpPr>
          <xdr:spPr>
            <a:xfrm>
              <a:off x="11568455" y="2070039"/>
              <a:ext cx="3189005" cy="388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Liquidez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Efectivo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CxC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clientes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+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Obligaciones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exigibles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corto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plazo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2">
              <a:extLst>
                <a:ext uri="{FF2B5EF4-FFF2-40B4-BE49-F238E27FC236}">
                  <a16:creationId xmlns:a16="http://schemas.microsoft.com/office/drawing/2014/main" id="{F3979BE1-91D5-4DC2-BB8D-C85B504E0E9D}"/>
                </a:ext>
              </a:extLst>
            </xdr:cNvPr>
            <xdr:cNvSpPr txBox="1"/>
          </xdr:nvSpPr>
          <xdr:spPr>
            <a:xfrm>
              <a:off x="11568455" y="2070039"/>
              <a:ext cx="3189005" cy="388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"Liquidez="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"Efectivo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+ CxC clientes + Inventarios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Obligaciones exigibles corto plazo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733276</xdr:colOff>
      <xdr:row>12</xdr:row>
      <xdr:rowOff>101019</xdr:rowOff>
    </xdr:from>
    <xdr:to>
      <xdr:col>13</xdr:col>
      <xdr:colOff>434508</xdr:colOff>
      <xdr:row>14</xdr:row>
      <xdr:rowOff>45586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37AD2131-12E4-4EB0-8813-5F4359F9AA01}"/>
                </a:ext>
              </a:extLst>
            </xdr:cNvPr>
            <xdr:cNvSpPr txBox="1"/>
          </xdr:nvSpPr>
          <xdr:spPr>
            <a:xfrm>
              <a:off x="11391751" y="2825169"/>
              <a:ext cx="2749232" cy="36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37AD2131-12E4-4EB0-8813-5F4359F9AA01}"/>
                </a:ext>
              </a:extLst>
            </xdr:cNvPr>
            <xdr:cNvSpPr txBox="1"/>
          </xdr:nvSpPr>
          <xdr:spPr>
            <a:xfrm>
              <a:off x="11391751" y="2825169"/>
              <a:ext cx="2749232" cy="36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"Pasivo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681380</xdr:colOff>
      <xdr:row>16</xdr:row>
      <xdr:rowOff>112166</xdr:rowOff>
    </xdr:from>
    <xdr:to>
      <xdr:col>13</xdr:col>
      <xdr:colOff>487715</xdr:colOff>
      <xdr:row>18</xdr:row>
      <xdr:rowOff>56733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56A63460-4765-482C-B12F-EA792953A412}"/>
                </a:ext>
              </a:extLst>
            </xdr:cNvPr>
            <xdr:cNvSpPr txBox="1"/>
          </xdr:nvSpPr>
          <xdr:spPr>
            <a:xfrm>
              <a:off x="11339855" y="3674516"/>
              <a:ext cx="2854335" cy="36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Nivel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endeudamiento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5">
              <a:extLst>
                <a:ext uri="{FF2B5EF4-FFF2-40B4-BE49-F238E27FC236}">
                  <a16:creationId xmlns:a16="http://schemas.microsoft.com/office/drawing/2014/main" id="{56A63460-4765-482C-B12F-EA792953A412}"/>
                </a:ext>
              </a:extLst>
            </xdr:cNvPr>
            <xdr:cNvSpPr txBox="1"/>
          </xdr:nvSpPr>
          <xdr:spPr>
            <a:xfrm>
              <a:off x="11339855" y="3674516"/>
              <a:ext cx="2854335" cy="36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"Nivel de endeudamiento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"Total Deuda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Activo Total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609122</xdr:colOff>
      <xdr:row>15</xdr:row>
      <xdr:rowOff>19570</xdr:rowOff>
    </xdr:from>
    <xdr:to>
      <xdr:col>16</xdr:col>
      <xdr:colOff>653860</xdr:colOff>
      <xdr:row>16</xdr:row>
      <xdr:rowOff>852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BB940953-0B46-47E5-81C6-13713E7CBB46}"/>
                </a:ext>
              </a:extLst>
            </xdr:cNvPr>
            <xdr:cNvSpPr txBox="1"/>
          </xdr:nvSpPr>
          <xdr:spPr>
            <a:xfrm>
              <a:off x="11267597" y="3372370"/>
              <a:ext cx="5378738" cy="19083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Deuda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pasivos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terceros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obligaciones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que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devengan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</m:oMath>
                </m:oMathPara>
              </a14:m>
              <a:endParaRPr lang="es-MX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BB940953-0B46-47E5-81C6-13713E7CBB46}"/>
                </a:ext>
              </a:extLst>
            </xdr:cNvPr>
            <xdr:cNvSpPr txBox="1"/>
          </xdr:nvSpPr>
          <xdr:spPr>
            <a:xfrm>
              <a:off x="11267597" y="3372370"/>
              <a:ext cx="5378738" cy="19083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"Total Deuda = pasivos con terceros = obligaciones que devengan intereses</a:t>
              </a:r>
              <a:r>
                <a:rPr lang="es-CO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MX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703488</xdr:colOff>
      <xdr:row>23</xdr:row>
      <xdr:rowOff>171147</xdr:rowOff>
    </xdr:from>
    <xdr:to>
      <xdr:col>13</xdr:col>
      <xdr:colOff>168842</xdr:colOff>
      <xdr:row>25</xdr:row>
      <xdr:rowOff>84781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7A324741-AE43-4D4D-A26A-C7D2F55725CC}"/>
                </a:ext>
              </a:extLst>
            </xdr:cNvPr>
            <xdr:cNvSpPr txBox="1"/>
          </xdr:nvSpPr>
          <xdr:spPr>
            <a:xfrm>
              <a:off x="11361963" y="5200347"/>
              <a:ext cx="2513354" cy="3327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7A324741-AE43-4D4D-A26A-C7D2F55725CC}"/>
                </a:ext>
              </a:extLst>
            </xdr:cNvPr>
            <xdr:cNvSpPr txBox="1"/>
          </xdr:nvSpPr>
          <xdr:spPr>
            <a:xfrm>
              <a:off x="11361963" y="5200347"/>
              <a:ext cx="2513354" cy="3327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644037</xdr:colOff>
      <xdr:row>28</xdr:row>
      <xdr:rowOff>2402</xdr:rowOff>
    </xdr:from>
    <xdr:to>
      <xdr:col>14</xdr:col>
      <xdr:colOff>18192</xdr:colOff>
      <xdr:row>29</xdr:row>
      <xdr:rowOff>128836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49E8A2C-9D1D-48E2-96FB-F633D0884A27}"/>
                </a:ext>
              </a:extLst>
            </xdr:cNvPr>
            <xdr:cNvSpPr txBox="1"/>
          </xdr:nvSpPr>
          <xdr:spPr>
            <a:xfrm>
              <a:off x="11302512" y="6079352"/>
              <a:ext cx="3184155" cy="3359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Impacto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carga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finaniciera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49E8A2C-9D1D-48E2-96FB-F633D0884A27}"/>
                </a:ext>
              </a:extLst>
            </xdr:cNvPr>
            <xdr:cNvSpPr txBox="1"/>
          </xdr:nvSpPr>
          <xdr:spPr>
            <a:xfrm>
              <a:off x="11302512" y="6079352"/>
              <a:ext cx="3184155" cy="3359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"Impacto de la carga finaniciera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602882</xdr:colOff>
      <xdr:row>44</xdr:row>
      <xdr:rowOff>35727</xdr:rowOff>
    </xdr:from>
    <xdr:to>
      <xdr:col>16</xdr:col>
      <xdr:colOff>238746</xdr:colOff>
      <xdr:row>44</xdr:row>
      <xdr:rowOff>204149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F834579-71E9-4D6E-9850-903D932DB6B2}"/>
                </a:ext>
              </a:extLst>
            </xdr:cNvPr>
            <xdr:cNvSpPr txBox="1"/>
          </xdr:nvSpPr>
          <xdr:spPr>
            <a:xfrm>
              <a:off x="11261357" y="9465477"/>
              <a:ext cx="4969864" cy="1684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Neto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×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Multiplicador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F834579-71E9-4D6E-9850-903D932DB6B2}"/>
                </a:ext>
              </a:extLst>
            </xdr:cNvPr>
            <xdr:cNvSpPr txBox="1"/>
          </xdr:nvSpPr>
          <xdr:spPr>
            <a:xfrm>
              <a:off x="11261357" y="9465477"/>
              <a:ext cx="4969864" cy="1684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Margen Neto × Rotación de Activos × Multiplicador de Capital</a:t>
              </a:r>
              <a:r>
                <a:rPr lang="es-CO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683452</xdr:colOff>
      <xdr:row>21</xdr:row>
      <xdr:rowOff>86252</xdr:rowOff>
    </xdr:from>
    <xdr:to>
      <xdr:col>14</xdr:col>
      <xdr:colOff>569153</xdr:colOff>
      <xdr:row>23</xdr:row>
      <xdr:rowOff>11339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7AF5AF9B-63A5-4CF9-B583-9C109C45DF2F}"/>
                </a:ext>
              </a:extLst>
            </xdr:cNvPr>
            <xdr:cNvSpPr txBox="1"/>
          </xdr:nvSpPr>
          <xdr:spPr>
            <a:xfrm>
              <a:off x="11341927" y="4696352"/>
              <a:ext cx="3695701" cy="3441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Deuda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7AF5AF9B-63A5-4CF9-B583-9C109C45DF2F}"/>
                </a:ext>
              </a:extLst>
            </xdr:cNvPr>
            <xdr:cNvSpPr txBox="1"/>
          </xdr:nvSpPr>
          <xdr:spPr>
            <a:xfrm>
              <a:off x="11341927" y="4696352"/>
              <a:ext cx="3695701" cy="34418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"Promedio Total Deuda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696590</xdr:colOff>
      <xdr:row>18</xdr:row>
      <xdr:rowOff>196229</xdr:rowOff>
    </xdr:from>
    <xdr:to>
      <xdr:col>14</xdr:col>
      <xdr:colOff>506090</xdr:colOff>
      <xdr:row>20</xdr:row>
      <xdr:rowOff>134731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50743D88-53B2-4F4E-BE3C-6014F0B162EA}"/>
                </a:ext>
              </a:extLst>
            </xdr:cNvPr>
            <xdr:cNvSpPr txBox="1"/>
          </xdr:nvSpPr>
          <xdr:spPr>
            <a:xfrm>
              <a:off x="11355065" y="4177679"/>
              <a:ext cx="3619500" cy="357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Apalancamiento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financiero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Pasivo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 kern="120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9">
              <a:extLst>
                <a:ext uri="{FF2B5EF4-FFF2-40B4-BE49-F238E27FC236}">
                  <a16:creationId xmlns:a16="http://schemas.microsoft.com/office/drawing/2014/main" id="{50743D88-53B2-4F4E-BE3C-6014F0B162EA}"/>
                </a:ext>
              </a:extLst>
            </xdr:cNvPr>
            <xdr:cNvSpPr txBox="1"/>
          </xdr:nvSpPr>
          <xdr:spPr>
            <a:xfrm>
              <a:off x="11355065" y="4177679"/>
              <a:ext cx="3619500" cy="357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"Apalancamiento financiero = " 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"Promedio Pasivo Total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589087</xdr:colOff>
      <xdr:row>25</xdr:row>
      <xdr:rowOff>175088</xdr:rowOff>
    </xdr:from>
    <xdr:to>
      <xdr:col>13</xdr:col>
      <xdr:colOff>267965</xdr:colOff>
      <xdr:row>27</xdr:row>
      <xdr:rowOff>72378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9">
              <a:extLst>
                <a:ext uri="{FF2B5EF4-FFF2-40B4-BE49-F238E27FC236}">
                  <a16:creationId xmlns:a16="http://schemas.microsoft.com/office/drawing/2014/main" id="{06F3DC26-442D-4B3D-8FB7-28BF1286599B}"/>
                </a:ext>
              </a:extLst>
            </xdr:cNvPr>
            <xdr:cNvSpPr txBox="1"/>
          </xdr:nvSpPr>
          <xdr:spPr>
            <a:xfrm>
              <a:off x="11247562" y="5623388"/>
              <a:ext cx="2726878" cy="316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Cobertura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intereses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EBITDA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Intereses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4" name="CuadroTexto 9">
              <a:extLst>
                <a:ext uri="{FF2B5EF4-FFF2-40B4-BE49-F238E27FC236}">
                  <a16:creationId xmlns:a16="http://schemas.microsoft.com/office/drawing/2014/main" id="{06F3DC26-442D-4B3D-8FB7-28BF1286599B}"/>
                </a:ext>
              </a:extLst>
            </xdr:cNvPr>
            <xdr:cNvSpPr txBox="1"/>
          </xdr:nvSpPr>
          <xdr:spPr>
            <a:xfrm>
              <a:off x="11247562" y="5623388"/>
              <a:ext cx="2726878" cy="316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"Cobertura de intereses = 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"EBITDA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Intereses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591841</xdr:colOff>
      <xdr:row>35</xdr:row>
      <xdr:rowOff>175771</xdr:rowOff>
    </xdr:from>
    <xdr:to>
      <xdr:col>12</xdr:col>
      <xdr:colOff>601365</xdr:colOff>
      <xdr:row>37</xdr:row>
      <xdr:rowOff>164918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24">
              <a:extLst>
                <a:ext uri="{FF2B5EF4-FFF2-40B4-BE49-F238E27FC236}">
                  <a16:creationId xmlns:a16="http://schemas.microsoft.com/office/drawing/2014/main" id="{EF2701FD-E39E-4385-A390-AB7815E166DB}"/>
                </a:ext>
              </a:extLst>
            </xdr:cNvPr>
            <xdr:cNvSpPr txBox="1"/>
          </xdr:nvSpPr>
          <xdr:spPr>
            <a:xfrm>
              <a:off x="11250316" y="7719571"/>
              <a:ext cx="2295524" cy="40824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5" name="CuadroTexto 24">
              <a:extLst>
                <a:ext uri="{FF2B5EF4-FFF2-40B4-BE49-F238E27FC236}">
                  <a16:creationId xmlns:a16="http://schemas.microsoft.com/office/drawing/2014/main" id="{EF2701FD-E39E-4385-A390-AB7815E166DB}"/>
                </a:ext>
              </a:extLst>
            </xdr:cNvPr>
            <xdr:cNvSpPr txBox="1"/>
          </xdr:nvSpPr>
          <xdr:spPr>
            <a:xfrm>
              <a:off x="11250316" y="7719571"/>
              <a:ext cx="2295524" cy="40824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=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9</xdr:col>
      <xdr:colOff>575820</xdr:colOff>
      <xdr:row>33</xdr:row>
      <xdr:rowOff>71678</xdr:rowOff>
    </xdr:from>
    <xdr:to>
      <xdr:col>13</xdr:col>
      <xdr:colOff>717965</xdr:colOff>
      <xdr:row>35</xdr:row>
      <xdr:rowOff>55823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26">
              <a:extLst>
                <a:ext uri="{FF2B5EF4-FFF2-40B4-BE49-F238E27FC236}">
                  <a16:creationId xmlns:a16="http://schemas.microsoft.com/office/drawing/2014/main" id="{9AB3BC50-3026-4856-8861-180200947FC0}"/>
                </a:ext>
              </a:extLst>
            </xdr:cNvPr>
            <xdr:cNvSpPr txBox="1"/>
          </xdr:nvSpPr>
          <xdr:spPr>
            <a:xfrm>
              <a:off x="11234295" y="7196378"/>
              <a:ext cx="3190145" cy="4032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ROA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Operacional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EBIT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6" name="CuadroTexto 26">
              <a:extLst>
                <a:ext uri="{FF2B5EF4-FFF2-40B4-BE49-F238E27FC236}">
                  <a16:creationId xmlns:a16="http://schemas.microsoft.com/office/drawing/2014/main" id="{9AB3BC50-3026-4856-8861-180200947FC0}"/>
                </a:ext>
              </a:extLst>
            </xdr:cNvPr>
            <xdr:cNvSpPr txBox="1"/>
          </xdr:nvSpPr>
          <xdr:spPr>
            <a:xfrm>
              <a:off x="11234295" y="7196378"/>
              <a:ext cx="3190145" cy="4032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"ROA Operacional = 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"EBIT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Totales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9</xdr:col>
      <xdr:colOff>513339</xdr:colOff>
      <xdr:row>38</xdr:row>
      <xdr:rowOff>35321</xdr:rowOff>
    </xdr:from>
    <xdr:to>
      <xdr:col>12</xdr:col>
      <xdr:colOff>363871</xdr:colOff>
      <xdr:row>40</xdr:row>
      <xdr:rowOff>27172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5">
              <a:extLst>
                <a:ext uri="{FF2B5EF4-FFF2-40B4-BE49-F238E27FC236}">
                  <a16:creationId xmlns:a16="http://schemas.microsoft.com/office/drawing/2014/main" id="{9D04367B-2BF2-4695-B94D-B5E4964FD672}"/>
                </a:ext>
              </a:extLst>
            </xdr:cNvPr>
            <xdr:cNvSpPr txBox="1"/>
          </xdr:nvSpPr>
          <xdr:spPr>
            <a:xfrm>
              <a:off x="11171814" y="8207771"/>
              <a:ext cx="2136532" cy="41095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7" name="CuadroTexto 25">
              <a:extLst>
                <a:ext uri="{FF2B5EF4-FFF2-40B4-BE49-F238E27FC236}">
                  <a16:creationId xmlns:a16="http://schemas.microsoft.com/office/drawing/2014/main" id="{9D04367B-2BF2-4695-B94D-B5E4964FD672}"/>
                </a:ext>
              </a:extLst>
            </xdr:cNvPr>
            <xdr:cNvSpPr txBox="1"/>
          </xdr:nvSpPr>
          <xdr:spPr>
            <a:xfrm>
              <a:off x="11171814" y="8207771"/>
              <a:ext cx="2136532" cy="41095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</a:t>
              </a:r>
              <a:r>
                <a:rPr lang="es-CO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CO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/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rom.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9</xdr:col>
      <xdr:colOff>691560</xdr:colOff>
      <xdr:row>41</xdr:row>
      <xdr:rowOff>94593</xdr:rowOff>
    </xdr:from>
    <xdr:to>
      <xdr:col>18</xdr:col>
      <xdr:colOff>54120</xdr:colOff>
      <xdr:row>42</xdr:row>
      <xdr:rowOff>204318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9">
              <a:extLst>
                <a:ext uri="{FF2B5EF4-FFF2-40B4-BE49-F238E27FC236}">
                  <a16:creationId xmlns:a16="http://schemas.microsoft.com/office/drawing/2014/main" id="{2E3E700B-1B2B-479C-8F6D-490749C7945A}"/>
                </a:ext>
              </a:extLst>
            </xdr:cNvPr>
            <xdr:cNvSpPr txBox="1"/>
          </xdr:nvSpPr>
          <xdr:spPr>
            <a:xfrm>
              <a:off x="11350035" y="8895693"/>
              <a:ext cx="6220560" cy="3192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ROE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2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. </m:t>
                        </m:r>
                        <m:r>
                          <m:rPr>
                            <m:nor/>
                          </m:rPr>
                          <a:rPr lang="es-MX" sz="12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8" name="CuadroTexto 19">
              <a:extLst>
                <a:ext uri="{FF2B5EF4-FFF2-40B4-BE49-F238E27FC236}">
                  <a16:creationId xmlns:a16="http://schemas.microsoft.com/office/drawing/2014/main" id="{2E3E700B-1B2B-479C-8F6D-490749C7945A}"/>
                </a:ext>
              </a:extLst>
            </xdr:cNvPr>
            <xdr:cNvSpPr txBox="1"/>
          </xdr:nvSpPr>
          <xdr:spPr>
            <a:xfrm>
              <a:off x="11350035" y="8895693"/>
              <a:ext cx="6220560" cy="3192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"ROE = " </a:t>
              </a:r>
              <a:r>
                <a:rPr lang="es-MX" sz="12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200" b="0" i="0">
                  <a:latin typeface="Cambria Math" panose="02040503050406030204" pitchFamily="18" charset="0"/>
                </a:rPr>
                <a:t> 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 "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"Prom. Activos Totales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/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2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=" </a:t>
              </a:r>
              <a:r>
                <a:rPr lang="es-MX" sz="12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12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Prom. Patrimonio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558251</xdr:colOff>
      <xdr:row>48</xdr:row>
      <xdr:rowOff>115064</xdr:rowOff>
    </xdr:from>
    <xdr:to>
      <xdr:col>14</xdr:col>
      <xdr:colOff>500173</xdr:colOff>
      <xdr:row>50</xdr:row>
      <xdr:rowOff>30885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65618078-D93D-4028-BF00-FA9482B3434D}"/>
                </a:ext>
              </a:extLst>
            </xdr:cNvPr>
            <xdr:cNvSpPr txBox="1"/>
          </xdr:nvSpPr>
          <xdr:spPr>
            <a:xfrm>
              <a:off x="11467551" y="9868664"/>
              <a:ext cx="3910672" cy="3222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65618078-D93D-4028-BF00-FA9482B3434D}"/>
                </a:ext>
              </a:extLst>
            </xdr:cNvPr>
            <xdr:cNvSpPr txBox="1"/>
          </xdr:nvSpPr>
          <xdr:spPr>
            <a:xfrm>
              <a:off x="11467551" y="9868664"/>
              <a:ext cx="3910672" cy="3222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683966</xdr:colOff>
      <xdr:row>46</xdr:row>
      <xdr:rowOff>184150</xdr:rowOff>
    </xdr:from>
    <xdr:to>
      <xdr:col>14</xdr:col>
      <xdr:colOff>704940</xdr:colOff>
      <xdr:row>47</xdr:row>
      <xdr:rowOff>137724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1">
              <a:extLst>
                <a:ext uri="{FF2B5EF4-FFF2-40B4-BE49-F238E27FC236}">
                  <a16:creationId xmlns:a16="http://schemas.microsoft.com/office/drawing/2014/main" id="{CCFD029C-7D39-460F-B745-A4A1F31236A7}"/>
                </a:ext>
              </a:extLst>
            </xdr:cNvPr>
            <xdr:cNvSpPr txBox="1"/>
          </xdr:nvSpPr>
          <xdr:spPr>
            <a:xfrm>
              <a:off x="11593266" y="9531350"/>
              <a:ext cx="39897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0" name="CuadroTexto 11">
              <a:extLst>
                <a:ext uri="{FF2B5EF4-FFF2-40B4-BE49-F238E27FC236}">
                  <a16:creationId xmlns:a16="http://schemas.microsoft.com/office/drawing/2014/main" id="{CCFD029C-7D39-460F-B745-A4A1F31236A7}"/>
                </a:ext>
              </a:extLst>
            </xdr:cNvPr>
            <xdr:cNvSpPr txBox="1"/>
          </xdr:nvSpPr>
          <xdr:spPr>
            <a:xfrm>
              <a:off x="11593266" y="9531350"/>
              <a:ext cx="398972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419100</xdr:colOff>
      <xdr:row>51</xdr:row>
      <xdr:rowOff>458</xdr:rowOff>
    </xdr:from>
    <xdr:to>
      <xdr:col>14</xdr:col>
      <xdr:colOff>694937</xdr:colOff>
      <xdr:row>52</xdr:row>
      <xdr:rowOff>112952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13">
              <a:extLst>
                <a:ext uri="{FF2B5EF4-FFF2-40B4-BE49-F238E27FC236}">
                  <a16:creationId xmlns:a16="http://schemas.microsoft.com/office/drawing/2014/main" id="{CEF85429-87BF-4614-8EFB-8C9E4455168B}"/>
                </a:ext>
              </a:extLst>
            </xdr:cNvPr>
            <xdr:cNvSpPr txBox="1"/>
          </xdr:nvSpPr>
          <xdr:spPr>
            <a:xfrm>
              <a:off x="11328400" y="10363658"/>
              <a:ext cx="4244587" cy="3156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1" name="CuadroTexto 13">
              <a:extLst>
                <a:ext uri="{FF2B5EF4-FFF2-40B4-BE49-F238E27FC236}">
                  <a16:creationId xmlns:a16="http://schemas.microsoft.com/office/drawing/2014/main" id="{CEF85429-87BF-4614-8EFB-8C9E4455168B}"/>
                </a:ext>
              </a:extLst>
            </xdr:cNvPr>
            <xdr:cNvSpPr txBox="1"/>
          </xdr:nvSpPr>
          <xdr:spPr>
            <a:xfrm>
              <a:off x="11328400" y="10363658"/>
              <a:ext cx="4244587" cy="31569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570089</xdr:colOff>
      <xdr:row>54</xdr:row>
      <xdr:rowOff>76200</xdr:rowOff>
    </xdr:from>
    <xdr:to>
      <xdr:col>13</xdr:col>
      <xdr:colOff>732591</xdr:colOff>
      <xdr:row>55</xdr:row>
      <xdr:rowOff>166424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14">
              <a:extLst>
                <a:ext uri="{FF2B5EF4-FFF2-40B4-BE49-F238E27FC236}">
                  <a16:creationId xmlns:a16="http://schemas.microsoft.com/office/drawing/2014/main" id="{317CCBC9-8362-40C6-889C-554236A4E995}"/>
                </a:ext>
              </a:extLst>
            </xdr:cNvPr>
            <xdr:cNvSpPr txBox="1"/>
          </xdr:nvSpPr>
          <xdr:spPr>
            <a:xfrm>
              <a:off x="11549239" y="11049000"/>
              <a:ext cx="3337502" cy="2934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2" name="CuadroTexto 14">
              <a:extLst>
                <a:ext uri="{FF2B5EF4-FFF2-40B4-BE49-F238E27FC236}">
                  <a16:creationId xmlns:a16="http://schemas.microsoft.com/office/drawing/2014/main" id="{317CCBC9-8362-40C6-889C-554236A4E995}"/>
                </a:ext>
              </a:extLst>
            </xdr:cNvPr>
            <xdr:cNvSpPr txBox="1"/>
          </xdr:nvSpPr>
          <xdr:spPr>
            <a:xfrm>
              <a:off x="11549239" y="11049000"/>
              <a:ext cx="3337502" cy="2934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565150</xdr:colOff>
      <xdr:row>56</xdr:row>
      <xdr:rowOff>183224</xdr:rowOff>
    </xdr:from>
    <xdr:to>
      <xdr:col>13</xdr:col>
      <xdr:colOff>558408</xdr:colOff>
      <xdr:row>59</xdr:row>
      <xdr:rowOff>51450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12">
              <a:extLst>
                <a:ext uri="{FF2B5EF4-FFF2-40B4-BE49-F238E27FC236}">
                  <a16:creationId xmlns:a16="http://schemas.microsoft.com/office/drawing/2014/main" id="{0282A36D-2A6E-4A19-BD84-28AC78A660CE}"/>
                </a:ext>
              </a:extLst>
            </xdr:cNvPr>
            <xdr:cNvSpPr txBox="1"/>
          </xdr:nvSpPr>
          <xdr:spPr>
            <a:xfrm>
              <a:off x="11544300" y="11562424"/>
              <a:ext cx="3168258" cy="4778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3" name="CuadroTexto 12">
              <a:extLst>
                <a:ext uri="{FF2B5EF4-FFF2-40B4-BE49-F238E27FC236}">
                  <a16:creationId xmlns:a16="http://schemas.microsoft.com/office/drawing/2014/main" id="{0282A36D-2A6E-4A19-BD84-28AC78A660CE}"/>
                </a:ext>
              </a:extLst>
            </xdr:cNvPr>
            <xdr:cNvSpPr txBox="1"/>
          </xdr:nvSpPr>
          <xdr:spPr>
            <a:xfrm>
              <a:off x="11544300" y="11562424"/>
              <a:ext cx="3168258" cy="4778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571500</xdr:colOff>
      <xdr:row>59</xdr:row>
      <xdr:rowOff>63500</xdr:rowOff>
    </xdr:from>
    <xdr:to>
      <xdr:col>14</xdr:col>
      <xdr:colOff>675057</xdr:colOff>
      <xdr:row>61</xdr:row>
      <xdr:rowOff>71301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15">
              <a:extLst>
                <a:ext uri="{FF2B5EF4-FFF2-40B4-BE49-F238E27FC236}">
                  <a16:creationId xmlns:a16="http://schemas.microsoft.com/office/drawing/2014/main" id="{CA684419-C427-4A33-A6A4-2E13CEA026F5}"/>
                </a:ext>
              </a:extLst>
            </xdr:cNvPr>
            <xdr:cNvSpPr txBox="1"/>
          </xdr:nvSpPr>
          <xdr:spPr>
            <a:xfrm>
              <a:off x="11550650" y="12052300"/>
              <a:ext cx="4072307" cy="4142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4" name="CuadroTexto 15">
              <a:extLst>
                <a:ext uri="{FF2B5EF4-FFF2-40B4-BE49-F238E27FC236}">
                  <a16:creationId xmlns:a16="http://schemas.microsoft.com/office/drawing/2014/main" id="{CA684419-C427-4A33-A6A4-2E13CEA026F5}"/>
                </a:ext>
              </a:extLst>
            </xdr:cNvPr>
            <xdr:cNvSpPr txBox="1"/>
          </xdr:nvSpPr>
          <xdr:spPr>
            <a:xfrm>
              <a:off x="11550650" y="12052300"/>
              <a:ext cx="4072307" cy="4142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710294</xdr:colOff>
      <xdr:row>61</xdr:row>
      <xdr:rowOff>88991</xdr:rowOff>
    </xdr:from>
    <xdr:to>
      <xdr:col>14</xdr:col>
      <xdr:colOff>555853</xdr:colOff>
      <xdr:row>62</xdr:row>
      <xdr:rowOff>190166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13">
              <a:extLst>
                <a:ext uri="{FF2B5EF4-FFF2-40B4-BE49-F238E27FC236}">
                  <a16:creationId xmlns:a16="http://schemas.microsoft.com/office/drawing/2014/main" id="{E5B4C173-E2F3-4C62-A84C-BF7CF6809EC8}"/>
                </a:ext>
              </a:extLst>
            </xdr:cNvPr>
            <xdr:cNvSpPr txBox="1"/>
          </xdr:nvSpPr>
          <xdr:spPr>
            <a:xfrm>
              <a:off x="11689444" y="12484191"/>
              <a:ext cx="3814309" cy="3043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5" name="CuadroTexto 13">
              <a:extLst>
                <a:ext uri="{FF2B5EF4-FFF2-40B4-BE49-F238E27FC236}">
                  <a16:creationId xmlns:a16="http://schemas.microsoft.com/office/drawing/2014/main" id="{E5B4C173-E2F3-4C62-A84C-BF7CF6809EC8}"/>
                </a:ext>
              </a:extLst>
            </xdr:cNvPr>
            <xdr:cNvSpPr txBox="1"/>
          </xdr:nvSpPr>
          <xdr:spPr>
            <a:xfrm>
              <a:off x="11689444" y="12484191"/>
              <a:ext cx="3814309" cy="3043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622300</xdr:colOff>
      <xdr:row>64</xdr:row>
      <xdr:rowOff>88900</xdr:rowOff>
    </xdr:from>
    <xdr:to>
      <xdr:col>15</xdr:col>
      <xdr:colOff>38074</xdr:colOff>
      <xdr:row>65</xdr:row>
      <xdr:rowOff>42474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1">
              <a:extLst>
                <a:ext uri="{FF2B5EF4-FFF2-40B4-BE49-F238E27FC236}">
                  <a16:creationId xmlns:a16="http://schemas.microsoft.com/office/drawing/2014/main" id="{205152E3-E247-48B4-9072-F57B98EC85A7}"/>
                </a:ext>
              </a:extLst>
            </xdr:cNvPr>
            <xdr:cNvSpPr txBox="1"/>
          </xdr:nvSpPr>
          <xdr:spPr>
            <a:xfrm>
              <a:off x="11601450" y="13093700"/>
              <a:ext cx="417827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6" name="CuadroTexto 1">
              <a:extLst>
                <a:ext uri="{FF2B5EF4-FFF2-40B4-BE49-F238E27FC236}">
                  <a16:creationId xmlns:a16="http://schemas.microsoft.com/office/drawing/2014/main" id="{205152E3-E247-48B4-9072-F57B98EC85A7}"/>
                </a:ext>
              </a:extLst>
            </xdr:cNvPr>
            <xdr:cNvSpPr txBox="1"/>
          </xdr:nvSpPr>
          <xdr:spPr>
            <a:xfrm>
              <a:off x="11601450" y="13093700"/>
              <a:ext cx="4178274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BA36-48E2-495E-887F-9F9597643284}">
  <dimension ref="A1:K130"/>
  <sheetViews>
    <sheetView tabSelected="1" zoomScale="120" zoomScaleNormal="120" workbookViewId="0"/>
  </sheetViews>
  <sheetFormatPr baseColWidth="10" defaultRowHeight="14.4" x14ac:dyDescent="0.3"/>
  <cols>
    <col min="1" max="1" width="44.6640625" customWidth="1"/>
    <col min="2" max="5" width="20.88671875" customWidth="1"/>
    <col min="6" max="6" width="12" customWidth="1"/>
    <col min="7" max="7" width="30.109375" bestFit="1" customWidth="1"/>
    <col min="8" max="8" width="22.6640625" bestFit="1" customWidth="1"/>
    <col min="9" max="9" width="19.88671875" customWidth="1"/>
  </cols>
  <sheetData>
    <row r="1" spans="1:9" ht="16.2" x14ac:dyDescent="0.3">
      <c r="A1" s="3" t="s">
        <v>50</v>
      </c>
    </row>
    <row r="2" spans="1:9" ht="16.2" x14ac:dyDescent="0.3">
      <c r="A2" s="9" t="s">
        <v>51</v>
      </c>
    </row>
    <row r="3" spans="1:9" ht="16.2" x14ac:dyDescent="0.3">
      <c r="A3" s="4" t="s">
        <v>20</v>
      </c>
    </row>
    <row r="4" spans="1:9" ht="16.2" x14ac:dyDescent="0.3">
      <c r="A4" s="4"/>
      <c r="B4" s="5" t="s">
        <v>48</v>
      </c>
      <c r="C4" s="5" t="s">
        <v>49</v>
      </c>
      <c r="D4" s="5" t="s">
        <v>100</v>
      </c>
      <c r="E4" s="5" t="s">
        <v>96</v>
      </c>
      <c r="F4" s="5" t="s">
        <v>97</v>
      </c>
      <c r="G4" s="35" t="s">
        <v>21</v>
      </c>
      <c r="H4" s="35"/>
      <c r="I4" s="35"/>
    </row>
    <row r="5" spans="1:9" ht="16.2" x14ac:dyDescent="0.3">
      <c r="A5" s="4" t="s">
        <v>9</v>
      </c>
      <c r="B5" s="6">
        <v>476940968</v>
      </c>
      <c r="C5" s="6">
        <v>285177786</v>
      </c>
      <c r="D5" s="29">
        <f>+C5/$C$24</f>
        <v>3.8117346042435413E-2</v>
      </c>
      <c r="E5" s="6">
        <f>+C5-B5</f>
        <v>-191763182</v>
      </c>
      <c r="F5" s="29">
        <f>+C5/B5-1</f>
        <v>-0.40206900825512648</v>
      </c>
      <c r="H5" s="5" t="s">
        <v>48</v>
      </c>
      <c r="I5" s="5" t="s">
        <v>49</v>
      </c>
    </row>
    <row r="6" spans="1:9" ht="16.2" x14ac:dyDescent="0.3">
      <c r="A6" s="4" t="s">
        <v>52</v>
      </c>
      <c r="B6" s="6">
        <v>534184892</v>
      </c>
      <c r="C6" s="6">
        <v>632954320</v>
      </c>
      <c r="D6" s="29">
        <f t="shared" ref="D6:D41" si="0">+C6/$C$24</f>
        <v>8.4601746801184569E-2</v>
      </c>
      <c r="E6" s="6">
        <f t="shared" ref="E6:E41" si="1">+C6-B6</f>
        <v>98769428</v>
      </c>
      <c r="F6" s="28">
        <f t="shared" ref="F6:F41" si="2">+C6/B6-1</f>
        <v>0.18489745681538294</v>
      </c>
      <c r="G6" s="4" t="s">
        <v>22</v>
      </c>
      <c r="H6" s="8">
        <f>+B13/B30</f>
        <v>1.7398072681076848</v>
      </c>
      <c r="I6" s="8">
        <f>+C13/C30</f>
        <v>1.1045141072238618</v>
      </c>
    </row>
    <row r="7" spans="1:9" ht="16.2" x14ac:dyDescent="0.3">
      <c r="A7" s="4" t="s">
        <v>53</v>
      </c>
      <c r="B7" s="6">
        <v>63793766</v>
      </c>
      <c r="C7" s="6">
        <v>202913814</v>
      </c>
      <c r="D7" s="29">
        <f t="shared" si="0"/>
        <v>2.7121804168254451E-2</v>
      </c>
      <c r="E7" s="6">
        <f t="shared" si="1"/>
        <v>139120048</v>
      </c>
      <c r="F7" s="29">
        <f t="shared" si="2"/>
        <v>2.1807781029889348</v>
      </c>
      <c r="G7" s="4" t="s">
        <v>23</v>
      </c>
      <c r="H7" s="8">
        <f>+(B5+B6)/B30</f>
        <v>0.91777709923774986</v>
      </c>
      <c r="I7" s="8">
        <f>+(C5+C6)/C30</f>
        <v>0.39479398793925602</v>
      </c>
    </row>
    <row r="8" spans="1:9" ht="16.2" x14ac:dyDescent="0.3">
      <c r="A8" s="4" t="s">
        <v>10</v>
      </c>
      <c r="B8" s="6">
        <v>705677944</v>
      </c>
      <c r="C8" s="6">
        <v>1000487839</v>
      </c>
      <c r="D8" s="29">
        <f t="shared" si="0"/>
        <v>0.13372689964852805</v>
      </c>
      <c r="E8" s="6">
        <f t="shared" si="1"/>
        <v>294809895</v>
      </c>
      <c r="F8" s="28">
        <f t="shared" si="2"/>
        <v>0.4177683283240039</v>
      </c>
      <c r="G8" s="4" t="s">
        <v>116</v>
      </c>
      <c r="H8" s="6">
        <f>+B13-B30</f>
        <v>815054397</v>
      </c>
      <c r="I8" s="6">
        <f>+C13-C30</f>
        <v>243057798</v>
      </c>
    </row>
    <row r="9" spans="1:9" ht="16.2" x14ac:dyDescent="0.3">
      <c r="A9" s="4" t="s">
        <v>54</v>
      </c>
      <c r="B9" s="6">
        <v>62860313</v>
      </c>
      <c r="C9" s="6">
        <v>90153305</v>
      </c>
      <c r="D9" s="29">
        <f t="shared" si="0"/>
        <v>1.2050043489552244E-2</v>
      </c>
      <c r="E9" s="6">
        <f t="shared" si="1"/>
        <v>27292992</v>
      </c>
      <c r="F9" s="29">
        <f t="shared" si="2"/>
        <v>0.43418479319375969</v>
      </c>
      <c r="G9" s="9" t="s">
        <v>24</v>
      </c>
      <c r="H9" s="8">
        <f>+(B5+B6+B8)/B34</f>
        <v>0.64539101165388324</v>
      </c>
      <c r="I9" s="8">
        <f>+(C5+C6+C8)/C34</f>
        <v>0.89333639415590393</v>
      </c>
    </row>
    <row r="10" spans="1:9" ht="16.2" x14ac:dyDescent="0.3">
      <c r="A10" s="4" t="s">
        <v>55</v>
      </c>
      <c r="B10" s="6">
        <v>59746535</v>
      </c>
      <c r="C10" s="6">
        <v>61656049</v>
      </c>
      <c r="D10" s="29">
        <f t="shared" si="0"/>
        <v>8.2410519707953479E-3</v>
      </c>
      <c r="E10" s="6">
        <f t="shared" si="1"/>
        <v>1909514</v>
      </c>
      <c r="F10" s="29">
        <f t="shared" si="2"/>
        <v>3.1960246732300135E-2</v>
      </c>
    </row>
    <row r="11" spans="1:9" ht="16.2" x14ac:dyDescent="0.3">
      <c r="A11" s="4" t="s">
        <v>56</v>
      </c>
      <c r="B11" s="6">
        <v>11907893</v>
      </c>
      <c r="C11" s="6">
        <v>294917718</v>
      </c>
      <c r="D11" s="29">
        <f t="shared" si="0"/>
        <v>3.9419201855544893E-2</v>
      </c>
      <c r="E11" s="6">
        <f t="shared" si="1"/>
        <v>283009825</v>
      </c>
      <c r="F11" s="29">
        <f t="shared" si="2"/>
        <v>23.766574405732399</v>
      </c>
      <c r="G11" s="35" t="s">
        <v>25</v>
      </c>
      <c r="H11" s="35"/>
      <c r="I11" s="35"/>
    </row>
    <row r="12" spans="1:9" ht="16.2" x14ac:dyDescent="0.3">
      <c r="A12" s="4" t="s">
        <v>14</v>
      </c>
      <c r="B12" s="6">
        <v>1653886</v>
      </c>
      <c r="C12" s="6">
        <v>394960</v>
      </c>
      <c r="D12" s="29">
        <f t="shared" si="0"/>
        <v>5.2791022765427777E-5</v>
      </c>
      <c r="E12" s="6">
        <f t="shared" si="1"/>
        <v>-1258926</v>
      </c>
      <c r="F12" s="29">
        <f t="shared" si="2"/>
        <v>-0.76119273033328771</v>
      </c>
      <c r="H12" s="5" t="s">
        <v>48</v>
      </c>
      <c r="I12" s="5" t="s">
        <v>49</v>
      </c>
    </row>
    <row r="13" spans="1:9" ht="16.2" x14ac:dyDescent="0.3">
      <c r="A13" s="3" t="s">
        <v>11</v>
      </c>
      <c r="B13" s="7">
        <f>SUM(B5:B12)</f>
        <v>1916766197</v>
      </c>
      <c r="C13" s="7">
        <f>SUM(C5:C12)</f>
        <v>2568655791</v>
      </c>
      <c r="D13" s="15">
        <f t="shared" si="0"/>
        <v>0.34333088499906039</v>
      </c>
      <c r="E13" s="7">
        <f t="shared" si="1"/>
        <v>651889594</v>
      </c>
      <c r="F13" s="15">
        <f t="shared" si="2"/>
        <v>0.34009864897466158</v>
      </c>
      <c r="G13" s="4" t="s">
        <v>26</v>
      </c>
      <c r="H13" s="8">
        <f>+B35/B24</f>
        <v>0.59364624982567749</v>
      </c>
      <c r="I13" s="8">
        <f>+C35/C24</f>
        <v>0.59790879385058071</v>
      </c>
    </row>
    <row r="14" spans="1:9" ht="16.2" x14ac:dyDescent="0.3">
      <c r="A14" s="4" t="s">
        <v>57</v>
      </c>
      <c r="B14" s="6">
        <v>2040095</v>
      </c>
      <c r="C14" s="6">
        <v>2040095</v>
      </c>
      <c r="D14" s="29">
        <f t="shared" si="0"/>
        <v>2.7268255415392793E-4</v>
      </c>
      <c r="E14" s="6">
        <f t="shared" si="1"/>
        <v>0</v>
      </c>
      <c r="F14" s="29">
        <f t="shared" si="2"/>
        <v>0</v>
      </c>
      <c r="G14" s="4" t="s">
        <v>27</v>
      </c>
      <c r="H14" s="6">
        <f>+B25+B31</f>
        <v>2483981092</v>
      </c>
      <c r="I14" s="6">
        <f>+C25+C31</f>
        <v>3003803376</v>
      </c>
    </row>
    <row r="15" spans="1:9" ht="16.2" x14ac:dyDescent="0.3">
      <c r="A15" s="4" t="s">
        <v>52</v>
      </c>
      <c r="B15" s="6">
        <v>5667501</v>
      </c>
      <c r="C15" s="6">
        <v>16998747</v>
      </c>
      <c r="D15" s="29">
        <f t="shared" si="0"/>
        <v>2.2720813243385335E-3</v>
      </c>
      <c r="E15" s="6">
        <f t="shared" si="1"/>
        <v>11331246</v>
      </c>
      <c r="F15" s="29">
        <f t="shared" si="2"/>
        <v>1.9993372740472388</v>
      </c>
      <c r="G15" s="4" t="s">
        <v>28</v>
      </c>
      <c r="H15" s="8">
        <f>+H14/B24</f>
        <v>0.39199370942896167</v>
      </c>
      <c r="I15" s="8">
        <f>+AVERAGE(B35:C35)/AVERAGE(B41:C41)</f>
        <v>1.4749662594245392</v>
      </c>
    </row>
    <row r="16" spans="1:9" ht="16.2" x14ac:dyDescent="0.3">
      <c r="A16" s="4" t="s">
        <v>54</v>
      </c>
      <c r="B16" s="6">
        <v>1857608</v>
      </c>
      <c r="C16" s="6">
        <v>1108202</v>
      </c>
      <c r="D16" s="29">
        <f t="shared" si="0"/>
        <v>1.4812415690371834E-4</v>
      </c>
      <c r="E16" s="6">
        <f t="shared" si="1"/>
        <v>-749406</v>
      </c>
      <c r="F16" s="29">
        <f t="shared" si="2"/>
        <v>-0.40342526517973654</v>
      </c>
      <c r="G16" s="9" t="s">
        <v>29</v>
      </c>
      <c r="I16" s="10">
        <f>+AVERAGE(B35:C35)/AVERAGE(B41:C41)</f>
        <v>1.4749662594245392</v>
      </c>
    </row>
    <row r="17" spans="1:10" ht="16.2" x14ac:dyDescent="0.3">
      <c r="A17" s="4" t="s">
        <v>58</v>
      </c>
      <c r="B17" s="6">
        <v>1598862082</v>
      </c>
      <c r="C17" s="6">
        <v>1902573026</v>
      </c>
      <c r="D17" s="29">
        <f t="shared" si="0"/>
        <v>0.2543011341109348</v>
      </c>
      <c r="E17" s="6">
        <f t="shared" si="1"/>
        <v>303710944</v>
      </c>
      <c r="F17" s="29">
        <f t="shared" si="2"/>
        <v>0.18995443535698286</v>
      </c>
      <c r="G17" s="9" t="s">
        <v>30</v>
      </c>
      <c r="I17" s="8">
        <f>+AVERAGE(H14:I14)/AVERAGE(B41:C41)</f>
        <v>0.98290088196937297</v>
      </c>
    </row>
    <row r="18" spans="1:10" ht="16.2" x14ac:dyDescent="0.3">
      <c r="A18" s="4" t="s">
        <v>59</v>
      </c>
      <c r="B18" s="6">
        <v>263677720</v>
      </c>
      <c r="C18" s="6">
        <v>266929040</v>
      </c>
      <c r="D18" s="29">
        <f t="shared" si="0"/>
        <v>3.5678187733931999E-2</v>
      </c>
      <c r="E18" s="6">
        <f t="shared" si="1"/>
        <v>3251320</v>
      </c>
      <c r="F18" s="29">
        <f t="shared" si="2"/>
        <v>1.2330658805757233E-2</v>
      </c>
      <c r="G18" s="9" t="s">
        <v>31</v>
      </c>
      <c r="H18" s="10">
        <f>+B51/-B53</f>
        <v>3.6480805582497902</v>
      </c>
      <c r="I18" s="10">
        <f>+C51/-C53</f>
        <v>2.3076295981333863</v>
      </c>
    </row>
    <row r="19" spans="1:10" ht="16.2" x14ac:dyDescent="0.3">
      <c r="A19" s="4" t="s">
        <v>60</v>
      </c>
      <c r="B19" s="6">
        <v>228932471</v>
      </c>
      <c r="C19" s="6">
        <v>228932471</v>
      </c>
      <c r="D19" s="29">
        <f t="shared" si="0"/>
        <v>3.059950194527708E-2</v>
      </c>
      <c r="E19" s="6">
        <f t="shared" si="1"/>
        <v>0</v>
      </c>
      <c r="F19" s="29">
        <f t="shared" si="2"/>
        <v>0</v>
      </c>
      <c r="G19" s="9" t="s">
        <v>32</v>
      </c>
      <c r="H19" s="10">
        <f>+B62/-B53</f>
        <v>4.6165887351216517</v>
      </c>
      <c r="I19" s="10">
        <f>+C62/-C53</f>
        <v>2.7769977168131246</v>
      </c>
    </row>
    <row r="20" spans="1:10" ht="16.2" x14ac:dyDescent="0.3">
      <c r="A20" s="4" t="s">
        <v>61</v>
      </c>
      <c r="B20" s="6">
        <v>2123183085</v>
      </c>
      <c r="C20" s="6">
        <v>2256218589</v>
      </c>
      <c r="D20" s="28">
        <f t="shared" si="0"/>
        <v>0.30156999922949246</v>
      </c>
      <c r="E20" s="6">
        <f t="shared" si="1"/>
        <v>133035504</v>
      </c>
      <c r="F20" s="29">
        <f t="shared" si="2"/>
        <v>6.2658517270544278E-2</v>
      </c>
      <c r="G20" s="9" t="s">
        <v>33</v>
      </c>
      <c r="H20" s="12">
        <f>+-B53/B44</f>
        <v>9.5759632441221928E-3</v>
      </c>
      <c r="I20" s="12">
        <f>+-C53/C44</f>
        <v>1.3342658508383693E-2</v>
      </c>
    </row>
    <row r="21" spans="1:10" ht="16.2" x14ac:dyDescent="0.3">
      <c r="A21" s="4" t="s">
        <v>12</v>
      </c>
      <c r="B21" s="6">
        <v>5450983</v>
      </c>
      <c r="C21" s="6">
        <v>3171767</v>
      </c>
      <c r="D21" s="29">
        <f t="shared" si="0"/>
        <v>4.2394375102195809E-4</v>
      </c>
      <c r="E21" s="6">
        <f t="shared" si="1"/>
        <v>-2279216</v>
      </c>
      <c r="F21" s="29">
        <f t="shared" si="2"/>
        <v>-0.41812935391653216</v>
      </c>
      <c r="G21" s="11" t="s">
        <v>34</v>
      </c>
      <c r="H21" s="1"/>
      <c r="I21" s="1"/>
    </row>
    <row r="22" spans="1:10" ht="16.2" x14ac:dyDescent="0.3">
      <c r="A22" s="4" t="s">
        <v>55</v>
      </c>
      <c r="B22" s="6">
        <v>190350406</v>
      </c>
      <c r="C22" s="6">
        <v>234947345</v>
      </c>
      <c r="D22" s="29">
        <f t="shared" si="0"/>
        <v>3.1403460194885088E-2</v>
      </c>
      <c r="E22" s="6">
        <f t="shared" si="1"/>
        <v>44596939</v>
      </c>
      <c r="F22" s="29">
        <f t="shared" si="2"/>
        <v>0.23428864659211701</v>
      </c>
      <c r="G22" s="11" t="s">
        <v>35</v>
      </c>
    </row>
    <row r="23" spans="1:10" ht="16.2" x14ac:dyDescent="0.3">
      <c r="A23" s="3" t="s">
        <v>13</v>
      </c>
      <c r="B23" s="7">
        <f>SUM(B14:B22)</f>
        <v>4420021951</v>
      </c>
      <c r="C23" s="7">
        <f>SUM(C14:C22)</f>
        <v>4912919282</v>
      </c>
      <c r="D23" s="15">
        <f t="shared" si="0"/>
        <v>0.65666911500093961</v>
      </c>
      <c r="E23" s="7">
        <f t="shared" si="1"/>
        <v>492897331</v>
      </c>
      <c r="F23" s="15">
        <f t="shared" si="2"/>
        <v>0.11151467944372651</v>
      </c>
      <c r="G23" s="35" t="s">
        <v>36</v>
      </c>
      <c r="H23" s="35"/>
      <c r="I23" s="35"/>
    </row>
    <row r="24" spans="1:10" ht="16.2" x14ac:dyDescent="0.3">
      <c r="A24" s="3" t="s">
        <v>15</v>
      </c>
      <c r="B24" s="7">
        <f>+B13+B23</f>
        <v>6336788148</v>
      </c>
      <c r="C24" s="7">
        <f>+C13+C23</f>
        <v>7481575073</v>
      </c>
      <c r="D24" s="15">
        <f t="shared" si="0"/>
        <v>1</v>
      </c>
      <c r="E24" s="7">
        <f t="shared" si="1"/>
        <v>1144786925</v>
      </c>
      <c r="F24" s="15">
        <f t="shared" si="2"/>
        <v>0.18065728224815514</v>
      </c>
      <c r="H24" s="5" t="s">
        <v>48</v>
      </c>
      <c r="I24" s="5" t="s">
        <v>49</v>
      </c>
    </row>
    <row r="25" spans="1:10" ht="16.2" x14ac:dyDescent="0.3">
      <c r="A25" s="4" t="s">
        <v>62</v>
      </c>
      <c r="B25" s="6">
        <v>99354226</v>
      </c>
      <c r="C25" s="6">
        <v>1137051224</v>
      </c>
      <c r="D25" s="29">
        <f t="shared" si="0"/>
        <v>0.15198019306168098</v>
      </c>
      <c r="E25" s="6">
        <f t="shared" si="1"/>
        <v>1037696998</v>
      </c>
      <c r="F25" s="29">
        <f t="shared" si="2"/>
        <v>10.444417311448836</v>
      </c>
      <c r="G25" s="9" t="s">
        <v>37</v>
      </c>
      <c r="H25" s="12">
        <f>+B46/B44</f>
        <v>8.6681942569775142E-2</v>
      </c>
      <c r="I25" s="12">
        <f>+C46/C44</f>
        <v>7.532123897461275E-2</v>
      </c>
    </row>
    <row r="26" spans="1:10" ht="16.2" x14ac:dyDescent="0.3">
      <c r="A26" s="4" t="s">
        <v>63</v>
      </c>
      <c r="B26" s="6">
        <v>780908962</v>
      </c>
      <c r="C26" s="6">
        <v>922289980</v>
      </c>
      <c r="D26" s="29">
        <f t="shared" si="0"/>
        <v>0.12327484132698484</v>
      </c>
      <c r="E26" s="6">
        <f t="shared" si="1"/>
        <v>141381018</v>
      </c>
      <c r="F26" s="28">
        <f t="shared" si="2"/>
        <v>0.18104673512506064</v>
      </c>
      <c r="G26" s="9" t="s">
        <v>38</v>
      </c>
      <c r="H26" s="12">
        <f>+B51/B44</f>
        <v>3.4933885337396761E-2</v>
      </c>
      <c r="I26" s="12">
        <f>+C51/C44</f>
        <v>3.0789913691732469E-2</v>
      </c>
    </row>
    <row r="27" spans="1:10" ht="16.2" x14ac:dyDescent="0.3">
      <c r="A27" s="4" t="s">
        <v>64</v>
      </c>
      <c r="B27" s="6">
        <v>24062912</v>
      </c>
      <c r="C27" s="6">
        <v>21813398</v>
      </c>
      <c r="D27" s="29">
        <f t="shared" si="0"/>
        <v>2.9156157342752095E-3</v>
      </c>
      <c r="E27" s="6">
        <f t="shared" si="1"/>
        <v>-2249514</v>
      </c>
      <c r="F27" s="29">
        <f t="shared" si="2"/>
        <v>-9.3484695451656052E-2</v>
      </c>
      <c r="G27" s="9" t="s">
        <v>39</v>
      </c>
      <c r="H27" s="6">
        <f>+B62</f>
        <v>743738059</v>
      </c>
      <c r="I27" s="6">
        <f>+C62</f>
        <v>869472134</v>
      </c>
      <c r="J27" s="1"/>
    </row>
    <row r="28" spans="1:10" ht="16.2" x14ac:dyDescent="0.3">
      <c r="A28" s="4" t="s">
        <v>65</v>
      </c>
      <c r="B28" s="6">
        <v>197368744</v>
      </c>
      <c r="C28" s="6">
        <v>244417532</v>
      </c>
      <c r="D28" s="29">
        <f t="shared" si="0"/>
        <v>3.2669261434276058E-2</v>
      </c>
      <c r="E28" s="6">
        <f t="shared" si="1"/>
        <v>47048788</v>
      </c>
      <c r="F28" s="29">
        <f t="shared" si="2"/>
        <v>0.2383801358131965</v>
      </c>
      <c r="G28" s="9" t="s">
        <v>40</v>
      </c>
      <c r="H28" s="12">
        <f>+H27/B44</f>
        <v>4.4208284040753505E-2</v>
      </c>
      <c r="I28" s="12">
        <f>+I27/C44</f>
        <v>3.7052532213998728E-2</v>
      </c>
    </row>
    <row r="29" spans="1:10" ht="16.2" x14ac:dyDescent="0.3">
      <c r="A29" s="4" t="s">
        <v>66</v>
      </c>
      <c r="B29" s="6">
        <v>16956</v>
      </c>
      <c r="C29" s="6">
        <v>25859</v>
      </c>
      <c r="D29" s="29">
        <f t="shared" si="0"/>
        <v>3.4563577519019569E-6</v>
      </c>
      <c r="E29" s="6">
        <f t="shared" si="1"/>
        <v>8903</v>
      </c>
      <c r="F29" s="29">
        <f t="shared" si="2"/>
        <v>0.52506487379098843</v>
      </c>
      <c r="G29" s="9" t="s">
        <v>41</v>
      </c>
      <c r="H29" s="12">
        <f>+B58/B44</f>
        <v>2.2333147669567465E-2</v>
      </c>
      <c r="I29" s="12">
        <f>+C58/C44</f>
        <v>1.4208323702239165E-2</v>
      </c>
    </row>
    <row r="30" spans="1:10" ht="16.2" x14ac:dyDescent="0.3">
      <c r="A30" s="3" t="s">
        <v>16</v>
      </c>
      <c r="B30" s="7">
        <f>SUM(B25:B29)</f>
        <v>1101711800</v>
      </c>
      <c r="C30" s="7">
        <f>SUM(C25:C29)</f>
        <v>2325597993</v>
      </c>
      <c r="D30" s="15">
        <f t="shared" si="0"/>
        <v>0.31084336791496897</v>
      </c>
      <c r="E30" s="7">
        <f t="shared" si="1"/>
        <v>1223886193</v>
      </c>
      <c r="F30" s="15">
        <f t="shared" si="2"/>
        <v>1.1108950571283707</v>
      </c>
    </row>
    <row r="31" spans="1:10" ht="16.2" x14ac:dyDescent="0.3">
      <c r="A31" s="4" t="s">
        <v>62</v>
      </c>
      <c r="B31" s="6">
        <v>2384626866</v>
      </c>
      <c r="C31" s="6">
        <v>1866752152</v>
      </c>
      <c r="D31" s="29">
        <f t="shared" si="0"/>
        <v>0.24951325540217567</v>
      </c>
      <c r="E31" s="6">
        <f t="shared" si="1"/>
        <v>-517874714</v>
      </c>
      <c r="F31" s="29">
        <f t="shared" si="2"/>
        <v>-0.21717222152608251</v>
      </c>
      <c r="G31" s="9" t="s">
        <v>42</v>
      </c>
      <c r="I31" s="13">
        <f>+C51/AVERAGE(B24:C24)</f>
        <v>0.10457301685368689</v>
      </c>
    </row>
    <row r="32" spans="1:10" ht="16.2" x14ac:dyDescent="0.3">
      <c r="A32" s="4" t="s">
        <v>67</v>
      </c>
      <c r="B32" s="6">
        <v>275354783</v>
      </c>
      <c r="C32" s="6">
        <v>280848191</v>
      </c>
      <c r="D32" s="29">
        <f t="shared" si="0"/>
        <v>3.7538645039270332E-2</v>
      </c>
      <c r="E32" s="6">
        <f t="shared" si="1"/>
        <v>5493408</v>
      </c>
      <c r="F32" s="29">
        <f t="shared" si="2"/>
        <v>1.9950290821714178E-2</v>
      </c>
      <c r="G32" s="9" t="s">
        <v>43</v>
      </c>
      <c r="I32" s="13">
        <f>+C58/AVERAGE(B24:C24)</f>
        <v>4.8256298762404636E-2</v>
      </c>
    </row>
    <row r="33" spans="1:9" ht="16.2" x14ac:dyDescent="0.3">
      <c r="A33" s="4" t="s">
        <v>66</v>
      </c>
      <c r="B33" s="6">
        <v>117071</v>
      </c>
      <c r="C33" s="6">
        <v>101192</v>
      </c>
      <c r="D33" s="29">
        <f t="shared" si="0"/>
        <v>1.3525494165685558E-5</v>
      </c>
      <c r="E33" s="6">
        <f t="shared" si="1"/>
        <v>-15879</v>
      </c>
      <c r="F33" s="29">
        <f t="shared" si="2"/>
        <v>-0.13563563991082339</v>
      </c>
      <c r="G33" s="9" t="s">
        <v>44</v>
      </c>
      <c r="I33" s="13">
        <f>+C58/AVERAGE(B41:C41)</f>
        <v>0.11943271124166162</v>
      </c>
    </row>
    <row r="34" spans="1:9" ht="16.2" x14ac:dyDescent="0.3">
      <c r="A34" s="3" t="s">
        <v>17</v>
      </c>
      <c r="B34" s="7">
        <f>SUM(B31:B33)</f>
        <v>2660098720</v>
      </c>
      <c r="C34" s="7">
        <f>SUM(C31:C33)</f>
        <v>2147701535</v>
      </c>
      <c r="D34" s="15">
        <f t="shared" si="0"/>
        <v>0.28706542593561168</v>
      </c>
      <c r="E34" s="7">
        <f t="shared" si="1"/>
        <v>-512397185</v>
      </c>
      <c r="F34" s="15">
        <f t="shared" si="2"/>
        <v>-0.19262337188749146</v>
      </c>
    </row>
    <row r="35" spans="1:9" ht="16.2" x14ac:dyDescent="0.3">
      <c r="A35" s="3" t="s">
        <v>18</v>
      </c>
      <c r="B35" s="7">
        <f>+B30+B34</f>
        <v>3761810520</v>
      </c>
      <c r="C35" s="7">
        <f>+C30+C34</f>
        <v>4473299528</v>
      </c>
      <c r="D35" s="15">
        <f t="shared" si="0"/>
        <v>0.59790879385058071</v>
      </c>
      <c r="E35" s="7">
        <f t="shared" si="1"/>
        <v>711489008</v>
      </c>
      <c r="F35" s="15">
        <f t="shared" si="2"/>
        <v>0.18913472760451522</v>
      </c>
      <c r="G35" s="35" t="s">
        <v>45</v>
      </c>
      <c r="H35" s="35"/>
      <c r="I35" s="35"/>
    </row>
    <row r="36" spans="1:9" ht="16.2" x14ac:dyDescent="0.3">
      <c r="A36" s="4" t="s">
        <v>68</v>
      </c>
      <c r="B36" s="6">
        <v>195999466</v>
      </c>
      <c r="C36" s="6">
        <v>195999466</v>
      </c>
      <c r="D36" s="29">
        <f t="shared" si="0"/>
        <v>2.6197620699862489E-2</v>
      </c>
      <c r="E36" s="6">
        <f t="shared" si="1"/>
        <v>0</v>
      </c>
      <c r="F36" s="29">
        <f t="shared" si="2"/>
        <v>0</v>
      </c>
      <c r="I36" s="5" t="s">
        <v>49</v>
      </c>
    </row>
    <row r="37" spans="1:9" ht="16.2" x14ac:dyDescent="0.3">
      <c r="A37" s="4" t="s">
        <v>69</v>
      </c>
      <c r="B37" s="6">
        <v>219365731</v>
      </c>
      <c r="C37" s="6">
        <v>219365731</v>
      </c>
      <c r="D37" s="29">
        <f t="shared" si="0"/>
        <v>2.9320795268320099E-2</v>
      </c>
      <c r="E37" s="6">
        <f t="shared" si="1"/>
        <v>0</v>
      </c>
      <c r="F37" s="29">
        <f t="shared" si="2"/>
        <v>0</v>
      </c>
      <c r="G37" s="14" t="s">
        <v>41</v>
      </c>
      <c r="I37" s="31">
        <f>+I29</f>
        <v>1.4208323702239165E-2</v>
      </c>
    </row>
    <row r="38" spans="1:9" ht="16.2" x14ac:dyDescent="0.3">
      <c r="A38" s="4" t="s">
        <v>70</v>
      </c>
      <c r="B38" s="6">
        <v>129356071</v>
      </c>
      <c r="C38" s="6">
        <v>126824020</v>
      </c>
      <c r="D38" s="29">
        <f t="shared" si="0"/>
        <v>1.6951513386224092E-2</v>
      </c>
      <c r="E38" s="6">
        <f t="shared" si="1"/>
        <v>-2532051</v>
      </c>
      <c r="F38" s="29">
        <f t="shared" si="2"/>
        <v>-1.9574272629229728E-2</v>
      </c>
      <c r="G38" s="14" t="s">
        <v>46</v>
      </c>
      <c r="I38" s="8">
        <f>+C44/AVERAGE(B24:C24)</f>
        <v>3.3963400450117609</v>
      </c>
    </row>
    <row r="39" spans="1:9" ht="16.2" x14ac:dyDescent="0.3">
      <c r="A39" s="4" t="s">
        <v>71</v>
      </c>
      <c r="B39" s="6">
        <v>494847845</v>
      </c>
      <c r="C39" s="6">
        <v>789689617</v>
      </c>
      <c r="D39" s="29">
        <f t="shared" si="0"/>
        <v>0.10555125214874657</v>
      </c>
      <c r="E39" s="6">
        <f t="shared" si="1"/>
        <v>294841772</v>
      </c>
      <c r="F39" s="29">
        <f t="shared" si="2"/>
        <v>0.59582308982269083</v>
      </c>
      <c r="G39" s="14" t="s">
        <v>47</v>
      </c>
      <c r="I39" s="8">
        <f>+AVERAGE(B24:C24)/AVERAGE(B41:C41)</f>
        <v>2.4749662594245394</v>
      </c>
    </row>
    <row r="40" spans="1:9" ht="16.2" x14ac:dyDescent="0.3">
      <c r="A40" s="4" t="s">
        <v>72</v>
      </c>
      <c r="B40" s="6">
        <v>1535408515</v>
      </c>
      <c r="C40" s="6">
        <v>1676396711</v>
      </c>
      <c r="D40" s="29">
        <f t="shared" si="0"/>
        <v>0.22407002464626607</v>
      </c>
      <c r="E40" s="6">
        <f t="shared" si="1"/>
        <v>140988196</v>
      </c>
      <c r="F40" s="29">
        <f t="shared" si="2"/>
        <v>9.1824550028628771E-2</v>
      </c>
      <c r="G40" s="14" t="s">
        <v>44</v>
      </c>
      <c r="I40" s="15">
        <f>+I37*I38*I39</f>
        <v>0.11943271124166163</v>
      </c>
    </row>
    <row r="41" spans="1:9" ht="16.2" x14ac:dyDescent="0.3">
      <c r="A41" s="3" t="s">
        <v>19</v>
      </c>
      <c r="B41" s="7">
        <f>SUM(B36:B40)</f>
        <v>2574977628</v>
      </c>
      <c r="C41" s="7">
        <f>SUM(C36:C40)</f>
        <v>3008275545</v>
      </c>
      <c r="D41" s="15">
        <f t="shared" si="0"/>
        <v>0.40209120614941934</v>
      </c>
      <c r="E41" s="7">
        <f t="shared" si="1"/>
        <v>433297917</v>
      </c>
      <c r="F41" s="15">
        <f t="shared" si="2"/>
        <v>0.16827249770575481</v>
      </c>
      <c r="I41" t="b">
        <f>+I40=I33</f>
        <v>1</v>
      </c>
    </row>
    <row r="42" spans="1:9" ht="16.2" x14ac:dyDescent="0.3">
      <c r="A42" s="4"/>
      <c r="B42" t="b">
        <f>+(B41+B35=B24)</f>
        <v>1</v>
      </c>
      <c r="C42" t="b">
        <f>+(C41+C35=C24)</f>
        <v>1</v>
      </c>
    </row>
    <row r="43" spans="1:9" ht="16.2" x14ac:dyDescent="0.3">
      <c r="B43" s="5" t="s">
        <v>48</v>
      </c>
      <c r="C43" s="5" t="s">
        <v>49</v>
      </c>
      <c r="D43" s="5" t="s">
        <v>96</v>
      </c>
      <c r="E43" s="5" t="s">
        <v>98</v>
      </c>
      <c r="F43" s="5" t="s">
        <v>97</v>
      </c>
    </row>
    <row r="44" spans="1:9" ht="16.2" x14ac:dyDescent="0.3">
      <c r="A44" s="4" t="s">
        <v>0</v>
      </c>
      <c r="B44" s="6">
        <v>16823499829</v>
      </c>
      <c r="C44" s="6">
        <v>23465930182</v>
      </c>
      <c r="D44" s="6">
        <f>+C44-B44</f>
        <v>6642430353</v>
      </c>
      <c r="E44" s="28">
        <f>ABS(C44/$C$44)</f>
        <v>1</v>
      </c>
      <c r="F44" s="29">
        <f>+C44/B44-1</f>
        <v>0.39483047050352238</v>
      </c>
    </row>
    <row r="45" spans="1:9" ht="16.2" x14ac:dyDescent="0.3">
      <c r="A45" s="4" t="s">
        <v>1</v>
      </c>
      <c r="B45" s="6">
        <v>-15365206183</v>
      </c>
      <c r="C45" s="6">
        <v>-21698447247</v>
      </c>
      <c r="D45" s="6">
        <f>-(C45-B45)</f>
        <v>6333241064</v>
      </c>
      <c r="E45" s="28">
        <f>ABS(C45/$C$44)</f>
        <v>0.92467876102538726</v>
      </c>
      <c r="F45" s="36">
        <f>C45/B45-1</f>
        <v>0.41218067551915261</v>
      </c>
      <c r="H45" s="32"/>
    </row>
    <row r="46" spans="1:9" ht="16.2" x14ac:dyDescent="0.3">
      <c r="A46" s="3" t="s">
        <v>2</v>
      </c>
      <c r="B46" s="7">
        <f>SUM(B44:B45)</f>
        <v>1458293646</v>
      </c>
      <c r="C46" s="7">
        <f>SUM(C44:C45)</f>
        <v>1767482935</v>
      </c>
      <c r="D46" s="7">
        <f t="shared" ref="D46:D58" si="3">+C46-B46</f>
        <v>309189289</v>
      </c>
      <c r="E46" s="30">
        <f t="shared" ref="E46:E58" si="4">ABS(C46/$C$44)</f>
        <v>7.532123897461275E-2</v>
      </c>
      <c r="F46" s="29">
        <f t="shared" ref="F46:F58" si="5">C46/B46-1</f>
        <v>0.21202128244066976</v>
      </c>
    </row>
    <row r="47" spans="1:9" ht="16.2" x14ac:dyDescent="0.3">
      <c r="A47" s="4" t="s">
        <v>73</v>
      </c>
      <c r="B47" s="6">
        <v>-671638198</v>
      </c>
      <c r="C47" s="6">
        <v>-779789862</v>
      </c>
      <c r="D47" s="6">
        <f t="shared" ref="D47:D48" si="6">-(C47-B47)</f>
        <v>108151664</v>
      </c>
      <c r="E47" s="29">
        <f t="shared" si="4"/>
        <v>3.3230724542006568E-2</v>
      </c>
      <c r="F47" s="29">
        <f t="shared" si="5"/>
        <v>0.16102667227988721</v>
      </c>
      <c r="G47" s="35" t="s">
        <v>81</v>
      </c>
      <c r="H47" s="35"/>
      <c r="I47" s="35"/>
    </row>
    <row r="48" spans="1:9" ht="16.2" x14ac:dyDescent="0.3">
      <c r="A48" s="4" t="s">
        <v>74</v>
      </c>
      <c r="B48" s="6">
        <v>-190576987</v>
      </c>
      <c r="C48" s="6">
        <v>-223737725</v>
      </c>
      <c r="D48" s="6">
        <f t="shared" si="6"/>
        <v>33160738</v>
      </c>
      <c r="E48" s="29">
        <f t="shared" si="4"/>
        <v>9.5345772899138002E-3</v>
      </c>
      <c r="F48" s="29">
        <f t="shared" si="5"/>
        <v>0.17400179592512921</v>
      </c>
      <c r="H48" s="25" t="s">
        <v>48</v>
      </c>
      <c r="I48" s="24">
        <v>2022</v>
      </c>
    </row>
    <row r="49" spans="1:11" ht="16.2" x14ac:dyDescent="0.3">
      <c r="A49" s="4" t="s">
        <v>75</v>
      </c>
      <c r="B49" s="6">
        <v>69534832</v>
      </c>
      <c r="C49" s="6">
        <v>58392776</v>
      </c>
      <c r="D49" s="6">
        <f t="shared" si="3"/>
        <v>-11142056</v>
      </c>
      <c r="E49" s="29">
        <f t="shared" si="4"/>
        <v>2.4884066196016945E-3</v>
      </c>
      <c r="F49" s="29">
        <f t="shared" si="5"/>
        <v>-0.16023704493885882</v>
      </c>
      <c r="G49" s="4" t="s">
        <v>82</v>
      </c>
      <c r="H49" s="26">
        <f>+B8</f>
        <v>705677944</v>
      </c>
      <c r="I49" s="26">
        <f>+C8</f>
        <v>1000487839</v>
      </c>
    </row>
    <row r="50" spans="1:11" ht="16.2" x14ac:dyDescent="0.3">
      <c r="A50" s="4" t="s">
        <v>76</v>
      </c>
      <c r="B50" s="6">
        <v>-77903079</v>
      </c>
      <c r="C50" s="6">
        <v>-99834159</v>
      </c>
      <c r="D50" s="6">
        <f>-(C50-B50)</f>
        <v>21931080</v>
      </c>
      <c r="E50" s="29">
        <f t="shared" si="4"/>
        <v>4.2544300705616069E-3</v>
      </c>
      <c r="F50" s="29">
        <f t="shared" si="5"/>
        <v>0.28151749945595861</v>
      </c>
      <c r="G50" s="4" t="s">
        <v>83</v>
      </c>
      <c r="I50" s="26">
        <f>-C45+I49-H49</f>
        <v>21993257142</v>
      </c>
    </row>
    <row r="51" spans="1:11" ht="16.2" x14ac:dyDescent="0.3">
      <c r="A51" s="3" t="s">
        <v>5</v>
      </c>
      <c r="B51" s="7">
        <f>SUM(B46:B50)</f>
        <v>587710214</v>
      </c>
      <c r="C51" s="7">
        <f>SUM(C46:C50)</f>
        <v>722513965</v>
      </c>
      <c r="D51" s="7">
        <f t="shared" si="3"/>
        <v>134803751</v>
      </c>
      <c r="E51" s="30">
        <f t="shared" si="4"/>
        <v>3.0789913691732469E-2</v>
      </c>
      <c r="F51" s="29">
        <f t="shared" si="5"/>
        <v>0.22937112166643403</v>
      </c>
      <c r="G51" s="4" t="s">
        <v>84</v>
      </c>
      <c r="I51" s="26">
        <f>+AVERAGE(B26:C26)</f>
        <v>851599471</v>
      </c>
    </row>
    <row r="52" spans="1:11" ht="16.2" x14ac:dyDescent="0.3">
      <c r="A52" s="4" t="s">
        <v>77</v>
      </c>
      <c r="B52" s="6">
        <v>11965416</v>
      </c>
      <c r="C52" s="6">
        <v>7277488</v>
      </c>
      <c r="D52" s="6">
        <f t="shared" si="3"/>
        <v>-4687928</v>
      </c>
      <c r="E52" s="29">
        <f t="shared" si="4"/>
        <v>3.1012996048127424E-4</v>
      </c>
      <c r="F52" s="29">
        <f t="shared" si="5"/>
        <v>-0.39178980488434334</v>
      </c>
      <c r="G52" s="19" t="s">
        <v>85</v>
      </c>
      <c r="H52" s="20">
        <f>+I50/I51</f>
        <v>25.825822926092446</v>
      </c>
      <c r="I52" s="22" t="s">
        <v>87</v>
      </c>
    </row>
    <row r="53" spans="1:11" ht="16.2" x14ac:dyDescent="0.3">
      <c r="A53" s="4" t="s">
        <v>78</v>
      </c>
      <c r="B53" s="6">
        <v>-161101216</v>
      </c>
      <c r="C53" s="6">
        <v>-313097893</v>
      </c>
      <c r="D53" s="6">
        <f>-(C53-B53)</f>
        <v>151996677</v>
      </c>
      <c r="E53" s="29">
        <f t="shared" si="4"/>
        <v>1.3342658508383693E-2</v>
      </c>
      <c r="F53" s="29">
        <f t="shared" si="5"/>
        <v>0.94348559727817327</v>
      </c>
      <c r="G53" s="19" t="s">
        <v>86</v>
      </c>
      <c r="H53" s="21">
        <f>365/H52</f>
        <v>14.13314112175809</v>
      </c>
      <c r="I53" s="22" t="s">
        <v>88</v>
      </c>
    </row>
    <row r="54" spans="1:11" ht="16.2" x14ac:dyDescent="0.3">
      <c r="A54" s="4" t="s">
        <v>79</v>
      </c>
      <c r="B54" s="6">
        <v>119375913</v>
      </c>
      <c r="C54" s="6">
        <v>78869537</v>
      </c>
      <c r="D54" s="6">
        <f t="shared" si="3"/>
        <v>-40506376</v>
      </c>
      <c r="E54" s="29">
        <f t="shared" si="4"/>
        <v>3.3610232532140755E-3</v>
      </c>
      <c r="F54" s="29">
        <f t="shared" si="5"/>
        <v>-0.33931783206550215</v>
      </c>
      <c r="G54" s="4"/>
      <c r="H54" s="19"/>
      <c r="I54" s="19"/>
      <c r="J54" s="19"/>
      <c r="K54" s="19"/>
    </row>
    <row r="55" spans="1:11" ht="16.2" x14ac:dyDescent="0.3">
      <c r="A55" s="4" t="s">
        <v>80</v>
      </c>
      <c r="B55" s="6">
        <v>-2012115</v>
      </c>
      <c r="C55" s="6">
        <v>13274558</v>
      </c>
      <c r="D55" s="6">
        <f t="shared" si="3"/>
        <v>15286673</v>
      </c>
      <c r="E55" s="29">
        <f t="shared" si="4"/>
        <v>5.6569494143396491E-4</v>
      </c>
      <c r="F55" s="29">
        <f t="shared" si="5"/>
        <v>-7.5973157597851015</v>
      </c>
      <c r="G55" s="4" t="s">
        <v>89</v>
      </c>
      <c r="H55" s="19"/>
      <c r="I55" s="26">
        <f>+AVERAGE(H49:I49)</f>
        <v>853082891.5</v>
      </c>
      <c r="J55" s="19"/>
      <c r="K55" s="19"/>
    </row>
    <row r="56" spans="1:11" ht="16.2" x14ac:dyDescent="0.3">
      <c r="A56" s="3" t="s">
        <v>6</v>
      </c>
      <c r="B56" s="7">
        <f>SUM(B51:B55)</f>
        <v>555938212</v>
      </c>
      <c r="C56" s="7">
        <f>SUM(C51:C55)</f>
        <v>508837655</v>
      </c>
      <c r="D56" s="7">
        <f t="shared" si="3"/>
        <v>-47100557</v>
      </c>
      <c r="E56" s="30">
        <f t="shared" si="4"/>
        <v>2.1684103338478092E-2</v>
      </c>
      <c r="F56" s="29">
        <f t="shared" si="5"/>
        <v>-8.472264719950573E-2</v>
      </c>
      <c r="G56" s="19" t="s">
        <v>90</v>
      </c>
      <c r="H56" s="20">
        <f>-C45/I55</f>
        <v>25.435332794972599</v>
      </c>
      <c r="I56" s="22" t="s">
        <v>87</v>
      </c>
      <c r="J56" s="19"/>
      <c r="K56" s="19"/>
    </row>
    <row r="57" spans="1:11" ht="16.2" x14ac:dyDescent="0.3">
      <c r="A57" s="4" t="s">
        <v>7</v>
      </c>
      <c r="B57" s="6">
        <v>-180216506</v>
      </c>
      <c r="C57" s="6">
        <v>-175426123</v>
      </c>
      <c r="D57" s="6">
        <f>-(C57-B57)</f>
        <v>-4790383</v>
      </c>
      <c r="E57" s="29">
        <f t="shared" si="4"/>
        <v>7.4757796362389262E-3</v>
      </c>
      <c r="F57" s="29">
        <f t="shared" si="5"/>
        <v>-2.6581266646019674E-2</v>
      </c>
      <c r="G57" s="19" t="s">
        <v>91</v>
      </c>
      <c r="H57" s="21">
        <f>365/H56</f>
        <v>14.350116939383778</v>
      </c>
      <c r="I57" s="22" t="s">
        <v>88</v>
      </c>
      <c r="J57" s="19"/>
      <c r="K57" s="19"/>
    </row>
    <row r="58" spans="1:11" ht="16.2" x14ac:dyDescent="0.3">
      <c r="A58" s="3" t="s">
        <v>8</v>
      </c>
      <c r="B58" s="7">
        <f>SUM(B56:B57)</f>
        <v>375721706</v>
      </c>
      <c r="C58" s="7">
        <f>SUM(C56:C57)</f>
        <v>333411532</v>
      </c>
      <c r="D58" s="7">
        <f t="shared" si="3"/>
        <v>-42310174</v>
      </c>
      <c r="E58" s="30">
        <f t="shared" si="4"/>
        <v>1.4208323702239165E-2</v>
      </c>
      <c r="F58" s="29">
        <f t="shared" si="5"/>
        <v>-0.11261040638413367</v>
      </c>
      <c r="G58" s="4"/>
      <c r="H58" s="19"/>
      <c r="I58" s="19"/>
      <c r="J58" s="19"/>
      <c r="K58" s="19"/>
    </row>
    <row r="59" spans="1:11" ht="16.2" x14ac:dyDescent="0.3">
      <c r="A59" s="4"/>
      <c r="C59" s="1"/>
      <c r="D59" s="1"/>
      <c r="E59" s="1"/>
      <c r="F59" s="18"/>
      <c r="G59" s="4" t="s">
        <v>92</v>
      </c>
      <c r="H59" s="19"/>
      <c r="I59" s="26">
        <f>+AVERAGE(B6:C6)</f>
        <v>583569606</v>
      </c>
      <c r="J59" s="19"/>
      <c r="K59" s="19"/>
    </row>
    <row r="60" spans="1:11" ht="16.2" x14ac:dyDescent="0.3">
      <c r="A60" s="4" t="s">
        <v>3</v>
      </c>
      <c r="B60" s="6">
        <v>105410934</v>
      </c>
      <c r="C60" s="6">
        <v>112340331</v>
      </c>
      <c r="D60" s="19" t="s">
        <v>104</v>
      </c>
      <c r="F60" s="28">
        <f>+C60/B60-1</f>
        <v>6.5736985121486624E-2</v>
      </c>
      <c r="G60" s="19" t="s">
        <v>93</v>
      </c>
      <c r="H60" s="20">
        <f>+C44/I59</f>
        <v>40.211021857091026</v>
      </c>
      <c r="I60" s="22" t="s">
        <v>87</v>
      </c>
      <c r="J60" s="19"/>
      <c r="K60" s="19"/>
    </row>
    <row r="61" spans="1:11" ht="16.2" x14ac:dyDescent="0.3">
      <c r="A61" s="9" t="s">
        <v>4</v>
      </c>
      <c r="B61" s="6">
        <v>50616911</v>
      </c>
      <c r="C61" s="6">
        <v>34617838</v>
      </c>
      <c r="D61" s="19" t="s">
        <v>105</v>
      </c>
      <c r="F61" s="28">
        <f>+C61/B61-1</f>
        <v>-0.31608157597764119</v>
      </c>
      <c r="G61" s="19" t="s">
        <v>94</v>
      </c>
      <c r="H61" s="21">
        <f>365/H60</f>
        <v>9.0771132675314981</v>
      </c>
      <c r="I61" s="22" t="s">
        <v>88</v>
      </c>
      <c r="J61" s="19"/>
      <c r="K61" s="19"/>
    </row>
    <row r="62" spans="1:11" ht="16.2" x14ac:dyDescent="0.3">
      <c r="A62" s="3" t="s">
        <v>39</v>
      </c>
      <c r="B62" s="7">
        <f>+B51+B60+B61</f>
        <v>743738059</v>
      </c>
      <c r="C62" s="7">
        <f>+C51+C60+C61</f>
        <v>869472134</v>
      </c>
      <c r="D62" s="27"/>
      <c r="E62" s="27"/>
      <c r="F62" s="36">
        <f>+C62/B62-1</f>
        <v>0.16905693271775935</v>
      </c>
      <c r="G62" s="19"/>
      <c r="H62" s="19"/>
      <c r="I62" s="19"/>
      <c r="J62" s="19"/>
      <c r="K62" s="19"/>
    </row>
    <row r="63" spans="1:11" ht="16.2" x14ac:dyDescent="0.3">
      <c r="A63" s="3" t="s">
        <v>40</v>
      </c>
      <c r="B63" s="30">
        <f>+B62/B44</f>
        <v>4.4208284040753505E-2</v>
      </c>
      <c r="C63" s="30">
        <f>+C62/C44</f>
        <v>3.7052532213998728E-2</v>
      </c>
      <c r="D63" s="27"/>
      <c r="F63" s="30">
        <f>+C63/B63-1</f>
        <v>-0.16186450078356884</v>
      </c>
      <c r="H63" s="24">
        <v>2022</v>
      </c>
      <c r="I63" s="21"/>
      <c r="J63" s="22"/>
    </row>
    <row r="64" spans="1:11" ht="16.2" x14ac:dyDescent="0.3">
      <c r="C64" s="23"/>
      <c r="D64" s="27"/>
      <c r="E64" s="23"/>
      <c r="F64" s="18"/>
      <c r="G64" s="19" t="s">
        <v>95</v>
      </c>
      <c r="H64" s="21">
        <f>+H57+H61-H53</f>
        <v>9.2940890851571858</v>
      </c>
      <c r="I64" s="22" t="s">
        <v>88</v>
      </c>
      <c r="J64" s="22"/>
    </row>
    <row r="65" spans="1:10" ht="16.2" x14ac:dyDescent="0.3">
      <c r="A65" s="4" t="s">
        <v>99</v>
      </c>
      <c r="B65" s="6">
        <f>SUM(B47:B48)+B50</f>
        <v>-940118264</v>
      </c>
      <c r="C65" s="6">
        <f>SUM(C47:C48)+C50</f>
        <v>-1103361746</v>
      </c>
      <c r="D65" s="6">
        <f>-(C65-B65)</f>
        <v>163243482</v>
      </c>
      <c r="E65" s="23"/>
      <c r="F65" s="36">
        <f>+C65/B65-1</f>
        <v>0.17364143241450747</v>
      </c>
      <c r="G65" s="4"/>
      <c r="H65" s="20"/>
      <c r="I65" s="21"/>
      <c r="J65" s="22"/>
    </row>
    <row r="66" spans="1:10" ht="16.2" x14ac:dyDescent="0.3">
      <c r="A66" s="4" t="s">
        <v>98</v>
      </c>
      <c r="B66" s="29">
        <f>-B65/B44</f>
        <v>5.5881253814943049E-2</v>
      </c>
      <c r="C66" s="29">
        <f>-C65/C44</f>
        <v>4.7019731902481973E-2</v>
      </c>
      <c r="D66" s="23"/>
      <c r="E66" s="23"/>
      <c r="F66" s="18"/>
      <c r="G66" s="4"/>
      <c r="H66" s="20"/>
      <c r="I66" s="21"/>
      <c r="J66" s="22"/>
    </row>
    <row r="67" spans="1:10" ht="16.2" x14ac:dyDescent="0.3">
      <c r="F67" s="5" t="s">
        <v>111</v>
      </c>
      <c r="G67" s="4"/>
      <c r="H67" s="20"/>
      <c r="I67" s="21"/>
      <c r="J67" s="22"/>
    </row>
    <row r="68" spans="1:10" ht="16.2" x14ac:dyDescent="0.3">
      <c r="A68" s="4" t="s">
        <v>101</v>
      </c>
      <c r="B68" s="6">
        <f>+B25</f>
        <v>99354226</v>
      </c>
      <c r="C68" s="6">
        <f>+C25</f>
        <v>1137051224</v>
      </c>
      <c r="D68" s="6">
        <f>+C68-B68</f>
        <v>1037696998</v>
      </c>
      <c r="E68" s="28">
        <f>+C68/B68-1</f>
        <v>10.444417311448836</v>
      </c>
      <c r="F68" s="28">
        <f>+C68/$C$70</f>
        <v>0.37853716827302747</v>
      </c>
      <c r="G68" s="4"/>
      <c r="H68" s="20"/>
      <c r="I68" s="21"/>
      <c r="J68" s="22"/>
    </row>
    <row r="69" spans="1:10" ht="16.2" x14ac:dyDescent="0.3">
      <c r="A69" s="4" t="s">
        <v>102</v>
      </c>
      <c r="B69" s="6">
        <f>+B31</f>
        <v>2384626866</v>
      </c>
      <c r="C69" s="6">
        <f>+C31</f>
        <v>1866752152</v>
      </c>
      <c r="D69" s="6">
        <f>+C69-B69</f>
        <v>-517874714</v>
      </c>
      <c r="E69" s="28">
        <f t="shared" ref="E69:E70" si="7">+C69/B69-1</f>
        <v>-0.21717222152608251</v>
      </c>
      <c r="F69" s="28">
        <f t="shared" ref="F69:F70" si="8">+C69/$C$70</f>
        <v>0.62146283172697259</v>
      </c>
      <c r="G69" s="4"/>
      <c r="H69" s="20"/>
      <c r="I69" s="21"/>
      <c r="J69" s="22"/>
    </row>
    <row r="70" spans="1:10" ht="16.2" x14ac:dyDescent="0.3">
      <c r="A70" s="3" t="s">
        <v>103</v>
      </c>
      <c r="B70" s="7">
        <f>SUM(B68:B69)</f>
        <v>2483981092</v>
      </c>
      <c r="C70" s="7">
        <f>SUM(C68:C69)</f>
        <v>3003803376</v>
      </c>
      <c r="D70" s="7">
        <f>+C70-B70</f>
        <v>519822284</v>
      </c>
      <c r="E70" s="15">
        <f t="shared" si="7"/>
        <v>0.20926982321812293</v>
      </c>
      <c r="F70" s="15">
        <f t="shared" si="8"/>
        <v>1</v>
      </c>
      <c r="G70" s="4"/>
      <c r="H70" s="20"/>
      <c r="I70" s="21"/>
      <c r="J70" s="22"/>
    </row>
    <row r="71" spans="1:10" ht="16.2" x14ac:dyDescent="0.3">
      <c r="A71" s="9"/>
      <c r="F71" s="18"/>
      <c r="G71" s="4"/>
      <c r="H71" s="20"/>
      <c r="I71" s="21"/>
      <c r="J71" s="22"/>
    </row>
    <row r="72" spans="1:10" ht="16.2" x14ac:dyDescent="0.3">
      <c r="A72" s="4" t="s">
        <v>101</v>
      </c>
      <c r="B72" s="28">
        <f>+B25/B24</f>
        <v>1.5678956543838052E-2</v>
      </c>
      <c r="C72" s="28">
        <f>+C25/C24</f>
        <v>0.15198019306168098</v>
      </c>
      <c r="F72" s="18"/>
      <c r="G72" s="4"/>
      <c r="H72" s="20"/>
      <c r="I72" s="21"/>
      <c r="J72" s="22"/>
    </row>
    <row r="73" spans="1:10" ht="16.2" x14ac:dyDescent="0.3">
      <c r="A73" s="4" t="s">
        <v>102</v>
      </c>
      <c r="B73" s="28">
        <f>+B31/B24</f>
        <v>0.37631475288512362</v>
      </c>
      <c r="C73" s="28">
        <f>+C31/C24</f>
        <v>0.24951325540217567</v>
      </c>
      <c r="F73" s="18"/>
      <c r="G73" s="4"/>
      <c r="H73" s="20"/>
      <c r="I73" s="21"/>
      <c r="J73" s="22"/>
    </row>
    <row r="74" spans="1:10" ht="16.2" x14ac:dyDescent="0.3">
      <c r="A74" s="3" t="s">
        <v>103</v>
      </c>
      <c r="B74" s="15">
        <f>SUM(B72:B73)</f>
        <v>0.39199370942896167</v>
      </c>
      <c r="C74" s="15">
        <f>SUM(C72:C73)</f>
        <v>0.40149344846385665</v>
      </c>
      <c r="F74" s="18"/>
      <c r="G74" s="4"/>
      <c r="H74" s="20"/>
      <c r="I74" s="21"/>
      <c r="J74" s="22"/>
    </row>
    <row r="75" spans="1:10" ht="16.2" x14ac:dyDescent="0.3">
      <c r="D75" s="33" t="s">
        <v>110</v>
      </c>
      <c r="E75" s="34"/>
      <c r="F75" s="18"/>
      <c r="G75" s="4"/>
      <c r="H75" s="20"/>
      <c r="I75" s="21"/>
      <c r="J75" s="22"/>
    </row>
    <row r="76" spans="1:10" ht="16.2" x14ac:dyDescent="0.3">
      <c r="A76" s="9" t="s">
        <v>106</v>
      </c>
      <c r="B76" s="6">
        <v>537061120</v>
      </c>
      <c r="C76" s="6">
        <v>735292800</v>
      </c>
      <c r="D76" s="28">
        <f>+B76/B$79</f>
        <v>0.7610569730375476</v>
      </c>
      <c r="E76" s="28">
        <f>+C76/C$79</f>
        <v>0.73493427040046211</v>
      </c>
      <c r="F76" s="18"/>
      <c r="G76" s="4"/>
      <c r="H76" s="20"/>
      <c r="I76" s="21"/>
      <c r="J76" s="22"/>
    </row>
    <row r="77" spans="1:10" ht="16.2" x14ac:dyDescent="0.3">
      <c r="A77" s="9" t="s">
        <v>107</v>
      </c>
      <c r="B77" s="6">
        <v>151191417</v>
      </c>
      <c r="C77" s="6">
        <v>245867514</v>
      </c>
      <c r="D77" s="28">
        <f t="shared" ref="D77:D79" si="9">+B77/B$79</f>
        <v>0.21424988308831147</v>
      </c>
      <c r="E77" s="28">
        <f t="shared" ref="E77:E79" si="10">+C77/C$79</f>
        <v>0.24574762872255163</v>
      </c>
      <c r="F77" s="18"/>
      <c r="G77" s="4"/>
      <c r="H77" s="20"/>
    </row>
    <row r="78" spans="1:10" ht="16.2" x14ac:dyDescent="0.3">
      <c r="A78" s="9" t="s">
        <v>108</v>
      </c>
      <c r="B78" s="6">
        <v>17425407</v>
      </c>
      <c r="C78" s="6">
        <v>19327525</v>
      </c>
      <c r="D78" s="28">
        <f t="shared" si="9"/>
        <v>2.4693143874140979E-2</v>
      </c>
      <c r="E78" s="28">
        <f t="shared" si="10"/>
        <v>1.9318100876986273E-2</v>
      </c>
      <c r="F78" s="18"/>
      <c r="G78" s="4"/>
      <c r="H78" s="20"/>
    </row>
    <row r="79" spans="1:10" ht="16.2" x14ac:dyDescent="0.3">
      <c r="A79" s="3" t="s">
        <v>109</v>
      </c>
      <c r="B79" s="7">
        <f>SUM(B76:B78)</f>
        <v>705677944</v>
      </c>
      <c r="C79" s="7">
        <f>SUM(C76:C78)</f>
        <v>1000487839</v>
      </c>
      <c r="D79" s="15">
        <f t="shared" si="9"/>
        <v>1</v>
      </c>
      <c r="E79" s="15">
        <f t="shared" si="10"/>
        <v>1</v>
      </c>
      <c r="F79" s="18"/>
      <c r="G79" s="4"/>
      <c r="H79" s="20"/>
    </row>
    <row r="80" spans="1:10" ht="16.2" x14ac:dyDescent="0.3">
      <c r="A80" s="9"/>
      <c r="F80" s="18"/>
      <c r="G80" s="4"/>
      <c r="H80" s="20"/>
    </row>
    <row r="81" spans="1:8" ht="16.2" x14ac:dyDescent="0.3">
      <c r="B81" s="5" t="s">
        <v>49</v>
      </c>
      <c r="F81" s="18"/>
      <c r="G81" s="4"/>
      <c r="H81" s="20"/>
    </row>
    <row r="82" spans="1:8" ht="16.2" x14ac:dyDescent="0.3">
      <c r="A82" s="4" t="s">
        <v>9</v>
      </c>
      <c r="B82" s="28">
        <f>+D5</f>
        <v>3.8117346042435413E-2</v>
      </c>
      <c r="F82" s="18"/>
      <c r="G82" s="4"/>
      <c r="H82" s="20"/>
    </row>
    <row r="83" spans="1:8" ht="16.2" x14ac:dyDescent="0.3">
      <c r="A83" s="4" t="s">
        <v>52</v>
      </c>
      <c r="B83" s="28">
        <f>+D6</f>
        <v>8.4601746801184569E-2</v>
      </c>
      <c r="D83" s="37"/>
      <c r="F83" s="18"/>
      <c r="G83" s="4"/>
      <c r="H83" s="20"/>
    </row>
    <row r="84" spans="1:8" ht="16.2" x14ac:dyDescent="0.3">
      <c r="A84" s="4" t="s">
        <v>10</v>
      </c>
      <c r="B84" s="28">
        <f>+D8</f>
        <v>0.13372689964852805</v>
      </c>
      <c r="F84" s="18"/>
      <c r="G84" s="4"/>
      <c r="H84" s="20"/>
    </row>
    <row r="85" spans="1:8" ht="16.2" x14ac:dyDescent="0.3">
      <c r="A85" s="3" t="s">
        <v>113</v>
      </c>
      <c r="B85" s="15">
        <f>SUM(B82:B84)</f>
        <v>0.25644599249214806</v>
      </c>
      <c r="F85" s="18"/>
      <c r="G85" s="4"/>
      <c r="H85" s="20"/>
    </row>
    <row r="86" spans="1:8" ht="16.2" x14ac:dyDescent="0.3">
      <c r="A86" s="9" t="s">
        <v>112</v>
      </c>
      <c r="B86" s="28">
        <f>+D20</f>
        <v>0.30156999922949246</v>
      </c>
      <c r="F86" s="18"/>
      <c r="G86" s="4"/>
      <c r="H86" s="20"/>
    </row>
    <row r="87" spans="1:8" ht="16.2" x14ac:dyDescent="0.3">
      <c r="A87" s="4" t="s">
        <v>59</v>
      </c>
      <c r="B87" s="28">
        <f>+D18</f>
        <v>3.5678187733931999E-2</v>
      </c>
      <c r="F87" s="18"/>
      <c r="G87" s="4"/>
      <c r="H87" s="20"/>
    </row>
    <row r="88" spans="1:8" ht="16.2" x14ac:dyDescent="0.3">
      <c r="A88" s="3" t="s">
        <v>113</v>
      </c>
      <c r="B88" s="15">
        <f>SUM(B86:B87)</f>
        <v>0.33724818696342446</v>
      </c>
      <c r="F88" s="18"/>
      <c r="G88" s="4"/>
      <c r="H88" s="20"/>
    </row>
    <row r="89" spans="1:8" ht="16.2" x14ac:dyDescent="0.3">
      <c r="A89" s="3" t="s">
        <v>103</v>
      </c>
      <c r="B89" s="15">
        <f>+B85+B88</f>
        <v>0.59369417945557257</v>
      </c>
      <c r="F89" s="18"/>
      <c r="G89" s="4"/>
      <c r="H89" s="20"/>
    </row>
    <row r="90" spans="1:8" ht="16.2" x14ac:dyDescent="0.3">
      <c r="F90" s="18"/>
      <c r="G90" s="4"/>
      <c r="H90" s="20"/>
    </row>
    <row r="91" spans="1:8" ht="16.2" x14ac:dyDescent="0.3">
      <c r="A91" s="4" t="s">
        <v>63</v>
      </c>
      <c r="B91" s="28">
        <f>+D26</f>
        <v>0.12327484132698484</v>
      </c>
      <c r="F91" s="18"/>
      <c r="G91" s="4"/>
      <c r="H91" s="20"/>
    </row>
    <row r="92" spans="1:8" ht="16.2" x14ac:dyDescent="0.3">
      <c r="A92" s="4" t="s">
        <v>114</v>
      </c>
      <c r="B92" s="28">
        <f>+D25</f>
        <v>0.15198019306168098</v>
      </c>
      <c r="F92" s="18"/>
      <c r="G92" s="4"/>
      <c r="H92" s="20"/>
    </row>
    <row r="93" spans="1:8" ht="16.2" x14ac:dyDescent="0.3">
      <c r="A93" s="4" t="s">
        <v>115</v>
      </c>
      <c r="B93" s="28">
        <f>+D31</f>
        <v>0.24951325540217567</v>
      </c>
      <c r="F93" s="18"/>
      <c r="G93" s="4"/>
      <c r="H93" s="20"/>
    </row>
    <row r="94" spans="1:8" ht="16.2" x14ac:dyDescent="0.3">
      <c r="A94" s="3" t="s">
        <v>103</v>
      </c>
      <c r="B94" s="15">
        <f>SUM(B91:B93)</f>
        <v>0.52476828979084145</v>
      </c>
      <c r="F94" s="18"/>
      <c r="G94" s="4"/>
      <c r="H94" s="20"/>
    </row>
    <row r="95" spans="1:8" ht="16.2" x14ac:dyDescent="0.3">
      <c r="F95" s="18"/>
      <c r="G95" s="4"/>
      <c r="H95" s="20"/>
    </row>
    <row r="96" spans="1:8" ht="16.2" x14ac:dyDescent="0.3">
      <c r="F96" s="18"/>
      <c r="G96" s="4"/>
      <c r="H96" s="20"/>
    </row>
    <row r="97" spans="2:9" ht="16.2" x14ac:dyDescent="0.3">
      <c r="F97" s="18"/>
      <c r="G97" s="4"/>
      <c r="H97" s="20"/>
    </row>
    <row r="98" spans="2:9" ht="16.2" x14ac:dyDescent="0.3">
      <c r="F98" s="18"/>
      <c r="G98" s="4"/>
      <c r="H98" s="20"/>
    </row>
    <row r="99" spans="2:9" ht="16.2" x14ac:dyDescent="0.3">
      <c r="F99" s="18"/>
      <c r="G99" s="4"/>
      <c r="H99" s="20"/>
    </row>
    <row r="100" spans="2:9" ht="16.2" x14ac:dyDescent="0.3">
      <c r="F100" s="18"/>
      <c r="G100" s="4"/>
      <c r="H100" s="20"/>
    </row>
    <row r="101" spans="2:9" ht="16.2" x14ac:dyDescent="0.3">
      <c r="F101" s="18"/>
      <c r="G101" s="4"/>
      <c r="H101" s="20"/>
    </row>
    <row r="102" spans="2:9" ht="16.2" x14ac:dyDescent="0.3">
      <c r="F102" s="18"/>
      <c r="G102" s="4"/>
      <c r="H102" s="20"/>
    </row>
    <row r="103" spans="2:9" ht="16.2" x14ac:dyDescent="0.3">
      <c r="F103" s="18"/>
      <c r="G103" s="4"/>
      <c r="H103" s="20"/>
    </row>
    <row r="104" spans="2:9" ht="16.2" x14ac:dyDescent="0.3">
      <c r="F104" s="18"/>
      <c r="G104" s="4"/>
      <c r="H104" s="20"/>
    </row>
    <row r="105" spans="2:9" ht="16.2" x14ac:dyDescent="0.3">
      <c r="F105" s="18"/>
      <c r="G105" s="4"/>
      <c r="H105" s="20"/>
    </row>
    <row r="106" spans="2:9" ht="16.2" x14ac:dyDescent="0.3">
      <c r="F106" s="18"/>
      <c r="G106" s="4"/>
      <c r="H106" s="20"/>
    </row>
    <row r="107" spans="2:9" ht="16.2" x14ac:dyDescent="0.3">
      <c r="F107" s="18"/>
      <c r="G107" s="4"/>
      <c r="H107" s="20"/>
    </row>
    <row r="108" spans="2:9" ht="16.2" x14ac:dyDescent="0.3">
      <c r="B108" s="2"/>
      <c r="C108" s="2"/>
      <c r="D108" s="2"/>
      <c r="E108" s="2"/>
      <c r="F108" s="18"/>
      <c r="G108" s="4"/>
      <c r="H108" s="20"/>
      <c r="I108" s="1"/>
    </row>
    <row r="109" spans="2:9" ht="16.2" x14ac:dyDescent="0.3">
      <c r="B109" s="2"/>
      <c r="C109" s="2"/>
      <c r="D109" s="2"/>
      <c r="E109" s="2"/>
      <c r="F109" s="18"/>
      <c r="G109" s="4"/>
      <c r="H109" s="20"/>
    </row>
    <row r="110" spans="2:9" ht="16.2" x14ac:dyDescent="0.3">
      <c r="B110" s="2"/>
      <c r="C110" s="2"/>
      <c r="D110" s="2"/>
      <c r="E110" s="2"/>
      <c r="F110" s="18"/>
      <c r="G110" s="4"/>
      <c r="H110" s="20"/>
    </row>
    <row r="111" spans="2:9" ht="16.2" x14ac:dyDescent="0.3">
      <c r="B111" s="2"/>
      <c r="C111" s="2"/>
      <c r="D111" s="2"/>
      <c r="E111" s="2"/>
      <c r="F111" s="18"/>
      <c r="G111" s="4"/>
      <c r="H111" s="20"/>
    </row>
    <row r="112" spans="2:9" ht="16.2" x14ac:dyDescent="0.3">
      <c r="B112" s="2"/>
      <c r="C112" s="2"/>
      <c r="D112" s="2"/>
      <c r="E112" s="2"/>
      <c r="F112" s="18"/>
      <c r="G112" s="4"/>
      <c r="H112" s="20"/>
    </row>
    <row r="113" spans="2:8" ht="16.2" x14ac:dyDescent="0.3">
      <c r="B113" s="2"/>
      <c r="C113" s="2"/>
      <c r="D113" s="2"/>
      <c r="E113" s="2"/>
      <c r="F113" s="18"/>
      <c r="G113" s="4"/>
      <c r="H113" s="20"/>
    </row>
    <row r="114" spans="2:8" ht="16.2" x14ac:dyDescent="0.3">
      <c r="B114" s="2"/>
      <c r="C114" s="2"/>
      <c r="D114" s="2"/>
      <c r="E114" s="2"/>
      <c r="F114" s="18"/>
      <c r="G114" s="4"/>
      <c r="H114" s="20"/>
    </row>
    <row r="115" spans="2:8" ht="16.2" x14ac:dyDescent="0.3">
      <c r="B115" s="2"/>
      <c r="C115" s="2"/>
      <c r="D115" s="2"/>
      <c r="E115" s="2"/>
      <c r="F115" s="18"/>
      <c r="G115" s="4"/>
      <c r="H115" s="20"/>
    </row>
    <row r="116" spans="2:8" ht="16.2" x14ac:dyDescent="0.3">
      <c r="B116" s="2"/>
      <c r="C116" s="2"/>
      <c r="D116" s="2"/>
      <c r="E116" s="2"/>
      <c r="F116" s="18"/>
      <c r="G116" s="4"/>
      <c r="H116" s="20"/>
    </row>
    <row r="117" spans="2:8" ht="16.2" x14ac:dyDescent="0.3">
      <c r="B117" s="2"/>
      <c r="C117" s="2"/>
      <c r="D117" s="2"/>
      <c r="E117" s="2"/>
      <c r="F117" s="18"/>
      <c r="G117" s="4"/>
      <c r="H117" s="20"/>
    </row>
    <row r="118" spans="2:8" ht="16.2" x14ac:dyDescent="0.3">
      <c r="B118" s="2"/>
      <c r="C118" s="2"/>
      <c r="D118" s="2"/>
      <c r="E118" s="2"/>
      <c r="F118" s="18"/>
      <c r="G118" s="4"/>
      <c r="H118" s="20"/>
    </row>
    <row r="119" spans="2:8" ht="16.2" x14ac:dyDescent="0.3">
      <c r="B119" s="2"/>
      <c r="C119" s="2"/>
      <c r="D119" s="2"/>
      <c r="E119" s="2"/>
      <c r="F119" s="18"/>
      <c r="G119" s="4"/>
      <c r="H119" s="20"/>
    </row>
    <row r="120" spans="2:8" ht="16.2" x14ac:dyDescent="0.3">
      <c r="B120" s="2"/>
      <c r="C120" s="2"/>
      <c r="D120" s="2"/>
      <c r="E120" s="2"/>
      <c r="F120" s="18"/>
      <c r="G120" s="4"/>
      <c r="H120" s="20"/>
    </row>
    <row r="121" spans="2:8" ht="16.2" x14ac:dyDescent="0.3">
      <c r="F121" s="18"/>
      <c r="G121" s="4"/>
      <c r="H121" s="20"/>
    </row>
    <row r="122" spans="2:8" ht="16.2" x14ac:dyDescent="0.3">
      <c r="F122" s="18"/>
      <c r="G122" s="4"/>
      <c r="H122" s="20"/>
    </row>
    <row r="123" spans="2:8" ht="16.2" x14ac:dyDescent="0.3">
      <c r="F123" s="18"/>
      <c r="G123" s="4"/>
      <c r="H123" s="20"/>
    </row>
    <row r="124" spans="2:8" ht="16.2" x14ac:dyDescent="0.3">
      <c r="F124" s="18"/>
      <c r="G124" s="4"/>
      <c r="H124" s="20"/>
    </row>
    <row r="125" spans="2:8" ht="16.2" x14ac:dyDescent="0.3">
      <c r="F125" s="18"/>
      <c r="G125" s="4"/>
      <c r="H125" s="20"/>
    </row>
    <row r="126" spans="2:8" ht="16.2" x14ac:dyDescent="0.3">
      <c r="F126" s="18"/>
      <c r="G126" s="4"/>
      <c r="H126" s="20"/>
    </row>
    <row r="127" spans="2:8" ht="16.2" x14ac:dyDescent="0.3">
      <c r="F127" s="18"/>
      <c r="G127" s="4"/>
      <c r="H127" s="20"/>
    </row>
    <row r="128" spans="2:8" ht="16.2" x14ac:dyDescent="0.3">
      <c r="F128" s="18"/>
      <c r="G128" s="4"/>
      <c r="H128" s="20"/>
    </row>
    <row r="129" spans="6:8" ht="16.2" x14ac:dyDescent="0.3">
      <c r="F129" s="18"/>
      <c r="G129" s="4"/>
      <c r="H129" s="20"/>
    </row>
    <row r="130" spans="6:8" x14ac:dyDescent="0.3">
      <c r="F130" s="17"/>
      <c r="G130" s="16"/>
    </row>
  </sheetData>
  <mergeCells count="6">
    <mergeCell ref="D75:E75"/>
    <mergeCell ref="G4:I4"/>
    <mergeCell ref="G11:I11"/>
    <mergeCell ref="G23:I23"/>
    <mergeCell ref="G35:I35"/>
    <mergeCell ref="G47:I47"/>
  </mergeCells>
  <phoneticPr fontId="11" type="noConversion"/>
  <pageMargins left="0.7" right="0.7" top="0.75" bottom="0.75" header="0.3" footer="0.3"/>
  <pageSetup orientation="portrait" horizontalDpi="0" verticalDpi="0" r:id="rId1"/>
  <ignoredErrors>
    <ignoredError sqref="B46:C46 B13:C13" formulaRange="1"/>
    <ignoredError sqref="B4:C4 B43:C43 H5:I5 H12:I12 H24:I24 I36 H48 B81" numberStoredAsText="1"/>
    <ignoredError sqref="D45:D5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Terpel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cp:lastPrinted>2022-11-08T15:21:42Z</cp:lastPrinted>
  <dcterms:created xsi:type="dcterms:W3CDTF">2022-06-03T02:09:39Z</dcterms:created>
  <dcterms:modified xsi:type="dcterms:W3CDTF">2023-05-23T19:58:54Z</dcterms:modified>
</cp:coreProperties>
</file>