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B2343C70-B2F6-4D7E-9EA2-55F7830DD2E6}" xr6:coauthVersionLast="47" xr6:coauthVersionMax="47" xr10:uidLastSave="{00000000-0000-0000-0000-000000000000}"/>
  <bookViews>
    <workbookView xWindow="-120" yWindow="-120" windowWidth="29040" windowHeight="15840" xr2:uid="{3914BDCC-E7C0-4F85-9543-AD40CD6BE5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" l="1"/>
  <c r="M72" i="1"/>
  <c r="L72" i="1"/>
  <c r="K72" i="1"/>
  <c r="J72" i="1"/>
  <c r="I72" i="1"/>
  <c r="N72" i="1" s="1"/>
  <c r="L69" i="1"/>
  <c r="M69" i="1"/>
  <c r="I68" i="1"/>
  <c r="J68" i="1"/>
  <c r="K68" i="1"/>
  <c r="L68" i="1"/>
  <c r="N68" i="1" s="1"/>
  <c r="M68" i="1"/>
  <c r="J67" i="1"/>
  <c r="K67" i="1"/>
  <c r="L67" i="1"/>
  <c r="M67" i="1"/>
  <c r="H68" i="1"/>
  <c r="H69" i="1"/>
  <c r="H70" i="1"/>
  <c r="H67" i="1"/>
  <c r="M70" i="1"/>
  <c r="L70" i="1"/>
  <c r="K70" i="1"/>
  <c r="J70" i="1"/>
  <c r="I70" i="1"/>
  <c r="N70" i="1" s="1"/>
  <c r="K69" i="1"/>
  <c r="J69" i="1"/>
  <c r="I69" i="1"/>
  <c r="N69" i="1" s="1"/>
  <c r="I67" i="1"/>
  <c r="I62" i="1"/>
  <c r="J62" i="1"/>
  <c r="N62" i="1" s="1"/>
  <c r="K62" i="1"/>
  <c r="L62" i="1"/>
  <c r="M62" i="1"/>
  <c r="I63" i="1"/>
  <c r="J63" i="1"/>
  <c r="N63" i="1" s="1"/>
  <c r="K63" i="1"/>
  <c r="L63" i="1"/>
  <c r="M63" i="1"/>
  <c r="I64" i="1"/>
  <c r="J64" i="1"/>
  <c r="K64" i="1"/>
  <c r="L64" i="1"/>
  <c r="M64" i="1"/>
  <c r="N64" i="1"/>
  <c r="I65" i="1"/>
  <c r="J65" i="1"/>
  <c r="K65" i="1"/>
  <c r="N65" i="1" s="1"/>
  <c r="L65" i="1"/>
  <c r="M65" i="1"/>
  <c r="N57" i="1"/>
  <c r="M57" i="1"/>
  <c r="L57" i="1"/>
  <c r="K57" i="1"/>
  <c r="J57" i="1"/>
  <c r="I57" i="1"/>
  <c r="N56" i="1"/>
  <c r="M56" i="1"/>
  <c r="L56" i="1"/>
  <c r="K56" i="1"/>
  <c r="J56" i="1"/>
  <c r="I56" i="1"/>
  <c r="M54" i="1"/>
  <c r="N54" i="1" s="1"/>
  <c r="L54" i="1"/>
  <c r="K54" i="1"/>
  <c r="J54" i="1"/>
  <c r="I54" i="1"/>
  <c r="M53" i="1"/>
  <c r="L53" i="1"/>
  <c r="K53" i="1"/>
  <c r="J53" i="1"/>
  <c r="I53" i="1"/>
  <c r="N53" i="1" s="1"/>
  <c r="M52" i="1"/>
  <c r="N52" i="1" s="1"/>
  <c r="L52" i="1"/>
  <c r="K52" i="1"/>
  <c r="J52" i="1"/>
  <c r="I52" i="1"/>
  <c r="M51" i="1"/>
  <c r="L51" i="1"/>
  <c r="K51" i="1"/>
  <c r="J51" i="1"/>
  <c r="N51" i="1" s="1"/>
  <c r="I51" i="1"/>
  <c r="M50" i="1"/>
  <c r="N50" i="1" s="1"/>
  <c r="L50" i="1"/>
  <c r="K50" i="1"/>
  <c r="J50" i="1"/>
  <c r="I50" i="1"/>
  <c r="M49" i="1"/>
  <c r="L49" i="1"/>
  <c r="K49" i="1"/>
  <c r="J49" i="1"/>
  <c r="N49" i="1" s="1"/>
  <c r="I49" i="1"/>
  <c r="M48" i="1"/>
  <c r="N48" i="1" s="1"/>
  <c r="L48" i="1"/>
  <c r="K48" i="1"/>
  <c r="J48" i="1"/>
  <c r="I48" i="1"/>
  <c r="M47" i="1"/>
  <c r="L47" i="1"/>
  <c r="K46" i="1"/>
  <c r="J46" i="1"/>
  <c r="I46" i="1"/>
  <c r="M45" i="1"/>
  <c r="L45" i="1"/>
  <c r="K45" i="1"/>
  <c r="J45" i="1"/>
  <c r="N45" i="1" s="1"/>
  <c r="I45" i="1"/>
  <c r="M44" i="1"/>
  <c r="N44" i="1" s="1"/>
  <c r="L44" i="1"/>
  <c r="K44" i="1"/>
  <c r="J44" i="1"/>
  <c r="I44" i="1"/>
  <c r="K43" i="1"/>
  <c r="J43" i="1"/>
  <c r="I43" i="1"/>
  <c r="M42" i="1"/>
  <c r="N42" i="1" s="1"/>
  <c r="L42" i="1"/>
  <c r="K42" i="1"/>
  <c r="J42" i="1"/>
  <c r="I42" i="1"/>
  <c r="M41" i="1"/>
  <c r="L41" i="1"/>
  <c r="K41" i="1"/>
  <c r="J41" i="1"/>
  <c r="N41" i="1" s="1"/>
  <c r="I41" i="1"/>
  <c r="H57" i="1"/>
  <c r="H56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M40" i="1"/>
  <c r="L40" i="1"/>
  <c r="K40" i="1"/>
  <c r="N40" i="1" s="1"/>
  <c r="J40" i="1"/>
  <c r="I40" i="1"/>
  <c r="N6" i="1"/>
  <c r="N7" i="1"/>
  <c r="N8" i="1"/>
  <c r="N9" i="1"/>
  <c r="N10" i="1"/>
  <c r="N11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5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6" i="1"/>
  <c r="J6" i="1"/>
  <c r="K6" i="1"/>
  <c r="L6" i="1"/>
  <c r="M6" i="1"/>
  <c r="I7" i="1"/>
  <c r="J7" i="1"/>
  <c r="K7" i="1"/>
  <c r="L7" i="1"/>
  <c r="M7" i="1"/>
  <c r="J5" i="1"/>
  <c r="K5" i="1"/>
  <c r="L5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5" i="1"/>
  <c r="H5" i="1"/>
  <c r="N67" i="1" l="1"/>
  <c r="D76" i="1" l="1"/>
  <c r="E76" i="1" s="1"/>
  <c r="R29" i="1"/>
  <c r="S29" i="1"/>
  <c r="T29" i="1"/>
  <c r="U29" i="1"/>
  <c r="V29" i="1"/>
  <c r="Q29" i="1"/>
  <c r="S23" i="1"/>
  <c r="T23" i="1"/>
  <c r="U23" i="1"/>
  <c r="V23" i="1"/>
  <c r="R23" i="1"/>
  <c r="S20" i="1"/>
  <c r="T20" i="1"/>
  <c r="U20" i="1"/>
  <c r="V20" i="1"/>
  <c r="S21" i="1"/>
  <c r="T21" i="1"/>
  <c r="U21" i="1"/>
  <c r="U22" i="1" s="1"/>
  <c r="V21" i="1"/>
  <c r="R21" i="1"/>
  <c r="R20" i="1"/>
  <c r="S16" i="1"/>
  <c r="S17" i="1" s="1"/>
  <c r="T16" i="1"/>
  <c r="T17" i="1" s="1"/>
  <c r="U16" i="1"/>
  <c r="U17" i="1" s="1"/>
  <c r="U18" i="1" s="1"/>
  <c r="V16" i="1"/>
  <c r="V17" i="1" s="1"/>
  <c r="R16" i="1"/>
  <c r="R17" i="1" s="1"/>
  <c r="R18" i="1" s="1"/>
  <c r="S12" i="1"/>
  <c r="S13" i="1" s="1"/>
  <c r="T12" i="1"/>
  <c r="T13" i="1" s="1"/>
  <c r="U12" i="1"/>
  <c r="U13" i="1" s="1"/>
  <c r="V12" i="1"/>
  <c r="V13" i="1" s="1"/>
  <c r="R12" i="1"/>
  <c r="R13" i="1" s="1"/>
  <c r="R14" i="1" s="1"/>
  <c r="Q8" i="1"/>
  <c r="V8" i="1"/>
  <c r="U8" i="1"/>
  <c r="T8" i="1"/>
  <c r="S8" i="1"/>
  <c r="R8" i="1"/>
  <c r="C72" i="1"/>
  <c r="D72" i="1"/>
  <c r="E72" i="1"/>
  <c r="F72" i="1"/>
  <c r="G72" i="1"/>
  <c r="B72" i="1"/>
  <c r="C70" i="1"/>
  <c r="D70" i="1"/>
  <c r="E70" i="1"/>
  <c r="F70" i="1"/>
  <c r="G70" i="1"/>
  <c r="B70" i="1"/>
  <c r="C67" i="1"/>
  <c r="D67" i="1"/>
  <c r="E67" i="1"/>
  <c r="F67" i="1"/>
  <c r="G67" i="1"/>
  <c r="C68" i="1"/>
  <c r="C69" i="1" s="1"/>
  <c r="D68" i="1"/>
  <c r="E68" i="1"/>
  <c r="F68" i="1"/>
  <c r="G68" i="1"/>
  <c r="B68" i="1"/>
  <c r="B67" i="1"/>
  <c r="F42" i="1"/>
  <c r="F48" i="1" s="1"/>
  <c r="F52" i="1" s="1"/>
  <c r="F54" i="1" s="1"/>
  <c r="F65" i="1" s="1"/>
  <c r="E42" i="1"/>
  <c r="E48" i="1" s="1"/>
  <c r="E52" i="1" s="1"/>
  <c r="E54" i="1" s="1"/>
  <c r="E59" i="1" s="1"/>
  <c r="D42" i="1"/>
  <c r="D48" i="1" s="1"/>
  <c r="D52" i="1" s="1"/>
  <c r="D54" i="1" s="1"/>
  <c r="D65" i="1" s="1"/>
  <c r="C42" i="1"/>
  <c r="C48" i="1" s="1"/>
  <c r="C52" i="1" s="1"/>
  <c r="C54" i="1" s="1"/>
  <c r="C59" i="1" s="1"/>
  <c r="B42" i="1"/>
  <c r="B48" i="1" s="1"/>
  <c r="B52" i="1" s="1"/>
  <c r="B54" i="1" s="1"/>
  <c r="B65" i="1" s="1"/>
  <c r="G42" i="1"/>
  <c r="G48" i="1" s="1"/>
  <c r="G52" i="1" s="1"/>
  <c r="G54" i="1" s="1"/>
  <c r="G65" i="1" s="1"/>
  <c r="E34" i="1"/>
  <c r="D34" i="1"/>
  <c r="C34" i="1"/>
  <c r="B34" i="1"/>
  <c r="F34" i="1"/>
  <c r="G34" i="1"/>
  <c r="G28" i="1"/>
  <c r="F28" i="1"/>
  <c r="E28" i="1"/>
  <c r="D28" i="1"/>
  <c r="C28" i="1"/>
  <c r="B28" i="1"/>
  <c r="F22" i="1"/>
  <c r="E22" i="1"/>
  <c r="D22" i="1"/>
  <c r="C22" i="1"/>
  <c r="B22" i="1"/>
  <c r="G22" i="1"/>
  <c r="F16" i="1"/>
  <c r="E16" i="1"/>
  <c r="D16" i="1"/>
  <c r="C16" i="1"/>
  <c r="B16" i="1"/>
  <c r="G16" i="1"/>
  <c r="F9" i="1"/>
  <c r="E9" i="1"/>
  <c r="D9" i="1"/>
  <c r="C9" i="1"/>
  <c r="B9" i="1"/>
  <c r="G9" i="1"/>
  <c r="R22" i="1" l="1"/>
  <c r="D69" i="1"/>
  <c r="V22" i="1"/>
  <c r="V24" i="1" s="1"/>
  <c r="V25" i="1" s="1"/>
  <c r="C57" i="1"/>
  <c r="C64" i="1" s="1"/>
  <c r="R24" i="1"/>
  <c r="R25" i="1" s="1"/>
  <c r="R27" i="1" s="1"/>
  <c r="C63" i="1"/>
  <c r="T22" i="1"/>
  <c r="T24" i="1" s="1"/>
  <c r="T25" i="1" s="1"/>
  <c r="S9" i="1"/>
  <c r="S10" i="1" s="1"/>
  <c r="U9" i="1"/>
  <c r="U10" i="1" s="1"/>
  <c r="F69" i="1"/>
  <c r="R30" i="1"/>
  <c r="R31" i="1" s="1"/>
  <c r="R9" i="1"/>
  <c r="R10" i="1" s="1"/>
  <c r="B63" i="1"/>
  <c r="E69" i="1"/>
  <c r="C65" i="1"/>
  <c r="B69" i="1"/>
  <c r="G69" i="1"/>
  <c r="S22" i="1"/>
  <c r="S24" i="1" s="1"/>
  <c r="S25" i="1" s="1"/>
  <c r="V9" i="1"/>
  <c r="V10" i="1" s="1"/>
  <c r="V30" i="1"/>
  <c r="V31" i="1" s="1"/>
  <c r="S30" i="1"/>
  <c r="S31" i="1" s="1"/>
  <c r="E65" i="1"/>
  <c r="U30" i="1"/>
  <c r="U31" i="1" s="1"/>
  <c r="E62" i="1"/>
  <c r="G59" i="1"/>
  <c r="C62" i="1"/>
  <c r="B57" i="1"/>
  <c r="B64" i="1" s="1"/>
  <c r="G63" i="1"/>
  <c r="E57" i="1"/>
  <c r="E64" i="1" s="1"/>
  <c r="T9" i="1"/>
  <c r="T10" i="1" s="1"/>
  <c r="U24" i="1"/>
  <c r="U25" i="1" s="1"/>
  <c r="T18" i="1"/>
  <c r="V18" i="1"/>
  <c r="S18" i="1"/>
  <c r="V14" i="1"/>
  <c r="U14" i="1"/>
  <c r="T14" i="1"/>
  <c r="S14" i="1"/>
  <c r="T30" i="1"/>
  <c r="T31" i="1" s="1"/>
  <c r="F57" i="1"/>
  <c r="F64" i="1" s="1"/>
  <c r="F62" i="1"/>
  <c r="B62" i="1"/>
  <c r="F59" i="1"/>
  <c r="F63" i="1"/>
  <c r="E63" i="1"/>
  <c r="D59" i="1"/>
  <c r="D63" i="1"/>
  <c r="G57" i="1"/>
  <c r="G64" i="1" s="1"/>
  <c r="G62" i="1"/>
  <c r="D57" i="1"/>
  <c r="D64" i="1" s="1"/>
  <c r="D62" i="1"/>
  <c r="G29" i="1"/>
  <c r="G35" i="1" s="1"/>
  <c r="B29" i="1"/>
  <c r="B35" i="1" s="1"/>
  <c r="C29" i="1"/>
  <c r="C35" i="1" s="1"/>
  <c r="D29" i="1"/>
  <c r="D35" i="1" s="1"/>
  <c r="E29" i="1"/>
  <c r="E35" i="1" s="1"/>
  <c r="F29" i="1"/>
  <c r="F35" i="1" s="1"/>
  <c r="C17" i="1"/>
  <c r="G17" i="1"/>
  <c r="E17" i="1"/>
  <c r="B17" i="1"/>
  <c r="D17" i="1"/>
  <c r="F17" i="1"/>
  <c r="R5" i="1" l="1"/>
  <c r="R6" i="1" s="1"/>
  <c r="U5" i="1"/>
  <c r="U6" i="1" s="1"/>
  <c r="S5" i="1"/>
  <c r="S6" i="1" s="1"/>
  <c r="V5" i="1"/>
  <c r="V6" i="1" s="1"/>
  <c r="T5" i="1"/>
  <c r="T6" i="1" s="1"/>
  <c r="V27" i="1"/>
  <c r="U27" i="1"/>
  <c r="S27" i="1"/>
  <c r="T27" i="1"/>
  <c r="F37" i="1"/>
  <c r="E37" i="1"/>
  <c r="B37" i="1"/>
  <c r="C37" i="1"/>
  <c r="D37" i="1"/>
  <c r="G37" i="1"/>
  <c r="F36" i="1"/>
  <c r="E36" i="1"/>
  <c r="D36" i="1"/>
  <c r="C36" i="1"/>
  <c r="B36" i="1"/>
  <c r="G36" i="1"/>
</calcChain>
</file>

<file path=xl/sharedStrings.xml><?xml version="1.0" encoding="utf-8"?>
<sst xmlns="http://schemas.openxmlformats.org/spreadsheetml/2006/main" count="103" uniqueCount="91">
  <si>
    <t>CERVECERIA UNIÓN SA</t>
  </si>
  <si>
    <t>Cifras en miles de pesos</t>
  </si>
  <si>
    <t>Efectivo y equivalentes al efectivo</t>
  </si>
  <si>
    <t>Cuentas comerciales por cobrar</t>
  </si>
  <si>
    <t>Inventarios corrientes</t>
  </si>
  <si>
    <t>Activos por impuestos corrientes</t>
  </si>
  <si>
    <t>Activos corrientes totales</t>
  </si>
  <si>
    <t xml:space="preserve">Propiedades, planta y equipo </t>
  </si>
  <si>
    <t>Activos intangibles distintos de la plusvalía</t>
  </si>
  <si>
    <t>Inversiones contabilizadas utilizando el método de la participación</t>
  </si>
  <si>
    <t>Inversiones en subsidiarias, negocios conjuntos y asociadas</t>
  </si>
  <si>
    <t xml:space="preserve">Cuentas comerciales por cobrar no corrientes </t>
  </si>
  <si>
    <t xml:space="preserve">Otros activos financieros no corrientes </t>
  </si>
  <si>
    <t xml:space="preserve">Total de activos no corrientes </t>
  </si>
  <si>
    <t>Total de activos</t>
  </si>
  <si>
    <t>Otras provisiones corrientes</t>
  </si>
  <si>
    <t>Cuentas por pagar comerciales</t>
  </si>
  <si>
    <t>Pasivos por impuestos corrientes</t>
  </si>
  <si>
    <t>Otros pasivos financieros corrientes</t>
  </si>
  <si>
    <t>Provisiones no corrientes por beneficios a los empleados</t>
  </si>
  <si>
    <t>Otras provisiones no corrientes</t>
  </si>
  <si>
    <t>Cuentas comerciales por pagar no corrientes</t>
  </si>
  <si>
    <t>Pasivo por impuestos diferidos</t>
  </si>
  <si>
    <t>Otros pasivos financieros no corrientes</t>
  </si>
  <si>
    <t>Total de pasivos no corrientes</t>
  </si>
  <si>
    <t>Total pasivos</t>
  </si>
  <si>
    <t>Capital emitido</t>
  </si>
  <si>
    <t>Acciones propias en cartera</t>
  </si>
  <si>
    <t>Otras reservas</t>
  </si>
  <si>
    <t>Ganancias acumuladas</t>
  </si>
  <si>
    <t>Patrimonio total</t>
  </si>
  <si>
    <t>Total de patrimonio y pasivos</t>
  </si>
  <si>
    <t>Ingresos de actividades ordinarias</t>
  </si>
  <si>
    <t>Costo de ventas</t>
  </si>
  <si>
    <t>Utilidad bruta</t>
  </si>
  <si>
    <t>Otros ingresos</t>
  </si>
  <si>
    <t>Costos de distribución</t>
  </si>
  <si>
    <t>Gastos de administración</t>
  </si>
  <si>
    <t>Otros gastos</t>
  </si>
  <si>
    <t xml:space="preserve">Otras ganancias (pérdidas) </t>
  </si>
  <si>
    <t>Utilidad operacional</t>
  </si>
  <si>
    <t>Ingresos financieros</t>
  </si>
  <si>
    <t>Costos financieros</t>
  </si>
  <si>
    <t>Participación en las ganancias (pérdidas) de Subsidiarias, etc</t>
  </si>
  <si>
    <t>Utilidad antes de impuestos</t>
  </si>
  <si>
    <t>Ingreso (gasto) por impuestos</t>
  </si>
  <si>
    <t>Utilidad neta</t>
  </si>
  <si>
    <t>Pasivos corrientes totales</t>
  </si>
  <si>
    <t>Depreciaciones y amortizaciones</t>
  </si>
  <si>
    <t>Dividendos</t>
  </si>
  <si>
    <t>Margen Bruto</t>
  </si>
  <si>
    <t>Margen Operacional</t>
  </si>
  <si>
    <t>Margen EBITDA</t>
  </si>
  <si>
    <t>Margen Neto</t>
  </si>
  <si>
    <t>Deudas corto plazo</t>
  </si>
  <si>
    <t>Deudas largo plazo</t>
  </si>
  <si>
    <t>Total deudas financieras</t>
  </si>
  <si>
    <t>Intereses</t>
  </si>
  <si>
    <t>CAPEX (Activo Fijo=PPE+Intangibles)</t>
  </si>
  <si>
    <t>EBITDA</t>
  </si>
  <si>
    <t>Considera los aumentos en las Reservas</t>
  </si>
  <si>
    <t>Prom. Activos</t>
  </si>
  <si>
    <t>Rotación Activos</t>
  </si>
  <si>
    <t>veces</t>
  </si>
  <si>
    <t>Activos Fijos (AF) = CAPEX</t>
  </si>
  <si>
    <t>Prom. AF</t>
  </si>
  <si>
    <t>Rotación AF</t>
  </si>
  <si>
    <t>Prom. Inventarios</t>
  </si>
  <si>
    <t>Rotación Inventarios</t>
  </si>
  <si>
    <t>Días de Inventario</t>
  </si>
  <si>
    <t>días</t>
  </si>
  <si>
    <t>Prom. CxC</t>
  </si>
  <si>
    <t>Rotación CxC</t>
  </si>
  <si>
    <t>Días de CxC</t>
  </si>
  <si>
    <t>Inventario Inicial</t>
  </si>
  <si>
    <t>Inventario Final</t>
  </si>
  <si>
    <t>Compras</t>
  </si>
  <si>
    <t>Prom. CxP</t>
  </si>
  <si>
    <t>Rotación CxP</t>
  </si>
  <si>
    <t>Días de CxP</t>
  </si>
  <si>
    <t>Ciclo de efectivo</t>
  </si>
  <si>
    <t>KTNO</t>
  </si>
  <si>
    <t>Prom. KTNO</t>
  </si>
  <si>
    <t>Rotación KTNO</t>
  </si>
  <si>
    <t>Nacionales</t>
  </si>
  <si>
    <t>TOTAL</t>
  </si>
  <si>
    <t>En el exterior</t>
  </si>
  <si>
    <t>Análisis Horizontal</t>
  </si>
  <si>
    <t>A. Vertical</t>
  </si>
  <si>
    <t>Promedio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</si>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</sst>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2"/>
      <color theme="1"/>
      <name val="Aptos Narrow"/>
      <family val="2"/>
      <scheme val="minor"/>
    </font>
    <font>
      <b/>
      <sz val="12"/>
      <color rgb="FF14085C"/>
      <name val="Franklin Gothic Book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5">
    <xf numFmtId="0" fontId="0" fillId="0" borderId="0" xfId="0"/>
    <xf numFmtId="165" fontId="3" fillId="0" borderId="0" xfId="2" applyNumberFormat="1" applyFont="1" applyBorder="1" applyAlignment="1">
      <alignment vertical="center"/>
    </xf>
    <xf numFmtId="165" fontId="4" fillId="0" borderId="0" xfId="2" applyNumberFormat="1" applyFont="1" applyBorder="1" applyAlignment="1">
      <alignment vertical="center"/>
    </xf>
    <xf numFmtId="1" fontId="4" fillId="0" borderId="2" xfId="2" applyNumberFormat="1" applyFont="1" applyBorder="1" applyAlignment="1">
      <alignment horizontal="center" vertical="center"/>
    </xf>
    <xf numFmtId="6" fontId="5" fillId="2" borderId="2" xfId="0" applyNumberFormat="1" applyFont="1" applyFill="1" applyBorder="1" applyAlignment="1">
      <alignment horizontal="center" vertical="center"/>
    </xf>
    <xf numFmtId="6" fontId="6" fillId="0" borderId="3" xfId="0" applyNumberFormat="1" applyFont="1" applyBorder="1" applyAlignment="1">
      <alignment horizontal="center" vertical="center"/>
    </xf>
    <xf numFmtId="6" fontId="0" fillId="0" borderId="0" xfId="0" applyNumberFormat="1"/>
    <xf numFmtId="9" fontId="5" fillId="2" borderId="2" xfId="1" applyFont="1" applyFill="1" applyBorder="1" applyAlignment="1">
      <alignment horizontal="center" vertical="center"/>
    </xf>
    <xf numFmtId="0" fontId="7" fillId="0" borderId="0" xfId="0" applyFont="1"/>
    <xf numFmtId="165" fontId="4" fillId="0" borderId="0" xfId="2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49" fontId="4" fillId="0" borderId="2" xfId="2" applyNumberFormat="1" applyFont="1" applyBorder="1" applyAlignment="1">
      <alignment horizontal="center" vertical="center"/>
    </xf>
    <xf numFmtId="165" fontId="8" fillId="0" borderId="0" xfId="2" applyNumberFormat="1" applyFont="1" applyBorder="1" applyAlignment="1">
      <alignment vertical="center"/>
    </xf>
    <xf numFmtId="166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4" fillId="0" borderId="0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0" fillId="0" borderId="0" xfId="1" applyFont="1"/>
    <xf numFmtId="0" fontId="9" fillId="0" borderId="0" xfId="0" applyFont="1"/>
    <xf numFmtId="1" fontId="4" fillId="0" borderId="2" xfId="2" applyNumberFormat="1" applyFont="1" applyBorder="1" applyAlignment="1">
      <alignment horizontal="center" vertical="center"/>
    </xf>
    <xf numFmtId="1" fontId="4" fillId="0" borderId="0" xfId="2" applyNumberFormat="1" applyFont="1" applyBorder="1" applyAlignment="1">
      <alignment horizontal="center" vertical="center"/>
    </xf>
    <xf numFmtId="49" fontId="4" fillId="0" borderId="2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</cellXfs>
  <cellStyles count="3">
    <cellStyle name="Comma 28" xfId="2" xr:uid="{36DF36B3-5D40-4DEC-AC5A-7F6F0B60A83F}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F6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UNIÓN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Hoja1!$A$17</c:f>
              <c:strCache>
                <c:ptCount val="1"/>
                <c:pt idx="0">
                  <c:v> Total de activos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Hoja1!$B$4:$G$4</c:f>
              <c:numCache>
                <c:formatCode>0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Hoja1!$B$17:$G$17</c:f>
              <c:numCache>
                <c:formatCode>"$"#,##0_);[Red]\("$"#,##0\)</c:formatCode>
                <c:ptCount val="6"/>
                <c:pt idx="0">
                  <c:v>1439011656</c:v>
                </c:pt>
                <c:pt idx="1">
                  <c:v>1709044719</c:v>
                </c:pt>
                <c:pt idx="2">
                  <c:v>1185097274</c:v>
                </c:pt>
                <c:pt idx="3">
                  <c:v>1291200550</c:v>
                </c:pt>
                <c:pt idx="4">
                  <c:v>1568118598</c:v>
                </c:pt>
                <c:pt idx="5">
                  <c:v>2076908165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9-444C-AFA0-0822FEF5A250}"/>
            </c:ext>
          </c:extLst>
        </c:ser>
        <c:ser>
          <c:idx val="2"/>
          <c:order val="2"/>
          <c:tx>
            <c:strRef>
              <c:f>Hoja1!$A$10</c:f>
              <c:strCache>
                <c:ptCount val="1"/>
                <c:pt idx="0">
                  <c:v> Propiedades, planta y equipo 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Hoja1!$B$4:$G$4</c:f>
              <c:numCache>
                <c:formatCode>0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Hoja1!$B$10:$G$10</c:f>
              <c:numCache>
                <c:formatCode>"$"#,##0_);[Red]\("$"#,##0\)</c:formatCode>
                <c:ptCount val="6"/>
                <c:pt idx="0">
                  <c:v>414772516</c:v>
                </c:pt>
                <c:pt idx="1">
                  <c:v>437834894</c:v>
                </c:pt>
                <c:pt idx="2">
                  <c:v>434465122</c:v>
                </c:pt>
                <c:pt idx="3">
                  <c:v>436664188</c:v>
                </c:pt>
                <c:pt idx="4">
                  <c:v>474147238</c:v>
                </c:pt>
                <c:pt idx="5">
                  <c:v>504896744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9-444C-AFA0-0822FEF5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lineChart>
        <c:grouping val="standard"/>
        <c:varyColors val="0"/>
        <c:ser>
          <c:idx val="0"/>
          <c:order val="0"/>
          <c:tx>
            <c:strRef>
              <c:f>Hoja1!$A$40</c:f>
              <c:strCache>
                <c:ptCount val="1"/>
                <c:pt idx="0">
                  <c:v> Ingresos de actividades ordinarias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Hoja1!$B$4:$G$4</c:f>
              <c:numCache>
                <c:formatCode>0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Hoja1!$B$40:$G$40</c:f>
              <c:numCache>
                <c:formatCode>"$"#,##0_);[Red]\("$"#,##0\)</c:formatCode>
                <c:ptCount val="6"/>
                <c:pt idx="0">
                  <c:v>701437389</c:v>
                </c:pt>
                <c:pt idx="1">
                  <c:v>622343245</c:v>
                </c:pt>
                <c:pt idx="2">
                  <c:v>585561599</c:v>
                </c:pt>
                <c:pt idx="3">
                  <c:v>742650492</c:v>
                </c:pt>
                <c:pt idx="4">
                  <c:v>816033385</c:v>
                </c:pt>
                <c:pt idx="5">
                  <c:v>896957091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9-444C-AFA0-0822FEF5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4175"/>
        <c:axId val="534984655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UNIÓN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Hoja1!$A$62</c:f>
              <c:strCache>
                <c:ptCount val="1"/>
                <c:pt idx="0">
                  <c:v> Margen Bruto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Hoja1!$C$61:$G$61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Hoja1!$C$62:$G$62</c:f>
              <c:numCache>
                <c:formatCode>0%</c:formatCode>
                <c:ptCount val="5"/>
                <c:pt idx="0">
                  <c:v>0.74082987114289323</c:v>
                </c:pt>
                <c:pt idx="1">
                  <c:v>0.70010177699511333</c:v>
                </c:pt>
                <c:pt idx="2">
                  <c:v>0.68454977742073586</c:v>
                </c:pt>
                <c:pt idx="3">
                  <c:v>0.62569729055876799</c:v>
                </c:pt>
                <c:pt idx="4">
                  <c:v>0.60078794560753412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E0-44FC-AFD2-83EEE7A62770}"/>
            </c:ext>
          </c:extLst>
        </c:ser>
        <c:ser>
          <c:idx val="4"/>
          <c:order val="1"/>
          <c:tx>
            <c:strRef>
              <c:f>Hoja1!$A$64</c:f>
              <c:strCache>
                <c:ptCount val="1"/>
                <c:pt idx="0">
                  <c:v> Margen EBITDA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Hoja1!$C$61:$G$61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Hoja1!$C$64:$G$64</c:f>
              <c:numCache>
                <c:formatCode>0%</c:formatCode>
                <c:ptCount val="5"/>
                <c:pt idx="0">
                  <c:v>0.54981188556164051</c:v>
                </c:pt>
                <c:pt idx="1">
                  <c:v>0.56868214133010453</c:v>
                </c:pt>
                <c:pt idx="2">
                  <c:v>0.58013933423745712</c:v>
                </c:pt>
                <c:pt idx="3">
                  <c:v>0.54774440631494503</c:v>
                </c:pt>
                <c:pt idx="4">
                  <c:v>0.50693470686882613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E0-44FC-AFD2-83EEE7A6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UNIÓN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Δ Ingresos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621778915787241E-2"/>
                  <c:y val="-3.0592734225621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54-42CF-A173-691D7B91BCC7}"/>
                </c:ext>
              </c:extLst>
            </c:dLbl>
            <c:dLbl>
              <c:idx val="1"/>
              <c:layout>
                <c:manualLayout>
                  <c:x val="-1.5873926305262472E-2"/>
                  <c:y val="1.529636711281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54-42CF-A173-691D7B91BCC7}"/>
                </c:ext>
              </c:extLst>
            </c:dLbl>
            <c:dLbl>
              <c:idx val="3"/>
              <c:layout>
                <c:manualLayout>
                  <c:x val="-1.5873926305262409E-2"/>
                  <c:y val="-2.804333970681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54-42CF-A173-691D7B91BC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Hoja1!$C$61:$G$61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Hoja1!$I$40:$M$40</c:f>
              <c:numCache>
                <c:formatCode>0%</c:formatCode>
                <c:ptCount val="5"/>
                <c:pt idx="0">
                  <c:v>-0.11276009126453912</c:v>
                </c:pt>
                <c:pt idx="1">
                  <c:v>-5.910186427748565E-2</c:v>
                </c:pt>
                <c:pt idx="2">
                  <c:v>0.26827048301710787</c:v>
                </c:pt>
                <c:pt idx="3">
                  <c:v>9.881215159822454E-2</c:v>
                </c:pt>
                <c:pt idx="4">
                  <c:v>9.9167151108652263E-2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9-4CB8-820C-6D3E25931DCF}"/>
            </c:ext>
          </c:extLst>
        </c:ser>
        <c:ser>
          <c:idx val="3"/>
          <c:order val="1"/>
          <c:tx>
            <c:v>Δ Costo de ventas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929004663156845E-2"/>
                  <c:y val="-2.804333970681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54-42CF-A173-691D7B91BCC7}"/>
                </c:ext>
              </c:extLst>
            </c:dLbl>
            <c:dLbl>
              <c:idx val="1"/>
              <c:layout>
                <c:manualLayout>
                  <c:x val="-2.6456543842104076E-2"/>
                  <c:y val="2.2944550669216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54-42CF-A173-691D7B91BCC7}"/>
                </c:ext>
              </c:extLst>
            </c:dLbl>
            <c:dLbl>
              <c:idx val="2"/>
              <c:layout>
                <c:manualLayout>
                  <c:x val="-2.822031343157768E-2"/>
                  <c:y val="-2.5493945188017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54-42CF-A173-691D7B91BC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Hoja1!$C$61:$G$61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Hoja1!$I$41:$M$41</c:f>
              <c:numCache>
                <c:formatCode>0%</c:formatCode>
                <c:ptCount val="5"/>
                <c:pt idx="0">
                  <c:v>0.1695669733493641</c:v>
                </c:pt>
                <c:pt idx="1">
                  <c:v>8.8758493025902885E-2</c:v>
                </c:pt>
                <c:pt idx="2">
                  <c:v>0.3340399357816084</c:v>
                </c:pt>
                <c:pt idx="3">
                  <c:v>0.30381383835232367</c:v>
                </c:pt>
                <c:pt idx="4">
                  <c:v>0.17231525566526451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9-4CB8-820C-6D3E2593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4175"/>
        <c:axId val="534984655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UNIÓN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Hoja1!$A$6</c:f>
              <c:strCache>
                <c:ptCount val="1"/>
                <c:pt idx="0">
                  <c:v> Cuentas comerciales por cobrar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Hoja1!$H$6</c:f>
              <c:numCache>
                <c:formatCode>0%</c:formatCode>
                <c:ptCount val="1"/>
                <c:pt idx="0">
                  <c:v>0.52667633188297469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3-44AB-95B2-6D9411CF6F0B}"/>
            </c:ext>
          </c:extLst>
        </c:ser>
        <c:ser>
          <c:idx val="2"/>
          <c:order val="1"/>
          <c:tx>
            <c:strRef>
              <c:f>Hoja1!$A$10</c:f>
              <c:strCache>
                <c:ptCount val="1"/>
                <c:pt idx="0">
                  <c:v> Propiedades, planta y equipo 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Hoja1!$H$10</c:f>
              <c:numCache>
                <c:formatCode>0%</c:formatCode>
                <c:ptCount val="1"/>
                <c:pt idx="0">
                  <c:v>0.2431001777105537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3-44AB-95B2-6D9411CF6F0B}"/>
            </c:ext>
          </c:extLst>
        </c:ser>
        <c:ser>
          <c:idx val="0"/>
          <c:order val="2"/>
          <c:tx>
            <c:strRef>
              <c:f>Hoja1!$A$5</c:f>
              <c:strCache>
                <c:ptCount val="1"/>
                <c:pt idx="0">
                  <c:v> Efectivo y equivalentes al efectivo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Hoja1!$H$5</c:f>
              <c:numCache>
                <c:formatCode>0%</c:formatCode>
                <c:ptCount val="1"/>
                <c:pt idx="0">
                  <c:v>0.12804221365271584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3-44AB-95B2-6D9411CF6F0B}"/>
            </c:ext>
          </c:extLst>
        </c:ser>
        <c:ser>
          <c:idx val="5"/>
          <c:order val="3"/>
          <c:tx>
            <c:strRef>
              <c:f>Hoja1!$A$7</c:f>
              <c:strCache>
                <c:ptCount val="1"/>
                <c:pt idx="0">
                  <c:v> Inventarios corrientes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936117046443138E-3"/>
                  <c:y val="-4.1953128039574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E3-44AB-95B2-6D9411CF6F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Hoja1!$H$7</c:f>
              <c:numCache>
                <c:formatCode>0%</c:formatCode>
                <c:ptCount val="1"/>
                <c:pt idx="0">
                  <c:v>1.4887786335993339E-2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E3-44AB-95B2-6D9411CF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142047"/>
        <c:axId val="627143487"/>
      </c:barChart>
      <c:catAx>
        <c:axId val="6271420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3487"/>
        <c:crosses val="autoZero"/>
        <c:auto val="1"/>
        <c:lblAlgn val="ctr"/>
        <c:lblOffset val="100"/>
        <c:noMultiLvlLbl val="0"/>
      </c:catAx>
      <c:valAx>
        <c:axId val="627143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UNIÓN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Hoja1!$A$19</c:f>
              <c:strCache>
                <c:ptCount val="1"/>
                <c:pt idx="0">
                  <c:v> Cuentas por pagar comerciales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Hoja1!$H$19</c:f>
              <c:numCache>
                <c:formatCode>0%</c:formatCode>
                <c:ptCount val="1"/>
                <c:pt idx="0">
                  <c:v>0.59028145763007289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6-4C79-B985-96017B42A0E6}"/>
            </c:ext>
          </c:extLst>
        </c:ser>
        <c:ser>
          <c:idx val="3"/>
          <c:order val="1"/>
          <c:tx>
            <c:strRef>
              <c:f>Hoja1!$A$33</c:f>
              <c:strCache>
                <c:ptCount val="1"/>
                <c:pt idx="0">
                  <c:v> Ganancias acumuladas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Hoja1!$H$33</c:f>
              <c:numCache>
                <c:formatCode>0%</c:formatCode>
                <c:ptCount val="1"/>
                <c:pt idx="0">
                  <c:v>0.24067691312677755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66-4C79-B985-96017B42A0E6}"/>
            </c:ext>
          </c:extLst>
        </c:ser>
        <c:ser>
          <c:idx val="1"/>
          <c:order val="2"/>
          <c:tx>
            <c:strRef>
              <c:f>Hoja1!$A$20</c:f>
              <c:strCache>
                <c:ptCount val="1"/>
                <c:pt idx="0">
                  <c:v> Pasivos por impuestos corrientes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Hoja1!$H$20</c:f>
              <c:numCache>
                <c:formatCode>0%</c:formatCode>
                <c:ptCount val="1"/>
                <c:pt idx="0">
                  <c:v>5.7180891288951138E-2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6-4C79-B985-96017B42A0E6}"/>
            </c:ext>
          </c:extLst>
        </c:ser>
        <c:ser>
          <c:idx val="2"/>
          <c:order val="3"/>
          <c:tx>
            <c:strRef>
              <c:f>Hoja1!$A$32</c:f>
              <c:strCache>
                <c:ptCount val="1"/>
                <c:pt idx="0">
                  <c:v> Otras reservas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E66-4C79-B985-96017B42A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Hoja1!$G$4</c:f>
              <c:numCache>
                <c:formatCode>0</c:formatCode>
                <c:ptCount val="1"/>
                <c:pt idx="0">
                  <c:v>2023</c:v>
                </c:pt>
              </c:numCache>
            </c:numRef>
          </c:cat>
          <c:val>
            <c:numRef>
              <c:f>Hoja1!$H$32</c:f>
              <c:numCache>
                <c:formatCode>0%</c:formatCode>
                <c:ptCount val="1"/>
                <c:pt idx="0">
                  <c:v>8.065830633392497E-2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66-4C79-B985-96017B42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142047"/>
        <c:axId val="627143487"/>
      </c:barChart>
      <c:catAx>
        <c:axId val="6271420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3487"/>
        <c:crosses val="autoZero"/>
        <c:auto val="1"/>
        <c:lblAlgn val="ctr"/>
        <c:lblOffset val="100"/>
        <c:noMultiLvlLbl val="0"/>
      </c:catAx>
      <c:valAx>
        <c:axId val="627143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271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UNIÓN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Δ Cuentas por Cobrar</c:v>
          </c:tx>
          <c:spPr>
            <a:solidFill>
              <a:srgbClr val="EF664B"/>
            </a:solidFill>
            <a:ln w="31750">
              <a:solidFill>
                <a:srgbClr val="EF664B"/>
              </a:solidFill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Hoja1!$I$6:$M$6</c:f>
              <c:numCache>
                <c:formatCode>0%</c:formatCode>
                <c:ptCount val="5"/>
                <c:pt idx="0">
                  <c:v>0.31634347937526663</c:v>
                </c:pt>
                <c:pt idx="1">
                  <c:v>-0.53207474105001418</c:v>
                </c:pt>
                <c:pt idx="2">
                  <c:v>0.28913864916119247</c:v>
                </c:pt>
                <c:pt idx="3">
                  <c:v>0.53632272628563893</c:v>
                </c:pt>
                <c:pt idx="4">
                  <c:v>0.34090456794629542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6-4AC6-8CA2-878F7AD2F96B}"/>
            </c:ext>
          </c:extLst>
        </c:ser>
        <c:ser>
          <c:idx val="2"/>
          <c:order val="2"/>
          <c:tx>
            <c:v>Δ Inventarios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Hoja1!$I$7:$M$7</c:f>
              <c:numCache>
                <c:formatCode>0%</c:formatCode>
                <c:ptCount val="5"/>
                <c:pt idx="0">
                  <c:v>0.20083310049703806</c:v>
                </c:pt>
                <c:pt idx="1">
                  <c:v>-1.224049388262527E-2</c:v>
                </c:pt>
                <c:pt idx="2">
                  <c:v>3.5315106076752478E-2</c:v>
                </c:pt>
                <c:pt idx="3">
                  <c:v>0.52856336212910926</c:v>
                </c:pt>
                <c:pt idx="4">
                  <c:v>-9.09630115433534E-2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6-4AC6-8CA2-878F7AD2F96B}"/>
            </c:ext>
          </c:extLst>
        </c:ser>
        <c:ser>
          <c:idx val="3"/>
          <c:order val="3"/>
          <c:tx>
            <c:v>Δ Cuentas por Pagar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Hoja1!$I$19:$M$19</c:f>
              <c:numCache>
                <c:formatCode>0%</c:formatCode>
                <c:ptCount val="5"/>
                <c:pt idx="0">
                  <c:v>0.67064890956609391</c:v>
                </c:pt>
                <c:pt idx="1">
                  <c:v>-0.5682885666478672</c:v>
                </c:pt>
                <c:pt idx="2">
                  <c:v>0.20279650670163174</c:v>
                </c:pt>
                <c:pt idx="3">
                  <c:v>0.66420900450157161</c:v>
                </c:pt>
                <c:pt idx="4">
                  <c:v>0.63748230593767707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6-4AC6-8CA2-878F7AD2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lineChart>
        <c:grouping val="standard"/>
        <c:varyColors val="0"/>
        <c:ser>
          <c:idx val="0"/>
          <c:order val="0"/>
          <c:tx>
            <c:v>Δ Ingresos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608831878659818E-2"/>
                  <c:y val="1.529636711281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66-4AC6-8CA2-878F7AD2F96B}"/>
                </c:ext>
              </c:extLst>
            </c:dLbl>
            <c:dLbl>
              <c:idx val="1"/>
              <c:layout>
                <c:manualLayout>
                  <c:x val="-2.0047143074034945E-2"/>
                  <c:y val="2.2944550669216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66-4AC6-8CA2-878F7AD2F96B}"/>
                </c:ext>
              </c:extLst>
            </c:dLbl>
            <c:dLbl>
              <c:idx val="2"/>
              <c:layout>
                <c:manualLayout>
                  <c:x val="-3.6449351043699903E-2"/>
                  <c:y val="-2.804333970681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6-4AC6-8CA2-878F7AD2F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Hoja1!$I$40:$M$40</c:f>
              <c:numCache>
                <c:formatCode>0%</c:formatCode>
                <c:ptCount val="5"/>
                <c:pt idx="0">
                  <c:v>-0.11276009126453912</c:v>
                </c:pt>
                <c:pt idx="1">
                  <c:v>-5.910186427748565E-2</c:v>
                </c:pt>
                <c:pt idx="2">
                  <c:v>0.26827048301710787</c:v>
                </c:pt>
                <c:pt idx="3">
                  <c:v>9.881215159822454E-2</c:v>
                </c:pt>
                <c:pt idx="4">
                  <c:v>9.9167151108652263E-2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6-4AC6-8CA2-878F7AD2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98399"/>
        <c:axId val="355087839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valAx>
        <c:axId val="3550878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355098399"/>
        <c:crosses val="max"/>
        <c:crossBetween val="between"/>
      </c:valAx>
      <c:catAx>
        <c:axId val="355098399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35508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UNIÓN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Hoja1!$P$29</c:f>
              <c:strCache>
                <c:ptCount val="1"/>
                <c:pt idx="0">
                  <c:v> KTNO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Hoja1!$R$29:$V$29</c:f>
              <c:numCache>
                <c:formatCode>"$"#,##0_);[Red]\("$"#,##0\)</c:formatCode>
                <c:ptCount val="5"/>
                <c:pt idx="0">
                  <c:v>-5781091</c:v>
                </c:pt>
                <c:pt idx="1">
                  <c:v>-3878354</c:v>
                </c:pt>
                <c:pt idx="2">
                  <c:v>135703575</c:v>
                </c:pt>
                <c:pt idx="3">
                  <c:v>75152952</c:v>
                </c:pt>
                <c:pt idx="4">
                  <c:v>45991019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9-4AF8-A7D3-0FAECB28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lineChart>
        <c:grouping val="standard"/>
        <c:varyColors val="0"/>
        <c:ser>
          <c:idx val="0"/>
          <c:order val="0"/>
          <c:tx>
            <c:v>Δ Ingresos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9091461179898E-2"/>
                  <c:y val="-5.6086679413639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39-4AF8-A7D3-0FAECB283C1E}"/>
                </c:ext>
              </c:extLst>
            </c:dLbl>
            <c:dLbl>
              <c:idx val="1"/>
              <c:layout>
                <c:manualLayout>
                  <c:x val="-2.0047143074034945E-2"/>
                  <c:y val="2.2944550669216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39-4AF8-A7D3-0FAECB283C1E}"/>
                </c:ext>
              </c:extLst>
            </c:dLbl>
            <c:dLbl>
              <c:idx val="2"/>
              <c:layout>
                <c:manualLayout>
                  <c:x val="-3.6449351043699903E-2"/>
                  <c:y val="-2.804333970681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39-4AF8-A7D3-0FAECB283C1E}"/>
                </c:ext>
              </c:extLst>
            </c:dLbl>
            <c:dLbl>
              <c:idx val="3"/>
              <c:layout>
                <c:manualLayout>
                  <c:x val="-2.1869610626220073E-2"/>
                  <c:y val="-3.3142128744423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39-4AF8-A7D3-0FAECB283C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Hoja1!$I$4:$M$4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Hoja1!$I$40:$M$40</c:f>
              <c:numCache>
                <c:formatCode>0%</c:formatCode>
                <c:ptCount val="5"/>
                <c:pt idx="0">
                  <c:v>-0.11276009126453912</c:v>
                </c:pt>
                <c:pt idx="1">
                  <c:v>-5.910186427748565E-2</c:v>
                </c:pt>
                <c:pt idx="2">
                  <c:v>0.26827048301710787</c:v>
                </c:pt>
                <c:pt idx="3">
                  <c:v>9.881215159822454E-2</c:v>
                </c:pt>
                <c:pt idx="4">
                  <c:v>9.9167151108652263E-2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39-4AF8-A7D3-0FAECB28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98399"/>
        <c:axId val="355087839"/>
      </c:line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valAx>
        <c:axId val="3550878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355098399"/>
        <c:crosses val="max"/>
        <c:crossBetween val="between"/>
      </c:valAx>
      <c:catAx>
        <c:axId val="355098399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35508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CERVECERIA UNIÓN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Hoja1!$P$14</c:f>
              <c:strCache>
                <c:ptCount val="1"/>
                <c:pt idx="0">
                  <c:v> Días de Inventario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Hoja1!$R$4:$V$4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Hoja1!$R$14:$V$14</c:f>
              <c:numCache>
                <c:formatCode>0</c:formatCode>
                <c:ptCount val="5"/>
                <c:pt idx="0">
                  <c:v>45.124359891523717</c:v>
                </c:pt>
                <c:pt idx="1">
                  <c:v>44.950950445371269</c:v>
                </c:pt>
                <c:pt idx="2">
                  <c:v>34.079175807199256</c:v>
                </c:pt>
                <c:pt idx="3">
                  <c:v>33.619266393506933</c:v>
                </c:pt>
                <c:pt idx="4">
                  <c:v>33.095409865729572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3-4822-9F3F-2AD134DAF03B}"/>
            </c:ext>
          </c:extLst>
        </c:ser>
        <c:ser>
          <c:idx val="4"/>
          <c:order val="1"/>
          <c:tx>
            <c:strRef>
              <c:f>Hoja1!$P$18</c:f>
              <c:strCache>
                <c:ptCount val="1"/>
                <c:pt idx="0">
                  <c:v> Días de CxC </c:v>
                </c:pt>
              </c:strCache>
            </c:strRef>
          </c:tx>
          <c:spPr>
            <a:solidFill>
              <a:srgbClr val="EF664B"/>
            </a:solidFill>
            <a:ln>
              <a:solidFill>
                <a:srgbClr val="EF664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Hoja1!$R$4:$V$4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Hoja1!$R$18:$V$18</c:f>
              <c:numCache>
                <c:formatCode>0</c:formatCode>
                <c:ptCount val="5"/>
                <c:pt idx="0">
                  <c:v>454.22525129601109</c:v>
                </c:pt>
                <c:pt idx="1">
                  <c:v>402.71599259619484</c:v>
                </c:pt>
                <c:pt idx="2">
                  <c:v>231.70298845974509</c:v>
                </c:pt>
                <c:pt idx="3">
                  <c:v>301.18977629512057</c:v>
                </c:pt>
                <c:pt idx="4">
                  <c:v>388.54214724358536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3-4822-9F3F-2AD134DAF03B}"/>
            </c:ext>
          </c:extLst>
        </c:ser>
        <c:ser>
          <c:idx val="0"/>
          <c:order val="2"/>
          <c:tx>
            <c:strRef>
              <c:f>Hoja1!$P$25</c:f>
              <c:strCache>
                <c:ptCount val="1"/>
                <c:pt idx="0">
                  <c:v> Días de CxP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Hoja1!$R$4:$V$4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Hoja1!$R$25:$V$25</c:f>
              <c:numCache>
                <c:formatCode>0</c:formatCode>
                <c:ptCount val="5"/>
                <c:pt idx="0">
                  <c:v>1532.4832262714488</c:v>
                </c:pt>
                <c:pt idx="1">
                  <c:v>1291.0329780515885</c:v>
                </c:pt>
                <c:pt idx="2">
                  <c:v>639.75966832770484</c:v>
                </c:pt>
                <c:pt idx="3">
                  <c:v>689.57650580139284</c:v>
                </c:pt>
                <c:pt idx="4">
                  <c:v>1015.1866534382591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3-4822-9F3F-2AD134DAF03B}"/>
            </c:ext>
          </c:extLst>
        </c:ser>
        <c:ser>
          <c:idx val="1"/>
          <c:order val="3"/>
          <c:tx>
            <c:strRef>
              <c:f>Hoja1!$P$27</c:f>
              <c:strCache>
                <c:ptCount val="1"/>
                <c:pt idx="0">
                  <c:v> Ciclo de efectivo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Hoja1!$R$4:$V$4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Hoja1!$R$27:$V$27</c:f>
              <c:numCache>
                <c:formatCode>0</c:formatCode>
                <c:ptCount val="5"/>
                <c:pt idx="0">
                  <c:v>-1033.1336150839138</c:v>
                </c:pt>
                <c:pt idx="1">
                  <c:v>-843.36603501002242</c:v>
                </c:pt>
                <c:pt idx="2">
                  <c:v>-373.97750406076051</c:v>
                </c:pt>
                <c:pt idx="3">
                  <c:v>-354.76746311276531</c:v>
                </c:pt>
                <c:pt idx="4">
                  <c:v>-593.54909632894419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3-4822-9F3F-2AD134DA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84175"/>
        <c:axId val="534984655"/>
      </c:barChart>
      <c:catAx>
        <c:axId val="5349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655"/>
        <c:crosses val="autoZero"/>
        <c:auto val="1"/>
        <c:lblAlgn val="ctr"/>
        <c:lblOffset val="100"/>
        <c:noMultiLvlLbl val="0"/>
      </c:catAx>
      <c:valAx>
        <c:axId val="53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349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525887</xdr:colOff>
      <xdr:row>3</xdr:row>
      <xdr:rowOff>19050</xdr:rowOff>
    </xdr:from>
    <xdr:to>
      <xdr:col>26</xdr:col>
      <xdr:colOff>747903</xdr:colOff>
      <xdr:row>4</xdr:row>
      <xdr:rowOff>98413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989D5A-2324-4C2C-BB22-ED00479C820A}"/>
                </a:ext>
              </a:extLst>
            </xdr:cNvPr>
            <xdr:cNvSpPr txBox="1"/>
          </xdr:nvSpPr>
          <xdr:spPr>
            <a:xfrm>
              <a:off x="22528637" y="647700"/>
              <a:ext cx="3270016" cy="2889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989D5A-2324-4C2C-BB22-ED00479C820A}"/>
                </a:ext>
              </a:extLst>
            </xdr:cNvPr>
            <xdr:cNvSpPr txBox="1"/>
          </xdr:nvSpPr>
          <xdr:spPr>
            <a:xfrm>
              <a:off x="22528637" y="647700"/>
              <a:ext cx="3270016" cy="2889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634742</xdr:colOff>
      <xdr:row>6</xdr:row>
      <xdr:rowOff>206107</xdr:rowOff>
    </xdr:from>
    <xdr:to>
      <xdr:col>26</xdr:col>
      <xdr:colOff>585409</xdr:colOff>
      <xdr:row>8</xdr:row>
      <xdr:rowOff>102963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782DF4A2-996E-405A-AE16-1A43E7F734D1}"/>
                </a:ext>
              </a:extLst>
            </xdr:cNvPr>
            <xdr:cNvSpPr txBox="1"/>
          </xdr:nvSpPr>
          <xdr:spPr>
            <a:xfrm>
              <a:off x="22637492" y="1463407"/>
              <a:ext cx="2998667" cy="3159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782DF4A2-996E-405A-AE16-1A43E7F734D1}"/>
                </a:ext>
              </a:extLst>
            </xdr:cNvPr>
            <xdr:cNvSpPr txBox="1"/>
          </xdr:nvSpPr>
          <xdr:spPr>
            <a:xfrm>
              <a:off x="22637492" y="1463407"/>
              <a:ext cx="2998667" cy="3159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572921</xdr:colOff>
      <xdr:row>11</xdr:row>
      <xdr:rowOff>86817</xdr:rowOff>
    </xdr:from>
    <xdr:to>
      <xdr:col>26</xdr:col>
      <xdr:colOff>625371</xdr:colOff>
      <xdr:row>12</xdr:row>
      <xdr:rowOff>167481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889F4B85-C4EC-4CFA-BBC9-D658B6DC2DB2}"/>
                </a:ext>
              </a:extLst>
            </xdr:cNvPr>
            <xdr:cNvSpPr txBox="1"/>
          </xdr:nvSpPr>
          <xdr:spPr>
            <a:xfrm>
              <a:off x="22575671" y="2391867"/>
              <a:ext cx="3100450" cy="29021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889F4B85-C4EC-4CFA-BBC9-D658B6DC2DB2}"/>
                </a:ext>
              </a:extLst>
            </xdr:cNvPr>
            <xdr:cNvSpPr txBox="1"/>
          </xdr:nvSpPr>
          <xdr:spPr>
            <a:xfrm>
              <a:off x="22575671" y="2391867"/>
              <a:ext cx="3100450" cy="29021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23</xdr:col>
      <xdr:colOff>10295</xdr:colOff>
      <xdr:row>13</xdr:row>
      <xdr:rowOff>49986</xdr:rowOff>
    </xdr:from>
    <xdr:to>
      <xdr:col>26</xdr:col>
      <xdr:colOff>345821</xdr:colOff>
      <xdr:row>14</xdr:row>
      <xdr:rowOff>133838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BDD3CAF2-104E-4689-9BA3-718E553BF270}"/>
                </a:ext>
              </a:extLst>
            </xdr:cNvPr>
            <xdr:cNvSpPr txBox="1"/>
          </xdr:nvSpPr>
          <xdr:spPr>
            <a:xfrm>
              <a:off x="22775045" y="2774136"/>
              <a:ext cx="2621526" cy="2934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BDD3CAF2-104E-4689-9BA3-718E553BF270}"/>
                </a:ext>
              </a:extLst>
            </xdr:cNvPr>
            <xdr:cNvSpPr txBox="1"/>
          </xdr:nvSpPr>
          <xdr:spPr>
            <a:xfrm>
              <a:off x="22775045" y="2774136"/>
              <a:ext cx="2621526" cy="2934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599543</xdr:colOff>
      <xdr:row>15</xdr:row>
      <xdr:rowOff>74889</xdr:rowOff>
    </xdr:from>
    <xdr:to>
      <xdr:col>27</xdr:col>
      <xdr:colOff>594880</xdr:colOff>
      <xdr:row>17</xdr:row>
      <xdr:rowOff>66780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62897E91-4A04-48C1-83AC-9909FFB35F5F}"/>
                </a:ext>
              </a:extLst>
            </xdr:cNvPr>
            <xdr:cNvSpPr txBox="1"/>
          </xdr:nvSpPr>
          <xdr:spPr>
            <a:xfrm>
              <a:off x="22602293" y="3218139"/>
              <a:ext cx="3805337" cy="41099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62897E91-4A04-48C1-83AC-9909FFB35F5F}"/>
                </a:ext>
              </a:extLst>
            </xdr:cNvPr>
            <xdr:cNvSpPr txBox="1"/>
          </xdr:nvSpPr>
          <xdr:spPr>
            <a:xfrm>
              <a:off x="22602293" y="3218139"/>
              <a:ext cx="3805337" cy="41099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651013</xdr:colOff>
      <xdr:row>17</xdr:row>
      <xdr:rowOff>57490</xdr:rowOff>
    </xdr:from>
    <xdr:to>
      <xdr:col>27</xdr:col>
      <xdr:colOff>565246</xdr:colOff>
      <xdr:row>18</xdr:row>
      <xdr:rowOff>165195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2DFADC0B-3B52-44E7-9A00-62D1B851C81F}"/>
                </a:ext>
              </a:extLst>
            </xdr:cNvPr>
            <xdr:cNvSpPr txBox="1"/>
          </xdr:nvSpPr>
          <xdr:spPr>
            <a:xfrm>
              <a:off x="22653763" y="3619840"/>
              <a:ext cx="3724233" cy="31725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2DFADC0B-3B52-44E7-9A00-62D1B851C81F}"/>
                </a:ext>
              </a:extLst>
            </xdr:cNvPr>
            <xdr:cNvSpPr txBox="1"/>
          </xdr:nvSpPr>
          <xdr:spPr>
            <a:xfrm>
              <a:off x="22653763" y="3619840"/>
              <a:ext cx="3724233" cy="31725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569370</xdr:colOff>
      <xdr:row>21</xdr:row>
      <xdr:rowOff>37781</xdr:rowOff>
    </xdr:from>
    <xdr:to>
      <xdr:col>27</xdr:col>
      <xdr:colOff>558468</xdr:colOff>
      <xdr:row>22</xdr:row>
      <xdr:rowOff>147241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BFDAA9B5-718B-4202-ACD9-CE0C301258FC}"/>
                </a:ext>
              </a:extLst>
            </xdr:cNvPr>
            <xdr:cNvSpPr txBox="1"/>
          </xdr:nvSpPr>
          <xdr:spPr>
            <a:xfrm>
              <a:off x="22572120" y="4438331"/>
              <a:ext cx="3799098" cy="3190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BFDAA9B5-718B-4202-ACD9-CE0C301258FC}"/>
                </a:ext>
              </a:extLst>
            </xdr:cNvPr>
            <xdr:cNvSpPr txBox="1"/>
          </xdr:nvSpPr>
          <xdr:spPr>
            <a:xfrm>
              <a:off x="22572120" y="4438331"/>
              <a:ext cx="3799098" cy="3190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615517</xdr:colOff>
      <xdr:row>19</xdr:row>
      <xdr:rowOff>183763</xdr:rowOff>
    </xdr:from>
    <xdr:to>
      <xdr:col>28</xdr:col>
      <xdr:colOff>64538</xdr:colOff>
      <xdr:row>20</xdr:row>
      <xdr:rowOff>125572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9936A83D-CE1A-4BB3-A6B9-5F1FDBDDBF3E}"/>
                </a:ext>
              </a:extLst>
            </xdr:cNvPr>
            <xdr:cNvSpPr txBox="1"/>
          </xdr:nvSpPr>
          <xdr:spPr>
            <a:xfrm>
              <a:off x="22618267" y="4165213"/>
              <a:ext cx="4021021" cy="1513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9936A83D-CE1A-4BB3-A6B9-5F1FDBDDBF3E}"/>
                </a:ext>
              </a:extLst>
            </xdr:cNvPr>
            <xdr:cNvSpPr txBox="1"/>
          </xdr:nvSpPr>
          <xdr:spPr>
            <a:xfrm>
              <a:off x="22618267" y="4165213"/>
              <a:ext cx="4021021" cy="15135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371475</xdr:colOff>
      <xdr:row>22</xdr:row>
      <xdr:rowOff>204790</xdr:rowOff>
    </xdr:from>
    <xdr:to>
      <xdr:col>28</xdr:col>
      <xdr:colOff>41341</xdr:colOff>
      <xdr:row>24</xdr:row>
      <xdr:rowOff>106582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21F0BD28-77CC-44BB-B392-A8792774B8BC}"/>
                </a:ext>
              </a:extLst>
            </xdr:cNvPr>
            <xdr:cNvSpPr txBox="1"/>
          </xdr:nvSpPr>
          <xdr:spPr>
            <a:xfrm>
              <a:off x="22374225" y="4814890"/>
              <a:ext cx="4241866" cy="32089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21F0BD28-77CC-44BB-B392-A8792774B8BC}"/>
                </a:ext>
              </a:extLst>
            </xdr:cNvPr>
            <xdr:cNvSpPr txBox="1"/>
          </xdr:nvSpPr>
          <xdr:spPr>
            <a:xfrm>
              <a:off x="22374225" y="4814890"/>
              <a:ext cx="4241866" cy="32089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731473</xdr:colOff>
      <xdr:row>26</xdr:row>
      <xdr:rowOff>92820</xdr:rowOff>
    </xdr:from>
    <xdr:to>
      <xdr:col>28</xdr:col>
      <xdr:colOff>11992</xdr:colOff>
      <xdr:row>27</xdr:row>
      <xdr:rowOff>37113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BCBF8781-F717-46B5-B95A-9919EFE9CF02}"/>
                </a:ext>
              </a:extLst>
            </xdr:cNvPr>
            <xdr:cNvSpPr txBox="1"/>
          </xdr:nvSpPr>
          <xdr:spPr>
            <a:xfrm>
              <a:off x="22734223" y="5541120"/>
              <a:ext cx="3852519" cy="1538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BCBF8781-F717-46B5-B95A-9919EFE9CF02}"/>
                </a:ext>
              </a:extLst>
            </xdr:cNvPr>
            <xdr:cNvSpPr txBox="1"/>
          </xdr:nvSpPr>
          <xdr:spPr>
            <a:xfrm>
              <a:off x="22734223" y="5541120"/>
              <a:ext cx="3852519" cy="1538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703077</xdr:colOff>
      <xdr:row>27</xdr:row>
      <xdr:rowOff>158248</xdr:rowOff>
    </xdr:from>
    <xdr:to>
      <xdr:col>28</xdr:col>
      <xdr:colOff>396916</xdr:colOff>
      <xdr:row>29</xdr:row>
      <xdr:rowOff>89045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AD27686-CF7D-4271-9E28-0B2BCA6107DC}"/>
            </a:ext>
          </a:extLst>
        </xdr:cNvPr>
        <xdr:cNvSpPr txBox="1"/>
      </xdr:nvSpPr>
      <xdr:spPr>
        <a:xfrm>
          <a:off x="22705827" y="5816098"/>
          <a:ext cx="4265839" cy="3498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Efectivo + CxC + Inventario – CxP – Otras CxP</a:t>
          </a:r>
          <a:endParaRPr lang="es-CO" sz="1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564936</xdr:colOff>
      <xdr:row>29</xdr:row>
      <xdr:rowOff>196225</xdr:rowOff>
    </xdr:from>
    <xdr:to>
      <xdr:col>26</xdr:col>
      <xdr:colOff>542144</xdr:colOff>
      <xdr:row>31</xdr:row>
      <xdr:rowOff>72904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3">
              <a:extLst>
                <a:ext uri="{FF2B5EF4-FFF2-40B4-BE49-F238E27FC236}">
                  <a16:creationId xmlns:a16="http://schemas.microsoft.com/office/drawing/2014/main" id="{AFC9122F-4256-4FB6-9547-9120556D8210}"/>
                </a:ext>
              </a:extLst>
            </xdr:cNvPr>
            <xdr:cNvSpPr txBox="1"/>
          </xdr:nvSpPr>
          <xdr:spPr>
            <a:xfrm>
              <a:off x="22567686" y="6273175"/>
              <a:ext cx="3025208" cy="2957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3" name="CuadroTexto 13">
              <a:extLst>
                <a:ext uri="{FF2B5EF4-FFF2-40B4-BE49-F238E27FC236}">
                  <a16:creationId xmlns:a16="http://schemas.microsoft.com/office/drawing/2014/main" id="{AFC9122F-4256-4FB6-9547-9120556D8210}"/>
                </a:ext>
              </a:extLst>
            </xdr:cNvPr>
            <xdr:cNvSpPr txBox="1"/>
          </xdr:nvSpPr>
          <xdr:spPr>
            <a:xfrm>
              <a:off x="22567686" y="6273175"/>
              <a:ext cx="3025208" cy="2957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15</xdr:col>
      <xdr:colOff>257174</xdr:colOff>
      <xdr:row>35</xdr:row>
      <xdr:rowOff>47625</xdr:rowOff>
    </xdr:from>
    <xdr:to>
      <xdr:col>20</xdr:col>
      <xdr:colOff>704849</xdr:colOff>
      <xdr:row>55</xdr:row>
      <xdr:rowOff>66675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415E155-B944-FF8C-FCAD-344DED95F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55</xdr:row>
      <xdr:rowOff>180975</xdr:rowOff>
    </xdr:from>
    <xdr:to>
      <xdr:col>20</xdr:col>
      <xdr:colOff>723901</xdr:colOff>
      <xdr:row>80</xdr:row>
      <xdr:rowOff>28575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837AB13-5E4D-4F61-B838-297E3244B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81</xdr:row>
      <xdr:rowOff>104775</xdr:rowOff>
    </xdr:from>
    <xdr:to>
      <xdr:col>20</xdr:col>
      <xdr:colOff>733426</xdr:colOff>
      <xdr:row>107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87DAFD8-EDB3-403D-97FC-3CF19575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904874</xdr:colOff>
      <xdr:row>35</xdr:row>
      <xdr:rowOff>100011</xdr:rowOff>
    </xdr:from>
    <xdr:to>
      <xdr:col>29</xdr:col>
      <xdr:colOff>95250</xdr:colOff>
      <xdr:row>55</xdr:row>
      <xdr:rowOff>190500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6C219EA-36B8-E480-E666-B714451A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485775</xdr:colOff>
      <xdr:row>35</xdr:row>
      <xdr:rowOff>85725</xdr:rowOff>
    </xdr:from>
    <xdr:to>
      <xdr:col>38</xdr:col>
      <xdr:colOff>533401</xdr:colOff>
      <xdr:row>55</xdr:row>
      <xdr:rowOff>176214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394863E-800A-4EE1-99AD-33BFE27E4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927652</xdr:colOff>
      <xdr:row>82</xdr:row>
      <xdr:rowOff>33130</xdr:rowOff>
    </xdr:from>
    <xdr:to>
      <xdr:col>29</xdr:col>
      <xdr:colOff>176835</xdr:colOff>
      <xdr:row>108</xdr:row>
      <xdr:rowOff>61705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DEF98634-5C3F-48DC-AEC3-588CC0BCE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894521</xdr:colOff>
      <xdr:row>56</xdr:row>
      <xdr:rowOff>157369</xdr:rowOff>
    </xdr:from>
    <xdr:to>
      <xdr:col>29</xdr:col>
      <xdr:colOff>143704</xdr:colOff>
      <xdr:row>81</xdr:row>
      <xdr:rowOff>69988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1745818-E7B2-41B8-B448-1A703A1C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57</xdr:row>
      <xdr:rowOff>0</xdr:rowOff>
    </xdr:from>
    <xdr:to>
      <xdr:col>39</xdr:col>
      <xdr:colOff>110574</xdr:colOff>
      <xdr:row>81</xdr:row>
      <xdr:rowOff>71230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2F05F46-9245-477F-8286-26CCA7DAD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97E8-C302-4861-A51F-2A256D397F25}">
  <dimension ref="A1:W78"/>
  <sheetViews>
    <sheetView tabSelected="1" topLeftCell="V53" zoomScale="115" zoomScaleNormal="115" workbookViewId="0">
      <selection activeCell="B77" sqref="B77:C77"/>
    </sheetView>
  </sheetViews>
  <sheetFormatPr baseColWidth="10" defaultRowHeight="15" x14ac:dyDescent="0.25"/>
  <cols>
    <col min="1" max="1" width="65.42578125" customWidth="1"/>
    <col min="2" max="7" width="20.5703125" bestFit="1" customWidth="1"/>
    <col min="8" max="14" width="13.85546875" customWidth="1"/>
    <col min="16" max="16" width="28" bestFit="1" customWidth="1"/>
    <col min="17" max="17" width="16.7109375" bestFit="1" customWidth="1"/>
    <col min="18" max="22" width="18.7109375" bestFit="1" customWidth="1"/>
  </cols>
  <sheetData>
    <row r="1" spans="1:23" ht="16.5" x14ac:dyDescent="0.25">
      <c r="A1" s="2" t="s">
        <v>0</v>
      </c>
    </row>
    <row r="2" spans="1:23" ht="16.5" x14ac:dyDescent="0.25">
      <c r="A2" s="1" t="s">
        <v>1</v>
      </c>
    </row>
    <row r="3" spans="1:23" ht="16.5" x14ac:dyDescent="0.25">
      <c r="A3" s="1"/>
      <c r="I3" s="23" t="s">
        <v>87</v>
      </c>
      <c r="J3" s="24"/>
      <c r="K3" s="24"/>
      <c r="L3" s="24"/>
      <c r="M3" s="24"/>
    </row>
    <row r="4" spans="1:23" ht="16.5" x14ac:dyDescent="0.25">
      <c r="A4" s="1"/>
      <c r="B4" s="3">
        <v>2018</v>
      </c>
      <c r="C4" s="3">
        <v>2019</v>
      </c>
      <c r="D4" s="3">
        <v>2020</v>
      </c>
      <c r="E4" s="3">
        <v>2021</v>
      </c>
      <c r="F4" s="3">
        <v>2022</v>
      </c>
      <c r="G4" s="3">
        <v>2023</v>
      </c>
      <c r="H4" s="11" t="s">
        <v>88</v>
      </c>
      <c r="I4" s="11">
        <v>2019</v>
      </c>
      <c r="J4" s="11">
        <v>2020</v>
      </c>
      <c r="K4" s="11">
        <v>2021</v>
      </c>
      <c r="L4" s="11">
        <v>2022</v>
      </c>
      <c r="M4" s="11">
        <v>2023</v>
      </c>
      <c r="N4" s="11" t="s">
        <v>89</v>
      </c>
      <c r="P4" s="8"/>
      <c r="Q4" s="11">
        <v>2018</v>
      </c>
      <c r="R4" s="11">
        <v>2019</v>
      </c>
      <c r="S4" s="11">
        <v>2020</v>
      </c>
      <c r="T4" s="11">
        <v>2021</v>
      </c>
      <c r="U4" s="11">
        <v>2022</v>
      </c>
      <c r="V4" s="11">
        <v>2023</v>
      </c>
      <c r="W4" s="8"/>
    </row>
    <row r="5" spans="1:23" ht="16.5" x14ac:dyDescent="0.25">
      <c r="A5" s="1" t="s">
        <v>2</v>
      </c>
      <c r="B5" s="4">
        <v>25766713</v>
      </c>
      <c r="C5" s="4">
        <v>44248357</v>
      </c>
      <c r="D5" s="4">
        <v>15065533</v>
      </c>
      <c r="E5" s="4">
        <v>137449448</v>
      </c>
      <c r="F5" s="4">
        <v>84986318</v>
      </c>
      <c r="G5" s="4">
        <v>265931919</v>
      </c>
      <c r="H5" s="7">
        <f>+G5/$G$17</f>
        <v>0.12804221365271584</v>
      </c>
      <c r="I5" s="7">
        <f>+C5/B5-1</f>
        <v>0.71726820568847871</v>
      </c>
      <c r="J5" s="7">
        <f t="shared" ref="J5:M5" si="0">+D5/C5-1</f>
        <v>-0.65952333552181386</v>
      </c>
      <c r="K5" s="7">
        <f t="shared" si="0"/>
        <v>8.1234374515657688</v>
      </c>
      <c r="L5" s="7">
        <f t="shared" si="0"/>
        <v>-0.38169036517338362</v>
      </c>
      <c r="M5" s="7">
        <f t="shared" si="0"/>
        <v>2.1291144887580611</v>
      </c>
      <c r="N5" s="7">
        <f>+AVERAGE(I5:M5)</f>
        <v>1.9857212890634224</v>
      </c>
      <c r="P5" s="1" t="s">
        <v>61</v>
      </c>
      <c r="R5" s="4">
        <f>+AVERAGE(B17:C17)</f>
        <v>1574028187.5</v>
      </c>
      <c r="S5" s="4">
        <f>+AVERAGE(C17:D17)</f>
        <v>1447070996.5</v>
      </c>
      <c r="T5" s="4">
        <f>+AVERAGE(D17:E17)</f>
        <v>1238148912</v>
      </c>
      <c r="U5" s="4">
        <f>+AVERAGE(E17:F17)</f>
        <v>1429659574</v>
      </c>
      <c r="V5" s="4">
        <f>+AVERAGE(F17:G17)</f>
        <v>1822513381.5</v>
      </c>
      <c r="W5" s="8"/>
    </row>
    <row r="6" spans="1:23" ht="16.5" x14ac:dyDescent="0.25">
      <c r="A6" s="1" t="s">
        <v>3</v>
      </c>
      <c r="B6" s="4">
        <v>668706317</v>
      </c>
      <c r="C6" s="4">
        <v>880247200</v>
      </c>
      <c r="D6" s="4">
        <v>411889899</v>
      </c>
      <c r="E6" s="4">
        <v>530983188</v>
      </c>
      <c r="F6" s="4">
        <v>815761539</v>
      </c>
      <c r="G6" s="4">
        <v>1093858374</v>
      </c>
      <c r="H6" s="7">
        <f t="shared" ref="H6:H35" si="1">+G6/$G$17</f>
        <v>0.52667633188297469</v>
      </c>
      <c r="I6" s="7">
        <f t="shared" ref="I6:I8" si="2">+C6/B6-1</f>
        <v>0.31634347937526663</v>
      </c>
      <c r="J6" s="7">
        <f t="shared" ref="J6:J8" si="3">+D6/C6-1</f>
        <v>-0.53207474105001418</v>
      </c>
      <c r="K6" s="7">
        <f t="shared" ref="K6:K8" si="4">+E6/D6-1</f>
        <v>0.28913864916119247</v>
      </c>
      <c r="L6" s="7">
        <f t="shared" ref="L6:L8" si="5">+F6/E6-1</f>
        <v>0.53632272628563893</v>
      </c>
      <c r="M6" s="7">
        <f t="shared" ref="M6:M8" si="6">+G6/F6-1</f>
        <v>0.34090456794629542</v>
      </c>
      <c r="N6" s="7">
        <f t="shared" ref="N6:N35" si="7">+AVERAGE(I6:M6)</f>
        <v>0.19012693634367586</v>
      </c>
      <c r="P6" s="12" t="s">
        <v>62</v>
      </c>
      <c r="R6" s="13">
        <f>+C40/R5</f>
        <v>0.39538252868803853</v>
      </c>
      <c r="S6" s="13">
        <f>+D40/S5</f>
        <v>0.40465298552474999</v>
      </c>
      <c r="T6" s="13">
        <f>+E40/T5</f>
        <v>0.59980708685547834</v>
      </c>
      <c r="U6" s="13">
        <f>+F40/U5</f>
        <v>0.57078859879687693</v>
      </c>
      <c r="V6" s="13">
        <f>+G40/V5</f>
        <v>0.492153912341521</v>
      </c>
      <c r="W6" s="12" t="s">
        <v>63</v>
      </c>
    </row>
    <row r="7" spans="1:23" ht="16.5" x14ac:dyDescent="0.25">
      <c r="A7" s="1" t="s">
        <v>4</v>
      </c>
      <c r="B7" s="4">
        <v>18120743</v>
      </c>
      <c r="C7" s="4">
        <v>21759988</v>
      </c>
      <c r="D7" s="4">
        <v>21493635</v>
      </c>
      <c r="E7" s="4">
        <v>22252685</v>
      </c>
      <c r="F7" s="4">
        <v>34014639</v>
      </c>
      <c r="G7" s="4">
        <v>30920565</v>
      </c>
      <c r="H7" s="7">
        <f t="shared" si="1"/>
        <v>1.4887786335993339E-2</v>
      </c>
      <c r="I7" s="7">
        <f t="shared" si="2"/>
        <v>0.20083310049703806</v>
      </c>
      <c r="J7" s="7">
        <f t="shared" si="3"/>
        <v>-1.224049388262527E-2</v>
      </c>
      <c r="K7" s="7">
        <f t="shared" si="4"/>
        <v>3.5315106076752478E-2</v>
      </c>
      <c r="L7" s="7">
        <f t="shared" si="5"/>
        <v>0.52856336212910926</v>
      </c>
      <c r="M7" s="7">
        <f t="shared" si="6"/>
        <v>-9.09630115433534E-2</v>
      </c>
      <c r="N7" s="7">
        <f t="shared" si="7"/>
        <v>0.13230161265538423</v>
      </c>
      <c r="P7" s="8"/>
      <c r="W7" s="8"/>
    </row>
    <row r="8" spans="1:23" ht="16.5" x14ac:dyDescent="0.25">
      <c r="A8" s="1" t="s">
        <v>5</v>
      </c>
      <c r="B8" s="4">
        <v>77065046</v>
      </c>
      <c r="C8" s="4">
        <v>83098625</v>
      </c>
      <c r="D8" s="4">
        <v>70592390</v>
      </c>
      <c r="E8" s="4">
        <v>68950393</v>
      </c>
      <c r="F8" s="4">
        <v>72514106</v>
      </c>
      <c r="G8" s="4">
        <v>84689681</v>
      </c>
      <c r="H8" s="7">
        <f t="shared" si="1"/>
        <v>4.0776805843988774E-2</v>
      </c>
      <c r="I8" s="7">
        <f t="shared" si="2"/>
        <v>7.8292031383462746E-2</v>
      </c>
      <c r="J8" s="7">
        <f t="shared" si="3"/>
        <v>-0.15049869958738793</v>
      </c>
      <c r="K8" s="7">
        <f t="shared" si="4"/>
        <v>-2.3260255106818173E-2</v>
      </c>
      <c r="L8" s="7">
        <f t="shared" si="5"/>
        <v>5.1685173135996409E-2</v>
      </c>
      <c r="M8" s="7">
        <f t="shared" si="6"/>
        <v>0.16790629674176771</v>
      </c>
      <c r="N8" s="7">
        <f t="shared" si="7"/>
        <v>2.4824909313404152E-2</v>
      </c>
      <c r="P8" s="1" t="s">
        <v>64</v>
      </c>
      <c r="Q8" s="4">
        <f t="shared" ref="Q8:V8" si="8">+B10+B11</f>
        <v>414817719</v>
      </c>
      <c r="R8" s="4">
        <f t="shared" si="8"/>
        <v>437941574</v>
      </c>
      <c r="S8" s="4">
        <f t="shared" si="8"/>
        <v>434536424</v>
      </c>
      <c r="T8" s="4">
        <f t="shared" si="8"/>
        <v>436716348</v>
      </c>
      <c r="U8" s="4">
        <f t="shared" si="8"/>
        <v>474186090</v>
      </c>
      <c r="V8" s="4">
        <f t="shared" si="8"/>
        <v>504926454</v>
      </c>
      <c r="W8" s="8"/>
    </row>
    <row r="9" spans="1:23" ht="16.5" x14ac:dyDescent="0.25">
      <c r="A9" s="2" t="s">
        <v>6</v>
      </c>
      <c r="B9" s="5">
        <f>SUM(B5:B8)</f>
        <v>789658819</v>
      </c>
      <c r="C9" s="5">
        <f>SUM(C5:C8)</f>
        <v>1029354170</v>
      </c>
      <c r="D9" s="5">
        <f>SUM(D5:D8)</f>
        <v>519041457</v>
      </c>
      <c r="E9" s="5">
        <f>SUM(E5:E8)</f>
        <v>759635714</v>
      </c>
      <c r="F9" s="5">
        <f t="shared" ref="F9" si="9">SUM(F5:F8)</f>
        <v>1007276602</v>
      </c>
      <c r="G9" s="5">
        <f>SUM(G5:G8)</f>
        <v>1475400539</v>
      </c>
      <c r="H9" s="18">
        <f t="shared" si="1"/>
        <v>0.71038313771567263</v>
      </c>
      <c r="I9" s="18">
        <f t="shared" ref="I9:I35" si="10">+C9/B9-1</f>
        <v>0.30354292921535775</v>
      </c>
      <c r="J9" s="18">
        <f t="shared" ref="J9:J35" si="11">+D9/C9-1</f>
        <v>-0.49576008712336594</v>
      </c>
      <c r="K9" s="18">
        <f t="shared" ref="K9:K35" si="12">+E9/D9-1</f>
        <v>0.46353572292781231</v>
      </c>
      <c r="L9" s="18">
        <f t="shared" ref="L9:L35" si="13">+F9/E9-1</f>
        <v>0.32599953298141005</v>
      </c>
      <c r="M9" s="18">
        <f t="shared" ref="M9:M35" si="14">+G9/F9-1</f>
        <v>0.46474219302872277</v>
      </c>
      <c r="N9" s="18">
        <f t="shared" si="7"/>
        <v>0.21241205820598735</v>
      </c>
      <c r="P9" s="1" t="s">
        <v>65</v>
      </c>
      <c r="R9" s="4">
        <f>+AVERAGE(Q8:R8)</f>
        <v>426379646.5</v>
      </c>
      <c r="S9" s="4">
        <f t="shared" ref="S9:V9" si="15">+AVERAGE(R8:S8)</f>
        <v>436238999</v>
      </c>
      <c r="T9" s="4">
        <f t="shared" si="15"/>
        <v>435626386</v>
      </c>
      <c r="U9" s="4">
        <f t="shared" si="15"/>
        <v>455451219</v>
      </c>
      <c r="V9" s="4">
        <f t="shared" si="15"/>
        <v>489556272</v>
      </c>
      <c r="W9" s="8"/>
    </row>
    <row r="10" spans="1:23" ht="16.5" x14ac:dyDescent="0.25">
      <c r="A10" s="1" t="s">
        <v>7</v>
      </c>
      <c r="B10" s="4">
        <v>414772516</v>
      </c>
      <c r="C10" s="4">
        <v>437834894</v>
      </c>
      <c r="D10" s="4">
        <v>434465122</v>
      </c>
      <c r="E10" s="4">
        <v>436664188</v>
      </c>
      <c r="F10" s="4">
        <v>474147238</v>
      </c>
      <c r="G10" s="4">
        <v>504896744</v>
      </c>
      <c r="H10" s="7">
        <f t="shared" si="1"/>
        <v>0.2431001777105537</v>
      </c>
      <c r="I10" s="7">
        <f t="shared" si="10"/>
        <v>5.5602473911265715E-2</v>
      </c>
      <c r="J10" s="7">
        <f t="shared" si="11"/>
        <v>-7.6964445871690046E-3</v>
      </c>
      <c r="K10" s="7">
        <f t="shared" si="12"/>
        <v>5.0615478404270053E-3</v>
      </c>
      <c r="L10" s="7">
        <f t="shared" si="13"/>
        <v>8.5839533055547923E-2</v>
      </c>
      <c r="M10" s="7">
        <f t="shared" si="14"/>
        <v>6.4852230563873903E-2</v>
      </c>
      <c r="N10" s="7">
        <f t="shared" si="7"/>
        <v>4.0731868156789107E-2</v>
      </c>
      <c r="P10" s="12" t="s">
        <v>66</v>
      </c>
      <c r="R10" s="13">
        <f>+C40/R9</f>
        <v>1.4595988577517618</v>
      </c>
      <c r="S10" s="13">
        <f>+D40/S9</f>
        <v>1.3422953939063114</v>
      </c>
      <c r="T10" s="13">
        <f>+E40/T9</f>
        <v>1.7047876709653671</v>
      </c>
      <c r="U10" s="13">
        <f>+F40/U9</f>
        <v>1.7917031527365392</v>
      </c>
      <c r="V10" s="13">
        <f>+G40/V9</f>
        <v>1.832183841370538</v>
      </c>
      <c r="W10" s="12" t="s">
        <v>63</v>
      </c>
    </row>
    <row r="11" spans="1:23" ht="16.5" x14ac:dyDescent="0.25">
      <c r="A11" s="1" t="s">
        <v>8</v>
      </c>
      <c r="B11" s="4">
        <v>45203</v>
      </c>
      <c r="C11" s="4">
        <v>106680</v>
      </c>
      <c r="D11" s="4">
        <v>71302</v>
      </c>
      <c r="E11" s="4">
        <v>52160</v>
      </c>
      <c r="F11" s="4">
        <v>38852</v>
      </c>
      <c r="G11" s="4">
        <v>29710</v>
      </c>
      <c r="H11" s="7">
        <f t="shared" si="1"/>
        <v>1.430491752147356E-5</v>
      </c>
      <c r="I11" s="7">
        <f t="shared" si="10"/>
        <v>1.3600203526314627</v>
      </c>
      <c r="J11" s="7">
        <f t="shared" si="11"/>
        <v>-0.33162729658792656</v>
      </c>
      <c r="K11" s="7">
        <f t="shared" si="12"/>
        <v>-0.26846371770777822</v>
      </c>
      <c r="L11" s="7">
        <f t="shared" si="13"/>
        <v>-0.25513803680981595</v>
      </c>
      <c r="M11" s="7">
        <f t="shared" si="14"/>
        <v>-0.23530320189436837</v>
      </c>
      <c r="N11" s="7">
        <f t="shared" si="7"/>
        <v>5.389761992631472E-2</v>
      </c>
      <c r="P11" s="8"/>
      <c r="W11" s="8"/>
    </row>
    <row r="12" spans="1:23" ht="16.5" x14ac:dyDescent="0.25">
      <c r="A12" s="1" t="s">
        <v>9</v>
      </c>
      <c r="B12" s="4">
        <v>230917091</v>
      </c>
      <c r="C12" s="4">
        <v>236489820</v>
      </c>
      <c r="D12" s="4">
        <v>225879393</v>
      </c>
      <c r="E12" s="4">
        <v>87247669</v>
      </c>
      <c r="F12" s="4"/>
      <c r="G12" s="4"/>
      <c r="H12" s="7">
        <f t="shared" si="1"/>
        <v>0</v>
      </c>
      <c r="I12" s="7">
        <f t="shared" si="10"/>
        <v>2.4133029633566672E-2</v>
      </c>
      <c r="J12" s="7">
        <f t="shared" si="11"/>
        <v>-4.4866316021552222E-2</v>
      </c>
      <c r="K12" s="7">
        <f t="shared" si="12"/>
        <v>-0.61374223721240484</v>
      </c>
      <c r="L12" s="7">
        <f t="shared" si="13"/>
        <v>-1</v>
      </c>
      <c r="M12" s="7"/>
      <c r="N12" s="7"/>
      <c r="P12" s="1" t="s">
        <v>67</v>
      </c>
      <c r="R12" s="4">
        <f>+AVERAGE(B7:C7)</f>
        <v>19940365.5</v>
      </c>
      <c r="S12" s="4">
        <f>+AVERAGE(C7:D7)</f>
        <v>21626811.5</v>
      </c>
      <c r="T12" s="4">
        <f>+AVERAGE(D7:E7)</f>
        <v>21873160</v>
      </c>
      <c r="U12" s="4">
        <f>+AVERAGE(E7:F7)</f>
        <v>28133662</v>
      </c>
      <c r="V12" s="4">
        <f>+AVERAGE(F7:G7)</f>
        <v>32467602</v>
      </c>
      <c r="W12" s="8"/>
    </row>
    <row r="13" spans="1:23" ht="16.5" x14ac:dyDescent="0.25">
      <c r="A13" s="1" t="s">
        <v>10</v>
      </c>
      <c r="B13" s="4"/>
      <c r="C13" s="4"/>
      <c r="D13" s="4">
        <v>0</v>
      </c>
      <c r="E13" s="4">
        <v>0</v>
      </c>
      <c r="F13" s="4">
        <v>78268676</v>
      </c>
      <c r="G13" s="4">
        <v>86411463</v>
      </c>
      <c r="H13" s="7">
        <f t="shared" si="1"/>
        <v>4.1605817944290281E-2</v>
      </c>
      <c r="I13" s="7"/>
      <c r="J13" s="7"/>
      <c r="K13" s="7"/>
      <c r="L13" s="7"/>
      <c r="M13" s="7">
        <f t="shared" si="14"/>
        <v>0.10403634526793315</v>
      </c>
      <c r="N13" s="7"/>
      <c r="P13" s="12" t="s">
        <v>68</v>
      </c>
      <c r="R13" s="13">
        <f>+C41/R12</f>
        <v>8.0887574001589897</v>
      </c>
      <c r="S13" s="13">
        <f>+D41/S12</f>
        <v>8.1199617890968341</v>
      </c>
      <c r="T13" s="13">
        <f>+E41/T12</f>
        <v>10.710352916542465</v>
      </c>
      <c r="U13" s="13">
        <f>+F41/U12</f>
        <v>10.856869859316573</v>
      </c>
      <c r="V13" s="13">
        <f>+G41/V12</f>
        <v>11.028719737293811</v>
      </c>
      <c r="W13" s="12" t="s">
        <v>63</v>
      </c>
    </row>
    <row r="14" spans="1:23" ht="16.5" x14ac:dyDescent="0.25">
      <c r="A14" s="1" t="s">
        <v>11</v>
      </c>
      <c r="B14" s="4">
        <v>2786001</v>
      </c>
      <c r="C14" s="4">
        <v>4246909</v>
      </c>
      <c r="D14" s="4">
        <v>4790910</v>
      </c>
      <c r="E14" s="4">
        <v>6798500</v>
      </c>
      <c r="F14" s="4">
        <v>7533070</v>
      </c>
      <c r="G14" s="4">
        <v>9130653</v>
      </c>
      <c r="H14" s="7">
        <f t="shared" si="1"/>
        <v>4.396271897751435E-3</v>
      </c>
      <c r="I14" s="7">
        <f t="shared" si="10"/>
        <v>0.52437454257913041</v>
      </c>
      <c r="J14" s="7">
        <f t="shared" si="11"/>
        <v>0.12809339686816923</v>
      </c>
      <c r="K14" s="7">
        <f t="shared" si="12"/>
        <v>0.41904147646271794</v>
      </c>
      <c r="L14" s="7">
        <f t="shared" si="13"/>
        <v>0.1080488343016841</v>
      </c>
      <c r="M14" s="7">
        <f t="shared" si="14"/>
        <v>0.21207595309747562</v>
      </c>
      <c r="N14" s="7">
        <f t="shared" si="7"/>
        <v>0.27832684066183544</v>
      </c>
      <c r="P14" s="12" t="s">
        <v>69</v>
      </c>
      <c r="R14" s="14">
        <f>365/R13</f>
        <v>45.124359891523717</v>
      </c>
      <c r="S14" s="14">
        <f t="shared" ref="S14:V14" si="16">365/S13</f>
        <v>44.950950445371269</v>
      </c>
      <c r="T14" s="14">
        <f t="shared" si="16"/>
        <v>34.079175807199256</v>
      </c>
      <c r="U14" s="14">
        <f t="shared" si="16"/>
        <v>33.619266393506933</v>
      </c>
      <c r="V14" s="14">
        <f t="shared" si="16"/>
        <v>33.095409865729572</v>
      </c>
      <c r="W14" s="12" t="s">
        <v>70</v>
      </c>
    </row>
    <row r="15" spans="1:23" ht="16.5" x14ac:dyDescent="0.25">
      <c r="A15" s="1" t="s">
        <v>12</v>
      </c>
      <c r="B15" s="4">
        <v>832026</v>
      </c>
      <c r="C15" s="4">
        <v>1012246</v>
      </c>
      <c r="D15" s="4">
        <v>849090</v>
      </c>
      <c r="E15" s="4">
        <v>802319</v>
      </c>
      <c r="F15" s="4">
        <v>854160</v>
      </c>
      <c r="G15" s="4">
        <v>1039056</v>
      </c>
      <c r="H15" s="7">
        <f t="shared" si="1"/>
        <v>5.0028981421044202E-4</v>
      </c>
      <c r="I15" s="7">
        <f t="shared" si="10"/>
        <v>0.21660380805407531</v>
      </c>
      <c r="J15" s="7">
        <f t="shared" si="11"/>
        <v>-0.16118216322909651</v>
      </c>
      <c r="K15" s="7">
        <f t="shared" si="12"/>
        <v>-5.5083677819783516E-2</v>
      </c>
      <c r="L15" s="7">
        <f t="shared" si="13"/>
        <v>6.4613950311534385E-2</v>
      </c>
      <c r="M15" s="7">
        <f t="shared" si="14"/>
        <v>0.21646529924136004</v>
      </c>
      <c r="N15" s="7">
        <f t="shared" si="7"/>
        <v>5.6283443311617942E-2</v>
      </c>
      <c r="P15" s="8"/>
      <c r="W15" s="8"/>
    </row>
    <row r="16" spans="1:23" ht="16.5" x14ac:dyDescent="0.25">
      <c r="A16" s="2" t="s">
        <v>13</v>
      </c>
      <c r="B16" s="5">
        <f>SUM(B10:B15)</f>
        <v>649352837</v>
      </c>
      <c r="C16" s="5">
        <f>SUM(C10:C15)</f>
        <v>679690549</v>
      </c>
      <c r="D16" s="5">
        <f>SUM(D10:D15)</f>
        <v>666055817</v>
      </c>
      <c r="E16" s="5">
        <f>SUM(E10:E15)</f>
        <v>531564836</v>
      </c>
      <c r="F16" s="5">
        <f t="shared" ref="F16" si="17">SUM(F10:F15)</f>
        <v>560841996</v>
      </c>
      <c r="G16" s="5">
        <f>SUM(G10:G15)</f>
        <v>601507626</v>
      </c>
      <c r="H16" s="18">
        <f t="shared" si="1"/>
        <v>0.28961686228432731</v>
      </c>
      <c r="I16" s="18">
        <f t="shared" si="10"/>
        <v>4.6719919081527062E-2</v>
      </c>
      <c r="J16" s="18">
        <f t="shared" si="11"/>
        <v>-2.0060205368546358E-2</v>
      </c>
      <c r="K16" s="18">
        <f t="shared" si="12"/>
        <v>-0.20192148700954893</v>
      </c>
      <c r="L16" s="18">
        <f t="shared" si="13"/>
        <v>5.5077307634397332E-2</v>
      </c>
      <c r="M16" s="18">
        <f t="shared" si="14"/>
        <v>7.2508175725128909E-2</v>
      </c>
      <c r="N16" s="18">
        <f t="shared" si="7"/>
        <v>-9.5352579874083965E-3</v>
      </c>
      <c r="P16" s="1" t="s">
        <v>71</v>
      </c>
      <c r="R16" s="4">
        <f>+AVERAGE(B6:C6)</f>
        <v>774476758.5</v>
      </c>
      <c r="S16" s="4">
        <f>+AVERAGE(C6:D6)</f>
        <v>646068549.5</v>
      </c>
      <c r="T16" s="4">
        <f>+AVERAGE(D6:E6)</f>
        <v>471436543.5</v>
      </c>
      <c r="U16" s="4">
        <f>+AVERAGE(E6:F6)</f>
        <v>673372363.5</v>
      </c>
      <c r="V16" s="4">
        <f>+AVERAGE(F6:G6)</f>
        <v>954809956.5</v>
      </c>
      <c r="W16" s="8"/>
    </row>
    <row r="17" spans="1:23" ht="16.5" x14ac:dyDescent="0.25">
      <c r="A17" s="2" t="s">
        <v>14</v>
      </c>
      <c r="B17" s="5">
        <f>+B9+B16</f>
        <v>1439011656</v>
      </c>
      <c r="C17" s="5">
        <f>+C9+C16</f>
        <v>1709044719</v>
      </c>
      <c r="D17" s="5">
        <f>+D9+D16</f>
        <v>1185097274</v>
      </c>
      <c r="E17" s="5">
        <f>+E9+E16</f>
        <v>1291200550</v>
      </c>
      <c r="F17" s="5">
        <f t="shared" ref="F17" si="18">+F9+F16</f>
        <v>1568118598</v>
      </c>
      <c r="G17" s="5">
        <f>+G9+G16</f>
        <v>2076908165</v>
      </c>
      <c r="H17" s="18">
        <f t="shared" si="1"/>
        <v>1</v>
      </c>
      <c r="I17" s="18">
        <f t="shared" si="10"/>
        <v>0.18765175519884747</v>
      </c>
      <c r="J17" s="18">
        <f t="shared" si="11"/>
        <v>-0.30657327990023175</v>
      </c>
      <c r="K17" s="18">
        <f t="shared" si="12"/>
        <v>8.953128011329814E-2</v>
      </c>
      <c r="L17" s="18">
        <f t="shared" si="13"/>
        <v>0.21446555920379673</v>
      </c>
      <c r="M17" s="18">
        <f t="shared" si="14"/>
        <v>0.32445860131301107</v>
      </c>
      <c r="N17" s="18">
        <f t="shared" si="7"/>
        <v>0.10190678318574434</v>
      </c>
      <c r="P17" s="12" t="s">
        <v>72</v>
      </c>
      <c r="R17" s="13">
        <f>+C40/R16</f>
        <v>0.80356606982674228</v>
      </c>
      <c r="S17" s="13">
        <f>+D40/S16</f>
        <v>0.90634592792540813</v>
      </c>
      <c r="T17" s="13">
        <f>+E40/T16</f>
        <v>1.5752925865408649</v>
      </c>
      <c r="U17" s="13">
        <f>+F40/U16</f>
        <v>1.2118605235868134</v>
      </c>
      <c r="V17" s="13">
        <f>+G40/V16</f>
        <v>0.93940902573736407</v>
      </c>
      <c r="W17" s="12" t="s">
        <v>63</v>
      </c>
    </row>
    <row r="18" spans="1:23" ht="16.5" x14ac:dyDescent="0.25">
      <c r="A18" s="1" t="s">
        <v>15</v>
      </c>
      <c r="B18" s="4"/>
      <c r="C18" s="4">
        <v>10028056</v>
      </c>
      <c r="D18" s="4">
        <v>8031810</v>
      </c>
      <c r="E18" s="4">
        <v>6451849</v>
      </c>
      <c r="F18" s="4">
        <v>2786921</v>
      </c>
      <c r="G18" s="4">
        <v>3107465</v>
      </c>
      <c r="H18" s="7">
        <f t="shared" si="1"/>
        <v>1.4961975942735051E-3</v>
      </c>
      <c r="I18" s="7"/>
      <c r="J18" s="7">
        <f t="shared" si="11"/>
        <v>-0.19906610014942083</v>
      </c>
      <c r="K18" s="7">
        <f t="shared" si="12"/>
        <v>-0.19671294515184001</v>
      </c>
      <c r="L18" s="7">
        <f t="shared" si="13"/>
        <v>-0.56804305246449505</v>
      </c>
      <c r="M18" s="7">
        <f t="shared" si="14"/>
        <v>0.11501725380805561</v>
      </c>
      <c r="N18" s="7"/>
      <c r="P18" s="12" t="s">
        <v>73</v>
      </c>
      <c r="R18" s="14">
        <f>365/R17</f>
        <v>454.22525129601109</v>
      </c>
      <c r="S18" s="14">
        <f t="shared" ref="S18:V18" si="19">365/S17</f>
        <v>402.71599259619484</v>
      </c>
      <c r="T18" s="14">
        <f t="shared" si="19"/>
        <v>231.70298845974509</v>
      </c>
      <c r="U18" s="14">
        <f t="shared" si="19"/>
        <v>301.18977629512057</v>
      </c>
      <c r="V18" s="14">
        <f t="shared" si="19"/>
        <v>388.54214724358536</v>
      </c>
      <c r="W18" s="12" t="s">
        <v>70</v>
      </c>
    </row>
    <row r="19" spans="1:23" ht="16.5" x14ac:dyDescent="0.25">
      <c r="A19" s="1" t="s">
        <v>16</v>
      </c>
      <c r="B19" s="4">
        <v>518586314</v>
      </c>
      <c r="C19" s="4">
        <v>866375660</v>
      </c>
      <c r="D19" s="4">
        <v>374024278</v>
      </c>
      <c r="E19" s="4">
        <v>449875095</v>
      </c>
      <c r="F19" s="4">
        <v>748686184</v>
      </c>
      <c r="G19" s="4">
        <v>1225960379</v>
      </c>
      <c r="H19" s="7">
        <f t="shared" si="1"/>
        <v>0.59028145763007289</v>
      </c>
      <c r="I19" s="7">
        <f t="shared" si="10"/>
        <v>0.67064890956609391</v>
      </c>
      <c r="J19" s="7">
        <f t="shared" si="11"/>
        <v>-0.5682885666478672</v>
      </c>
      <c r="K19" s="7">
        <f t="shared" si="12"/>
        <v>0.20279650670163174</v>
      </c>
      <c r="L19" s="7">
        <f t="shared" si="13"/>
        <v>0.66420900450157161</v>
      </c>
      <c r="M19" s="7">
        <f t="shared" si="14"/>
        <v>0.63748230593767707</v>
      </c>
      <c r="N19" s="7">
        <f t="shared" si="7"/>
        <v>0.32136963201182145</v>
      </c>
      <c r="P19" s="8"/>
      <c r="W19" s="8"/>
    </row>
    <row r="20" spans="1:23" ht="16.5" x14ac:dyDescent="0.25">
      <c r="A20" s="1" t="s">
        <v>17</v>
      </c>
      <c r="B20" s="4">
        <v>123531952</v>
      </c>
      <c r="C20" s="4">
        <v>85660976</v>
      </c>
      <c r="D20" s="4">
        <v>78303143</v>
      </c>
      <c r="E20" s="4">
        <v>105106651</v>
      </c>
      <c r="F20" s="4">
        <v>110923360</v>
      </c>
      <c r="G20" s="4">
        <v>118759460</v>
      </c>
      <c r="H20" s="7">
        <f t="shared" si="1"/>
        <v>5.7180891288951138E-2</v>
      </c>
      <c r="I20" s="7">
        <f t="shared" si="10"/>
        <v>-0.30656826340767285</v>
      </c>
      <c r="J20" s="7">
        <f t="shared" si="11"/>
        <v>-8.5894806988890737E-2</v>
      </c>
      <c r="K20" s="7">
        <f t="shared" si="12"/>
        <v>0.34230436957045263</v>
      </c>
      <c r="L20" s="7">
        <f t="shared" si="13"/>
        <v>5.5341017382430024E-2</v>
      </c>
      <c r="M20" s="7">
        <f t="shared" si="14"/>
        <v>7.0644271864826358E-2</v>
      </c>
      <c r="N20" s="7">
        <f t="shared" si="7"/>
        <v>1.5165317684229084E-2</v>
      </c>
      <c r="P20" s="1" t="s">
        <v>74</v>
      </c>
      <c r="R20" s="4">
        <f>+B7</f>
        <v>18120743</v>
      </c>
      <c r="S20" s="4">
        <f>+C7</f>
        <v>21759988</v>
      </c>
      <c r="T20" s="4">
        <f>+D7</f>
        <v>21493635</v>
      </c>
      <c r="U20" s="4">
        <f>+E7</f>
        <v>22252685</v>
      </c>
      <c r="V20" s="4">
        <f>+F7</f>
        <v>34014639</v>
      </c>
      <c r="W20" s="8"/>
    </row>
    <row r="21" spans="1:23" ht="16.5" x14ac:dyDescent="0.25">
      <c r="A21" s="1" t="s">
        <v>18</v>
      </c>
      <c r="B21" s="4">
        <v>5979341</v>
      </c>
      <c r="C21" s="4">
        <v>6197452</v>
      </c>
      <c r="D21" s="4">
        <v>8311523</v>
      </c>
      <c r="E21" s="4">
        <v>946866</v>
      </c>
      <c r="F21" s="4">
        <v>189034</v>
      </c>
      <c r="G21" s="4">
        <v>20621</v>
      </c>
      <c r="H21" s="7">
        <f t="shared" si="1"/>
        <v>9.9287009158635564E-6</v>
      </c>
      <c r="I21" s="7">
        <f t="shared" si="10"/>
        <v>3.6477431208556288E-2</v>
      </c>
      <c r="J21" s="7">
        <f t="shared" si="11"/>
        <v>0.341119382610789</v>
      </c>
      <c r="K21" s="7">
        <f t="shared" si="12"/>
        <v>-0.88607791857160234</v>
      </c>
      <c r="L21" s="7">
        <f t="shared" si="13"/>
        <v>-0.80035823442810283</v>
      </c>
      <c r="M21" s="7">
        <f t="shared" si="14"/>
        <v>-0.89091380386597119</v>
      </c>
      <c r="N21" s="7">
        <f t="shared" si="7"/>
        <v>-0.4399506286092662</v>
      </c>
      <c r="P21" s="1" t="s">
        <v>75</v>
      </c>
      <c r="R21" s="4">
        <f>+C7</f>
        <v>21759988</v>
      </c>
      <c r="S21" s="4">
        <f>+D7</f>
        <v>21493635</v>
      </c>
      <c r="T21" s="4">
        <f>+E7</f>
        <v>22252685</v>
      </c>
      <c r="U21" s="4">
        <f>+F7</f>
        <v>34014639</v>
      </c>
      <c r="V21" s="4">
        <f>+G7</f>
        <v>30920565</v>
      </c>
      <c r="W21" s="8"/>
    </row>
    <row r="22" spans="1:23" ht="16.5" x14ac:dyDescent="0.25">
      <c r="A22" s="2" t="s">
        <v>47</v>
      </c>
      <c r="B22" s="5">
        <f>SUM(B18:B21)</f>
        <v>648097607</v>
      </c>
      <c r="C22" s="5">
        <f>SUM(C18:C21)</f>
        <v>968262144</v>
      </c>
      <c r="D22" s="5">
        <f>SUM(D18:D21)</f>
        <v>468670754</v>
      </c>
      <c r="E22" s="5">
        <f>SUM(E18:E21)</f>
        <v>562380461</v>
      </c>
      <c r="F22" s="5">
        <f t="shared" ref="F22" si="20">SUM(F18:F21)</f>
        <v>862585499</v>
      </c>
      <c r="G22" s="5">
        <f>SUM(G18:G21)</f>
        <v>1347847925</v>
      </c>
      <c r="H22" s="18">
        <f t="shared" si="1"/>
        <v>0.64896847521421341</v>
      </c>
      <c r="I22" s="18">
        <f t="shared" si="10"/>
        <v>0.49400666433875595</v>
      </c>
      <c r="J22" s="18">
        <f t="shared" si="11"/>
        <v>-0.51596707884925841</v>
      </c>
      <c r="K22" s="18">
        <f t="shared" si="12"/>
        <v>0.19994784440933988</v>
      </c>
      <c r="L22" s="18">
        <f t="shared" si="13"/>
        <v>0.53381128758667873</v>
      </c>
      <c r="M22" s="18">
        <f t="shared" si="14"/>
        <v>0.56256733571636364</v>
      </c>
      <c r="N22" s="18">
        <f t="shared" si="7"/>
        <v>0.25487321064037599</v>
      </c>
      <c r="P22" s="10" t="s">
        <v>76</v>
      </c>
      <c r="R22" s="4">
        <f>+C41+R21-R20</f>
        <v>164932024</v>
      </c>
      <c r="S22" s="4">
        <f>+D41+S21-S20</f>
        <v>175342530</v>
      </c>
      <c r="T22" s="4">
        <f>+E41+T21-T20</f>
        <v>235028313</v>
      </c>
      <c r="U22" s="4">
        <f>+F41+U21-U20</f>
        <v>317205461</v>
      </c>
      <c r="V22" s="4">
        <f>+G41+V21-V20</f>
        <v>354982009</v>
      </c>
      <c r="W22" s="8"/>
    </row>
    <row r="23" spans="1:23" ht="16.5" x14ac:dyDescent="0.25">
      <c r="A23" s="1" t="s">
        <v>19</v>
      </c>
      <c r="B23" s="4">
        <v>9330201</v>
      </c>
      <c r="C23" s="4">
        <v>10951665</v>
      </c>
      <c r="D23" s="4">
        <v>9892941</v>
      </c>
      <c r="E23" s="4">
        <v>8534687</v>
      </c>
      <c r="F23" s="4">
        <v>8353842</v>
      </c>
      <c r="G23" s="4">
        <v>8790453</v>
      </c>
      <c r="H23" s="7">
        <f t="shared" si="1"/>
        <v>4.2324707216893241E-3</v>
      </c>
      <c r="I23" s="7">
        <f t="shared" si="10"/>
        <v>0.1737866097418479</v>
      </c>
      <c r="J23" s="7">
        <f t="shared" si="11"/>
        <v>-9.6672423782137251E-2</v>
      </c>
      <c r="K23" s="7">
        <f t="shared" si="12"/>
        <v>-0.13729526942493642</v>
      </c>
      <c r="L23" s="7">
        <f t="shared" si="13"/>
        <v>-2.1189412101463079E-2</v>
      </c>
      <c r="M23" s="7">
        <f t="shared" si="14"/>
        <v>5.2264694496257036E-2</v>
      </c>
      <c r="N23" s="7">
        <f t="shared" si="7"/>
        <v>-5.8211602140863629E-3</v>
      </c>
      <c r="P23" s="1" t="s">
        <v>77</v>
      </c>
      <c r="R23" s="4">
        <f>+AVERAGE(B19:C19)</f>
        <v>692480987</v>
      </c>
      <c r="S23" s="4">
        <f>+AVERAGE(C19:D19)</f>
        <v>620199969</v>
      </c>
      <c r="T23" s="4">
        <f>+AVERAGE(D19:E19)</f>
        <v>411949686.5</v>
      </c>
      <c r="U23" s="4">
        <f>+AVERAGE(E19:F19)</f>
        <v>599280639.5</v>
      </c>
      <c r="V23" s="4">
        <f>+AVERAGE(F19:G19)</f>
        <v>987323281.5</v>
      </c>
      <c r="W23" s="8"/>
    </row>
    <row r="24" spans="1:23" ht="16.5" x14ac:dyDescent="0.25">
      <c r="A24" s="1" t="s">
        <v>20</v>
      </c>
      <c r="B24" s="4">
        <v>23779291</v>
      </c>
      <c r="C24" s="4">
        <v>15405115</v>
      </c>
      <c r="D24" s="4">
        <v>16598714</v>
      </c>
      <c r="E24" s="4">
        <v>17478839</v>
      </c>
      <c r="F24" s="4">
        <v>17575488</v>
      </c>
      <c r="G24" s="4">
        <v>21166553</v>
      </c>
      <c r="H24" s="7">
        <f t="shared" si="1"/>
        <v>1.0191376468492047E-2</v>
      </c>
      <c r="I24" s="7">
        <f t="shared" si="10"/>
        <v>-0.35216256027145632</v>
      </c>
      <c r="J24" s="7">
        <f t="shared" si="11"/>
        <v>7.7480693912379106E-2</v>
      </c>
      <c r="K24" s="7">
        <f t="shared" si="12"/>
        <v>5.3023686051822949E-2</v>
      </c>
      <c r="L24" s="7">
        <f t="shared" si="13"/>
        <v>5.5294862547792256E-3</v>
      </c>
      <c r="M24" s="7">
        <f t="shared" si="14"/>
        <v>0.20432234939934535</v>
      </c>
      <c r="N24" s="7">
        <f t="shared" si="7"/>
        <v>-2.3612689306259371E-3</v>
      </c>
      <c r="P24" s="12" t="s">
        <v>78</v>
      </c>
      <c r="R24" s="13">
        <f>+R22/R23</f>
        <v>0.23817552697659841</v>
      </c>
      <c r="S24" s="13">
        <f t="shared" ref="S24:V24" si="21">+S22/S23</f>
        <v>0.28271934660480447</v>
      </c>
      <c r="T24" s="13">
        <f t="shared" si="21"/>
        <v>0.57052674319731522</v>
      </c>
      <c r="U24" s="13">
        <f t="shared" si="21"/>
        <v>0.52931037662864466</v>
      </c>
      <c r="V24" s="13">
        <f t="shared" si="21"/>
        <v>0.35953979375497996</v>
      </c>
      <c r="W24" s="12" t="s">
        <v>63</v>
      </c>
    </row>
    <row r="25" spans="1:23" ht="16.5" x14ac:dyDescent="0.25">
      <c r="A25" s="1" t="s">
        <v>21</v>
      </c>
      <c r="B25" s="4">
        <v>265467</v>
      </c>
      <c r="C25" s="4">
        <v>228590</v>
      </c>
      <c r="D25" s="4">
        <v>3317982</v>
      </c>
      <c r="E25" s="4">
        <v>2638156</v>
      </c>
      <c r="F25" s="4">
        <v>2062290</v>
      </c>
      <c r="G25" s="4">
        <v>1388514</v>
      </c>
      <c r="H25" s="7">
        <f t="shared" si="1"/>
        <v>6.6854857783276128E-4</v>
      </c>
      <c r="I25" s="7">
        <f t="shared" si="10"/>
        <v>-0.13891368795368164</v>
      </c>
      <c r="J25" s="7">
        <f t="shared" si="11"/>
        <v>13.514991906907564</v>
      </c>
      <c r="K25" s="7">
        <f t="shared" si="12"/>
        <v>-0.20489140688526941</v>
      </c>
      <c r="L25" s="7">
        <f t="shared" si="13"/>
        <v>-0.21828352834328224</v>
      </c>
      <c r="M25" s="7">
        <f t="shared" si="14"/>
        <v>-0.32671253800386946</v>
      </c>
      <c r="N25" s="7">
        <f t="shared" si="7"/>
        <v>2.5252381491442923</v>
      </c>
      <c r="P25" s="12" t="s">
        <v>79</v>
      </c>
      <c r="R25" s="14">
        <f>365/R24</f>
        <v>1532.4832262714488</v>
      </c>
      <c r="S25" s="14">
        <f t="shared" ref="S25:V25" si="22">365/S24</f>
        <v>1291.0329780515885</v>
      </c>
      <c r="T25" s="14">
        <f t="shared" si="22"/>
        <v>639.75966832770484</v>
      </c>
      <c r="U25" s="14">
        <f t="shared" si="22"/>
        <v>689.57650580139284</v>
      </c>
      <c r="V25" s="14">
        <f t="shared" si="22"/>
        <v>1015.1866534382591</v>
      </c>
      <c r="W25" s="12" t="s">
        <v>70</v>
      </c>
    </row>
    <row r="26" spans="1:23" ht="16.5" x14ac:dyDescent="0.25">
      <c r="A26" s="1" t="s">
        <v>22</v>
      </c>
      <c r="B26" s="4">
        <v>24622315</v>
      </c>
      <c r="C26" s="4">
        <v>21818072</v>
      </c>
      <c r="D26" s="4">
        <v>27004243</v>
      </c>
      <c r="E26" s="4">
        <v>24920299</v>
      </c>
      <c r="F26" s="4">
        <v>34988461</v>
      </c>
      <c r="G26" s="4">
        <v>32217910</v>
      </c>
      <c r="H26" s="7">
        <f t="shared" si="1"/>
        <v>1.5512438413472171E-2</v>
      </c>
      <c r="I26" s="7">
        <f t="shared" si="10"/>
        <v>-0.11389030641513598</v>
      </c>
      <c r="J26" s="7">
        <f t="shared" si="11"/>
        <v>0.23770070059352633</v>
      </c>
      <c r="K26" s="7">
        <f t="shared" si="12"/>
        <v>-7.7170983833910856E-2</v>
      </c>
      <c r="L26" s="7">
        <f t="shared" si="13"/>
        <v>0.40401449436862702</v>
      </c>
      <c r="M26" s="7">
        <f t="shared" si="14"/>
        <v>-7.9184706066379951E-2</v>
      </c>
      <c r="N26" s="7">
        <f t="shared" si="7"/>
        <v>7.4293839729345307E-2</v>
      </c>
      <c r="P26" s="8"/>
      <c r="W26" s="8"/>
    </row>
    <row r="27" spans="1:23" ht="16.5" x14ac:dyDescent="0.25">
      <c r="A27" s="1" t="s">
        <v>23</v>
      </c>
      <c r="B27" s="4">
        <v>13328533</v>
      </c>
      <c r="C27" s="4">
        <v>7131609</v>
      </c>
      <c r="D27" s="4">
        <v>1027091</v>
      </c>
      <c r="E27" s="4">
        <v>124610</v>
      </c>
      <c r="F27" s="4">
        <v>20203</v>
      </c>
      <c r="G27" s="4">
        <v>149612</v>
      </c>
      <c r="H27" s="7">
        <f t="shared" si="1"/>
        <v>7.2035924612006138E-5</v>
      </c>
      <c r="I27" s="7">
        <f t="shared" si="10"/>
        <v>-0.46493668883139649</v>
      </c>
      <c r="J27" s="7">
        <f t="shared" si="11"/>
        <v>-0.85598046668009986</v>
      </c>
      <c r="K27" s="7">
        <f t="shared" si="12"/>
        <v>-0.8786767676866023</v>
      </c>
      <c r="L27" s="7">
        <f t="shared" si="13"/>
        <v>-0.83787015488323568</v>
      </c>
      <c r="M27" s="7">
        <f t="shared" si="14"/>
        <v>6.4054348364104339</v>
      </c>
      <c r="N27" s="7">
        <f t="shared" si="7"/>
        <v>0.67359415166581993</v>
      </c>
      <c r="P27" s="12" t="s">
        <v>80</v>
      </c>
      <c r="Q27" s="8"/>
      <c r="R27" s="14">
        <f>+R14+R18-R25</f>
        <v>-1033.1336150839138</v>
      </c>
      <c r="S27" s="14">
        <f t="shared" ref="S27:V27" si="23">+S14+S18-S25</f>
        <v>-843.36603501002242</v>
      </c>
      <c r="T27" s="14">
        <f t="shared" si="23"/>
        <v>-373.97750406076051</v>
      </c>
      <c r="U27" s="14">
        <f t="shared" si="23"/>
        <v>-354.76746311276531</v>
      </c>
      <c r="V27" s="14">
        <f t="shared" si="23"/>
        <v>-593.54909632894419</v>
      </c>
      <c r="W27" s="12" t="s">
        <v>70</v>
      </c>
    </row>
    <row r="28" spans="1:23" ht="16.5" x14ac:dyDescent="0.25">
      <c r="A28" s="2" t="s">
        <v>24</v>
      </c>
      <c r="B28" s="5">
        <f>SUM(B23:B27)</f>
        <v>71325807</v>
      </c>
      <c r="C28" s="5">
        <f>SUM(C23:C27)</f>
        <v>55535051</v>
      </c>
      <c r="D28" s="5">
        <f>SUM(D23:D27)</f>
        <v>57840971</v>
      </c>
      <c r="E28" s="5">
        <f>SUM(E23:E27)</f>
        <v>53696591</v>
      </c>
      <c r="F28" s="5">
        <f t="shared" ref="F28" si="24">SUM(F23:F27)</f>
        <v>63000284</v>
      </c>
      <c r="G28" s="5">
        <f>SUM(G23:G27)</f>
        <v>63713042</v>
      </c>
      <c r="H28" s="18">
        <f t="shared" si="1"/>
        <v>3.0676870106098313E-2</v>
      </c>
      <c r="I28" s="18">
        <f t="shared" si="10"/>
        <v>-0.22138909693654074</v>
      </c>
      <c r="J28" s="18">
        <f t="shared" si="11"/>
        <v>4.1521884980352253E-2</v>
      </c>
      <c r="K28" s="18">
        <f t="shared" si="12"/>
        <v>-7.165128676695276E-2</v>
      </c>
      <c r="L28" s="18">
        <f t="shared" si="13"/>
        <v>0.17326412769853494</v>
      </c>
      <c r="M28" s="18">
        <f t="shared" si="14"/>
        <v>1.1313568046772637E-2</v>
      </c>
      <c r="N28" s="18">
        <f t="shared" si="7"/>
        <v>-1.3388160595566734E-2</v>
      </c>
      <c r="P28" s="8"/>
      <c r="W28" s="8"/>
    </row>
    <row r="29" spans="1:23" ht="16.5" x14ac:dyDescent="0.25">
      <c r="A29" s="2" t="s">
        <v>25</v>
      </c>
      <c r="B29" s="5">
        <f>+B22+B28</f>
        <v>719423414</v>
      </c>
      <c r="C29" s="5">
        <f>+C22+C28</f>
        <v>1023797195</v>
      </c>
      <c r="D29" s="5">
        <f>+D22+D28</f>
        <v>526511725</v>
      </c>
      <c r="E29" s="5">
        <f>+E22+E28</f>
        <v>616077052</v>
      </c>
      <c r="F29" s="5">
        <f t="shared" ref="F29" si="25">+F22+F28</f>
        <v>925585783</v>
      </c>
      <c r="G29" s="5">
        <f>+G22+G28</f>
        <v>1411560967</v>
      </c>
      <c r="H29" s="18">
        <f t="shared" si="1"/>
        <v>0.67964534532031173</v>
      </c>
      <c r="I29" s="18">
        <f t="shared" si="10"/>
        <v>0.42308017097703199</v>
      </c>
      <c r="J29" s="18">
        <f t="shared" si="11"/>
        <v>-0.4857265407920951</v>
      </c>
      <c r="K29" s="18">
        <f t="shared" si="12"/>
        <v>0.17011079287930397</v>
      </c>
      <c r="L29" s="18">
        <f t="shared" si="13"/>
        <v>0.50238639792738127</v>
      </c>
      <c r="M29" s="18">
        <f t="shared" si="14"/>
        <v>0.52504607668547121</v>
      </c>
      <c r="N29" s="18">
        <f t="shared" si="7"/>
        <v>0.22697937953541869</v>
      </c>
      <c r="P29" s="1" t="s">
        <v>81</v>
      </c>
      <c r="Q29" s="4">
        <f t="shared" ref="Q29:V29" si="26">+B5+B6+B7-B19-B20</f>
        <v>70475507</v>
      </c>
      <c r="R29" s="4">
        <f t="shared" si="26"/>
        <v>-5781091</v>
      </c>
      <c r="S29" s="4">
        <f t="shared" si="26"/>
        <v>-3878354</v>
      </c>
      <c r="T29" s="4">
        <f t="shared" si="26"/>
        <v>135703575</v>
      </c>
      <c r="U29" s="4">
        <f t="shared" si="26"/>
        <v>75152952</v>
      </c>
      <c r="V29" s="4">
        <f t="shared" si="26"/>
        <v>45991019</v>
      </c>
      <c r="W29" s="8"/>
    </row>
    <row r="30" spans="1:23" ht="16.5" x14ac:dyDescent="0.25">
      <c r="A30" s="1" t="s">
        <v>26</v>
      </c>
      <c r="B30" s="4">
        <v>5438</v>
      </c>
      <c r="C30" s="4">
        <v>5438</v>
      </c>
      <c r="D30" s="4">
        <v>5438</v>
      </c>
      <c r="E30" s="4">
        <v>5438</v>
      </c>
      <c r="F30" s="4">
        <v>5438</v>
      </c>
      <c r="G30" s="4">
        <v>5438</v>
      </c>
      <c r="H30" s="7">
        <f t="shared" si="1"/>
        <v>2.6183150953138073E-6</v>
      </c>
      <c r="I30" s="7">
        <f t="shared" si="10"/>
        <v>0</v>
      </c>
      <c r="J30" s="7">
        <f t="shared" si="11"/>
        <v>0</v>
      </c>
      <c r="K30" s="7">
        <f t="shared" si="12"/>
        <v>0</v>
      </c>
      <c r="L30" s="7">
        <f t="shared" si="13"/>
        <v>0</v>
      </c>
      <c r="M30" s="7">
        <f t="shared" si="14"/>
        <v>0</v>
      </c>
      <c r="N30" s="7">
        <f t="shared" si="7"/>
        <v>0</v>
      </c>
      <c r="P30" s="1" t="s">
        <v>82</v>
      </c>
      <c r="R30" s="4">
        <f>+AVERAGE(Q29:R29)</f>
        <v>32347208</v>
      </c>
      <c r="S30" s="4">
        <f t="shared" ref="S30:V30" si="27">+AVERAGE(R29:S29)</f>
        <v>-4829722.5</v>
      </c>
      <c r="T30" s="4">
        <f t="shared" si="27"/>
        <v>65912610.5</v>
      </c>
      <c r="U30" s="4">
        <f t="shared" si="27"/>
        <v>105428263.5</v>
      </c>
      <c r="V30" s="4">
        <f t="shared" si="27"/>
        <v>60571985.5</v>
      </c>
      <c r="W30" s="8"/>
    </row>
    <row r="31" spans="1:23" ht="16.5" x14ac:dyDescent="0.25">
      <c r="A31" s="1" t="s">
        <v>27</v>
      </c>
      <c r="B31" s="4">
        <v>2041981</v>
      </c>
      <c r="C31" s="4">
        <v>2041981</v>
      </c>
      <c r="D31" s="4">
        <v>2041981</v>
      </c>
      <c r="E31" s="4">
        <v>2041981</v>
      </c>
      <c r="F31" s="4">
        <v>2041981</v>
      </c>
      <c r="G31" s="4">
        <v>2041981</v>
      </c>
      <c r="H31" s="7">
        <f t="shared" si="1"/>
        <v>9.8318309610959608E-4</v>
      </c>
      <c r="I31" s="7">
        <f t="shared" si="10"/>
        <v>0</v>
      </c>
      <c r="J31" s="7">
        <f t="shared" si="11"/>
        <v>0</v>
      </c>
      <c r="K31" s="7">
        <f t="shared" si="12"/>
        <v>0</v>
      </c>
      <c r="L31" s="7">
        <f t="shared" si="13"/>
        <v>0</v>
      </c>
      <c r="M31" s="7">
        <f t="shared" si="14"/>
        <v>0</v>
      </c>
      <c r="N31" s="7">
        <f t="shared" si="7"/>
        <v>0</v>
      </c>
      <c r="P31" s="12" t="s">
        <v>83</v>
      </c>
      <c r="R31" s="14">
        <f>+C40/R30</f>
        <v>19.239473310957781</v>
      </c>
      <c r="S31" s="14">
        <f>+D40/S30</f>
        <v>-121.2412512313078</v>
      </c>
      <c r="T31" s="14">
        <f>+E40/T30</f>
        <v>11.267198892084544</v>
      </c>
      <c r="U31" s="14">
        <f>+F40/U30</f>
        <v>7.7401766652449888</v>
      </c>
      <c r="V31" s="14">
        <f>+G40/V30</f>
        <v>14.80811770649321</v>
      </c>
      <c r="W31" s="8"/>
    </row>
    <row r="32" spans="1:23" ht="16.5" x14ac:dyDescent="0.25">
      <c r="A32" s="1" t="s">
        <v>28</v>
      </c>
      <c r="B32" s="4">
        <v>176440123</v>
      </c>
      <c r="C32" s="4">
        <v>196878640</v>
      </c>
      <c r="D32" s="4">
        <v>203240024</v>
      </c>
      <c r="E32" s="4">
        <v>194727302</v>
      </c>
      <c r="F32" s="4">
        <v>161989623</v>
      </c>
      <c r="G32" s="4">
        <v>167519895</v>
      </c>
      <c r="H32" s="7">
        <f t="shared" si="1"/>
        <v>8.065830633392497E-2</v>
      </c>
      <c r="I32" s="7">
        <f t="shared" si="10"/>
        <v>0.11583826089262028</v>
      </c>
      <c r="J32" s="7">
        <f t="shared" si="11"/>
        <v>3.231119434794949E-2</v>
      </c>
      <c r="K32" s="7">
        <f t="shared" si="12"/>
        <v>-4.1885066890171241E-2</v>
      </c>
      <c r="L32" s="7">
        <f t="shared" si="13"/>
        <v>-0.16812064186048237</v>
      </c>
      <c r="M32" s="7">
        <f t="shared" si="14"/>
        <v>3.4139668316901961E-2</v>
      </c>
      <c r="N32" s="7">
        <f t="shared" si="7"/>
        <v>-5.5433170386363752E-3</v>
      </c>
    </row>
    <row r="33" spans="1:20" ht="16.5" x14ac:dyDescent="0.25">
      <c r="A33" s="1" t="s">
        <v>29</v>
      </c>
      <c r="B33" s="4">
        <v>545184662</v>
      </c>
      <c r="C33" s="4">
        <v>490405427</v>
      </c>
      <c r="D33" s="4">
        <v>457382068</v>
      </c>
      <c r="E33" s="4">
        <v>482432739</v>
      </c>
      <c r="F33" s="4">
        <v>482579735</v>
      </c>
      <c r="G33" s="4">
        <v>499863846</v>
      </c>
      <c r="H33" s="7">
        <f t="shared" si="1"/>
        <v>0.24067691312677755</v>
      </c>
      <c r="I33" s="7">
        <f t="shared" si="10"/>
        <v>-0.10047831279596786</v>
      </c>
      <c r="J33" s="7">
        <f t="shared" si="11"/>
        <v>-6.7338893865870664E-2</v>
      </c>
      <c r="K33" s="7">
        <f t="shared" si="12"/>
        <v>5.4769683274946468E-2</v>
      </c>
      <c r="L33" s="7">
        <f t="shared" si="13"/>
        <v>3.0469739741278978E-4</v>
      </c>
      <c r="M33" s="7">
        <f t="shared" si="14"/>
        <v>3.5816072964605539E-2</v>
      </c>
      <c r="N33" s="7">
        <f t="shared" si="7"/>
        <v>-1.5385350604974746E-2</v>
      </c>
    </row>
    <row r="34" spans="1:20" ht="16.5" x14ac:dyDescent="0.25">
      <c r="A34" s="2" t="s">
        <v>30</v>
      </c>
      <c r="B34" s="5">
        <f>SUM(B30:B33)</f>
        <v>723672204</v>
      </c>
      <c r="C34" s="5">
        <f>SUM(C30:C33)</f>
        <v>689331486</v>
      </c>
      <c r="D34" s="5">
        <f>SUM(D30:D33)</f>
        <v>662669511</v>
      </c>
      <c r="E34" s="5">
        <f t="shared" ref="E34" si="28">SUM(E30:E33)</f>
        <v>679207460</v>
      </c>
      <c r="F34" s="5">
        <f>SUM(F30:F33)</f>
        <v>646616777</v>
      </c>
      <c r="G34" s="5">
        <f>SUM(G30:G33)</f>
        <v>669431160</v>
      </c>
      <c r="H34" s="18">
        <f t="shared" si="1"/>
        <v>0.32232102087190745</v>
      </c>
      <c r="I34" s="18">
        <f t="shared" si="10"/>
        <v>-4.7453415800947307E-2</v>
      </c>
      <c r="J34" s="18">
        <f t="shared" si="11"/>
        <v>-3.8678017095537087E-2</v>
      </c>
      <c r="K34" s="18">
        <f t="shared" si="12"/>
        <v>2.4956556361018345E-2</v>
      </c>
      <c r="L34" s="18">
        <f t="shared" si="13"/>
        <v>-4.79833996522947E-2</v>
      </c>
      <c r="M34" s="18">
        <f t="shared" si="14"/>
        <v>3.5282695734942138E-2</v>
      </c>
      <c r="N34" s="18">
        <f t="shared" si="7"/>
        <v>-1.4775116090563723E-2</v>
      </c>
    </row>
    <row r="35" spans="1:20" ht="16.5" x14ac:dyDescent="0.25">
      <c r="A35" s="2" t="s">
        <v>31</v>
      </c>
      <c r="B35" s="5">
        <f>+B29+B34</f>
        <v>1443095618</v>
      </c>
      <c r="C35" s="5">
        <f>+C29+C34</f>
        <v>1713128681</v>
      </c>
      <c r="D35" s="5">
        <f>+D29+D34</f>
        <v>1189181236</v>
      </c>
      <c r="E35" s="5">
        <f>+E29+E34</f>
        <v>1295284512</v>
      </c>
      <c r="F35" s="5">
        <f t="shared" ref="F35" si="29">+F29+F34</f>
        <v>1572202560</v>
      </c>
      <c r="G35" s="5">
        <f>+G29+G34</f>
        <v>2080992127</v>
      </c>
      <c r="H35" s="18">
        <f t="shared" si="1"/>
        <v>1.0019663661922191</v>
      </c>
      <c r="I35" s="18">
        <f t="shared" si="10"/>
        <v>0.18712070054944907</v>
      </c>
      <c r="J35" s="18">
        <f t="shared" si="11"/>
        <v>-0.30584243367763686</v>
      </c>
      <c r="K35" s="18">
        <f t="shared" si="12"/>
        <v>8.9223806084340218E-2</v>
      </c>
      <c r="L35" s="18">
        <f t="shared" si="13"/>
        <v>0.21378936089679734</v>
      </c>
      <c r="M35" s="18">
        <f t="shared" si="14"/>
        <v>0.32361578586922035</v>
      </c>
      <c r="N35" s="18">
        <f t="shared" si="7"/>
        <v>0.10158144394443402</v>
      </c>
      <c r="T35" s="6"/>
    </row>
    <row r="36" spans="1:20" ht="16.5" x14ac:dyDescent="0.25">
      <c r="A36" s="1"/>
      <c r="B36" s="6" t="b">
        <f>+B35=B17</f>
        <v>0</v>
      </c>
      <c r="C36" s="6" t="b">
        <f>+C35=C17</f>
        <v>0</v>
      </c>
      <c r="D36" s="6" t="b">
        <f>+D35=D17</f>
        <v>0</v>
      </c>
      <c r="E36" s="6" t="b">
        <f>+E35=E17</f>
        <v>0</v>
      </c>
      <c r="F36" s="6" t="b">
        <f t="shared" ref="F36" si="30">+F35=F17</f>
        <v>0</v>
      </c>
      <c r="G36" s="6" t="b">
        <f>+G35=G17</f>
        <v>0</v>
      </c>
    </row>
    <row r="37" spans="1:20" ht="16.5" x14ac:dyDescent="0.25">
      <c r="A37" s="1"/>
      <c r="B37" s="6">
        <f>+B17-B35</f>
        <v>-4083962</v>
      </c>
      <c r="C37" s="6">
        <f>+C17-C35</f>
        <v>-4083962</v>
      </c>
      <c r="D37" s="6">
        <f>+D17-D35</f>
        <v>-4083962</v>
      </c>
      <c r="E37" s="6">
        <f>+E17-E35</f>
        <v>-4083962</v>
      </c>
      <c r="F37" s="6">
        <f t="shared" ref="F37" si="31">+F17-F35</f>
        <v>-4083962</v>
      </c>
      <c r="G37" s="6">
        <f>+G17-G35</f>
        <v>-4083962</v>
      </c>
    </row>
    <row r="38" spans="1:20" ht="16.5" x14ac:dyDescent="0.25">
      <c r="A38" s="1"/>
      <c r="B38" s="6"/>
      <c r="C38" s="6"/>
      <c r="D38" s="6"/>
      <c r="E38" s="6"/>
      <c r="F38" s="6"/>
      <c r="G38" s="6"/>
      <c r="I38" s="23" t="s">
        <v>87</v>
      </c>
      <c r="J38" s="24"/>
      <c r="K38" s="24"/>
      <c r="L38" s="24"/>
      <c r="M38" s="24"/>
      <c r="O38" s="6"/>
    </row>
    <row r="39" spans="1:20" ht="16.5" x14ac:dyDescent="0.25">
      <c r="A39" s="1"/>
      <c r="B39" s="3">
        <v>2018</v>
      </c>
      <c r="C39" s="3">
        <v>2019</v>
      </c>
      <c r="D39" s="3">
        <v>2020</v>
      </c>
      <c r="E39" s="3">
        <v>2021</v>
      </c>
      <c r="F39" s="3">
        <v>2022</v>
      </c>
      <c r="G39" s="3">
        <v>2023</v>
      </c>
      <c r="H39" s="11" t="s">
        <v>88</v>
      </c>
      <c r="I39" s="11">
        <v>2019</v>
      </c>
      <c r="J39" s="11">
        <v>2020</v>
      </c>
      <c r="K39" s="11">
        <v>2021</v>
      </c>
      <c r="L39" s="11">
        <v>2022</v>
      </c>
      <c r="M39" s="11" t="s">
        <v>90</v>
      </c>
      <c r="N39" s="11" t="s">
        <v>89</v>
      </c>
      <c r="O39" s="6"/>
    </row>
    <row r="40" spans="1:20" ht="16.5" x14ac:dyDescent="0.25">
      <c r="A40" s="1" t="s">
        <v>32</v>
      </c>
      <c r="B40" s="4">
        <v>701437389</v>
      </c>
      <c r="C40" s="4">
        <v>622343245</v>
      </c>
      <c r="D40" s="4">
        <v>585561599</v>
      </c>
      <c r="E40" s="4">
        <v>742650492</v>
      </c>
      <c r="F40" s="4">
        <v>816033385</v>
      </c>
      <c r="G40" s="4">
        <v>896957091</v>
      </c>
      <c r="H40" s="7">
        <f>+G40/$G$40</f>
        <v>1</v>
      </c>
      <c r="I40" s="7">
        <f>+C40/B40-1</f>
        <v>-0.11276009126453912</v>
      </c>
      <c r="J40" s="7">
        <f t="shared" ref="J40:M40" si="32">+D40/C40-1</f>
        <v>-5.910186427748565E-2</v>
      </c>
      <c r="K40" s="7">
        <f t="shared" si="32"/>
        <v>0.26827048301710787</v>
      </c>
      <c r="L40" s="7">
        <f t="shared" si="32"/>
        <v>9.881215159822454E-2</v>
      </c>
      <c r="M40" s="7">
        <f t="shared" si="32"/>
        <v>9.9167151108652263E-2</v>
      </c>
      <c r="N40" s="7">
        <f>+AVERAGE(I40:M40)</f>
        <v>5.8877566036391979E-2</v>
      </c>
      <c r="O40" s="6"/>
    </row>
    <row r="41" spans="1:20" ht="16.5" x14ac:dyDescent="0.25">
      <c r="A41" s="1" t="s">
        <v>33</v>
      </c>
      <c r="B41" s="4">
        <v>137908117</v>
      </c>
      <c r="C41" s="4">
        <v>161292779</v>
      </c>
      <c r="D41" s="4">
        <v>175608883</v>
      </c>
      <c r="E41" s="4">
        <v>234269263</v>
      </c>
      <c r="F41" s="4">
        <v>305443507</v>
      </c>
      <c r="G41" s="4">
        <v>358076083</v>
      </c>
      <c r="H41" s="7">
        <f t="shared" ref="H41:H57" si="33">+G41/$G$40</f>
        <v>0.39921205439246593</v>
      </c>
      <c r="I41" s="7">
        <f t="shared" ref="I41:I54" si="34">+C41/B41-1</f>
        <v>0.1695669733493641</v>
      </c>
      <c r="J41" s="7">
        <f t="shared" ref="J41:J57" si="35">+D41/C41-1</f>
        <v>8.8758493025902885E-2</v>
      </c>
      <c r="K41" s="7">
        <f t="shared" ref="K41:K57" si="36">+E41/D41-1</f>
        <v>0.3340399357816084</v>
      </c>
      <c r="L41" s="7">
        <f t="shared" ref="L41:L57" si="37">+F41/E41-1</f>
        <v>0.30381383835232367</v>
      </c>
      <c r="M41" s="7">
        <f t="shared" ref="M41:M57" si="38">+G41/F41-1</f>
        <v>0.17231525566526451</v>
      </c>
      <c r="N41" s="7">
        <f t="shared" ref="N41:N54" si="39">+AVERAGE(I41:M41)</f>
        <v>0.21369889923489271</v>
      </c>
      <c r="O41" s="6"/>
    </row>
    <row r="42" spans="1:20" ht="16.5" x14ac:dyDescent="0.25">
      <c r="A42" s="2" t="s">
        <v>34</v>
      </c>
      <c r="B42" s="5">
        <f>+B40-B41</f>
        <v>563529272</v>
      </c>
      <c r="C42" s="5">
        <f>+C40-C41</f>
        <v>461050466</v>
      </c>
      <c r="D42" s="5">
        <f>+D40-D41</f>
        <v>409952716</v>
      </c>
      <c r="E42" s="5">
        <f>+E40-E41</f>
        <v>508381229</v>
      </c>
      <c r="F42" s="5">
        <f t="shared" ref="F42" si="40">+F40-F41</f>
        <v>510589878</v>
      </c>
      <c r="G42" s="5">
        <f>+G40-G41</f>
        <v>538881008</v>
      </c>
      <c r="H42" s="18">
        <f t="shared" si="33"/>
        <v>0.60078794560753412</v>
      </c>
      <c r="I42" s="18">
        <f t="shared" si="34"/>
        <v>-0.1818517885260803</v>
      </c>
      <c r="J42" s="18">
        <f t="shared" si="35"/>
        <v>-0.11082897376357925</v>
      </c>
      <c r="K42" s="18">
        <f t="shared" si="36"/>
        <v>0.24009723355510104</v>
      </c>
      <c r="L42" s="18">
        <f t="shared" si="37"/>
        <v>4.3444739380809061E-3</v>
      </c>
      <c r="M42" s="18">
        <f t="shared" si="38"/>
        <v>5.5408716895872345E-2</v>
      </c>
      <c r="N42" s="18">
        <f t="shared" si="39"/>
        <v>1.4339324198789471E-3</v>
      </c>
      <c r="O42" s="6"/>
    </row>
    <row r="43" spans="1:20" ht="16.5" x14ac:dyDescent="0.25">
      <c r="A43" s="1" t="s">
        <v>35</v>
      </c>
      <c r="B43" s="4">
        <v>17753157</v>
      </c>
      <c r="C43" s="4">
        <v>1245431</v>
      </c>
      <c r="D43" s="4">
        <v>556448</v>
      </c>
      <c r="E43" s="4">
        <v>0</v>
      </c>
      <c r="F43" s="4"/>
      <c r="G43" s="4"/>
      <c r="H43" s="7">
        <f t="shared" si="33"/>
        <v>0</v>
      </c>
      <c r="I43" s="7">
        <f t="shared" si="34"/>
        <v>-0.92984735053038736</v>
      </c>
      <c r="J43" s="7">
        <f t="shared" si="35"/>
        <v>-0.5532084876641099</v>
      </c>
      <c r="K43" s="7">
        <f t="shared" si="36"/>
        <v>-1</v>
      </c>
      <c r="L43" s="7"/>
      <c r="M43" s="7"/>
      <c r="N43" s="7"/>
    </row>
    <row r="44" spans="1:20" ht="16.5" x14ac:dyDescent="0.25">
      <c r="A44" s="1" t="s">
        <v>36</v>
      </c>
      <c r="B44" s="4">
        <v>54609266</v>
      </c>
      <c r="C44" s="4">
        <v>68392455</v>
      </c>
      <c r="D44" s="4">
        <v>37059025</v>
      </c>
      <c r="E44" s="4">
        <v>45588576</v>
      </c>
      <c r="F44" s="4">
        <v>45715528</v>
      </c>
      <c r="G44" s="4">
        <v>58804083</v>
      </c>
      <c r="H44" s="7">
        <f t="shared" si="33"/>
        <v>6.5559527417794833E-2</v>
      </c>
      <c r="I44" s="7">
        <f t="shared" si="34"/>
        <v>0.25239652552737102</v>
      </c>
      <c r="J44" s="7">
        <f t="shared" si="35"/>
        <v>-0.45814161810685117</v>
      </c>
      <c r="K44" s="7">
        <f t="shared" si="36"/>
        <v>0.23016123602820104</v>
      </c>
      <c r="L44" s="7">
        <f t="shared" si="37"/>
        <v>2.7847327365522201E-3</v>
      </c>
      <c r="M44" s="7">
        <f t="shared" si="38"/>
        <v>0.28630436030400874</v>
      </c>
      <c r="N44" s="7">
        <f t="shared" si="39"/>
        <v>6.2701047297856374E-2</v>
      </c>
    </row>
    <row r="45" spans="1:20" ht="16.5" x14ac:dyDescent="0.25">
      <c r="A45" s="1" t="s">
        <v>37</v>
      </c>
      <c r="B45" s="4">
        <v>128960373</v>
      </c>
      <c r="C45" s="4">
        <v>73619282</v>
      </c>
      <c r="D45" s="4">
        <v>74908227</v>
      </c>
      <c r="E45" s="4">
        <v>66889742</v>
      </c>
      <c r="F45" s="4">
        <v>62611832</v>
      </c>
      <c r="G45" s="4">
        <v>62154698</v>
      </c>
      <c r="H45" s="7">
        <f t="shared" si="33"/>
        <v>6.9295062856022396E-2</v>
      </c>
      <c r="I45" s="7">
        <f t="shared" si="34"/>
        <v>-0.42913252895135467</v>
      </c>
      <c r="J45" s="7">
        <f t="shared" si="35"/>
        <v>1.7508252797140855E-2</v>
      </c>
      <c r="K45" s="7">
        <f t="shared" si="36"/>
        <v>-0.10704411679641013</v>
      </c>
      <c r="L45" s="7">
        <f t="shared" si="37"/>
        <v>-6.3954649428906496E-2</v>
      </c>
      <c r="M45" s="7">
        <f t="shared" si="38"/>
        <v>-7.3010800897823636E-3</v>
      </c>
      <c r="N45" s="7">
        <f t="shared" si="39"/>
        <v>-0.11798482449386256</v>
      </c>
    </row>
    <row r="46" spans="1:20" ht="16.5" x14ac:dyDescent="0.25">
      <c r="A46" s="1" t="s">
        <v>38</v>
      </c>
      <c r="B46" s="4">
        <v>15423311</v>
      </c>
      <c r="C46" s="4">
        <v>21189968</v>
      </c>
      <c r="D46" s="4">
        <v>14786041</v>
      </c>
      <c r="E46" s="4">
        <v>0</v>
      </c>
      <c r="F46" s="4"/>
      <c r="G46" s="4"/>
      <c r="H46" s="7">
        <f t="shared" si="33"/>
        <v>0</v>
      </c>
      <c r="I46" s="7">
        <f t="shared" si="34"/>
        <v>0.37389228551508813</v>
      </c>
      <c r="J46" s="7">
        <f t="shared" si="35"/>
        <v>-0.30221503873908639</v>
      </c>
      <c r="K46" s="7">
        <f t="shared" si="36"/>
        <v>-1</v>
      </c>
      <c r="L46" s="7"/>
      <c r="M46" s="7"/>
      <c r="N46" s="7"/>
    </row>
    <row r="47" spans="1:20" ht="16.5" x14ac:dyDescent="0.25">
      <c r="A47" s="1" t="s">
        <v>39</v>
      </c>
      <c r="B47" s="4"/>
      <c r="C47" s="4">
        <v>0</v>
      </c>
      <c r="D47" s="4"/>
      <c r="E47" s="4">
        <v>-18321166</v>
      </c>
      <c r="F47" s="4">
        <v>-10054913</v>
      </c>
      <c r="G47" s="4">
        <v>-24527785</v>
      </c>
      <c r="H47" s="7">
        <f t="shared" si="33"/>
        <v>-2.7345550022526106E-2</v>
      </c>
      <c r="I47" s="7"/>
      <c r="J47" s="7"/>
      <c r="K47" s="7"/>
      <c r="L47" s="7">
        <f t="shared" si="37"/>
        <v>-0.45118596709401571</v>
      </c>
      <c r="M47" s="7">
        <f t="shared" si="38"/>
        <v>1.4393831154978667</v>
      </c>
      <c r="N47" s="7"/>
    </row>
    <row r="48" spans="1:20" ht="16.5" x14ac:dyDescent="0.25">
      <c r="A48" s="2" t="s">
        <v>40</v>
      </c>
      <c r="B48" s="5">
        <f>+B42+B43-B44-B45-B46+B47</f>
        <v>382289479</v>
      </c>
      <c r="C48" s="5">
        <f>+C42+C43-C44-C45-C46+C47</f>
        <v>299094192</v>
      </c>
      <c r="D48" s="5">
        <f>+D42+D43-D44-D45-D46+D47</f>
        <v>283755871</v>
      </c>
      <c r="E48" s="5">
        <f>+E42+E43-E44-E45-E46+E47</f>
        <v>377581745</v>
      </c>
      <c r="F48" s="5">
        <f t="shared" ref="F48" si="41">+F42+F43-F44-F45-F46+F47</f>
        <v>392207605</v>
      </c>
      <c r="G48" s="5">
        <f>+G42+G43-G44-G45-G46+G47</f>
        <v>393394442</v>
      </c>
      <c r="H48" s="18">
        <f t="shared" si="33"/>
        <v>0.43858780531119074</v>
      </c>
      <c r="I48" s="18">
        <f t="shared" si="34"/>
        <v>-0.21762379445446367</v>
      </c>
      <c r="J48" s="18">
        <f t="shared" si="35"/>
        <v>-5.1282577229048942E-2</v>
      </c>
      <c r="K48" s="18">
        <f t="shared" si="36"/>
        <v>0.33065703158614124</v>
      </c>
      <c r="L48" s="18">
        <f t="shared" si="37"/>
        <v>3.8735612072559267E-2</v>
      </c>
      <c r="M48" s="18">
        <f t="shared" si="38"/>
        <v>3.0260428020001395E-3</v>
      </c>
      <c r="N48" s="18">
        <f t="shared" si="39"/>
        <v>2.0702462955437605E-2</v>
      </c>
    </row>
    <row r="49" spans="1:15" ht="16.5" x14ac:dyDescent="0.25">
      <c r="A49" s="1" t="s">
        <v>41</v>
      </c>
      <c r="B49" s="4">
        <v>5780571</v>
      </c>
      <c r="C49" s="4">
        <v>985894</v>
      </c>
      <c r="D49" s="4">
        <v>1458136</v>
      </c>
      <c r="E49" s="4">
        <v>535079</v>
      </c>
      <c r="F49" s="4">
        <v>2659403</v>
      </c>
      <c r="G49" s="4">
        <v>9975489</v>
      </c>
      <c r="H49" s="7">
        <f t="shared" si="33"/>
        <v>1.1121478496678723E-2</v>
      </c>
      <c r="I49" s="7">
        <f t="shared" si="34"/>
        <v>-0.82944695255883893</v>
      </c>
      <c r="J49" s="7">
        <f t="shared" si="35"/>
        <v>0.47899875645860512</v>
      </c>
      <c r="K49" s="7">
        <f t="shared" si="36"/>
        <v>-0.63303903065283351</v>
      </c>
      <c r="L49" s="7">
        <f t="shared" si="37"/>
        <v>3.9701128244614345</v>
      </c>
      <c r="M49" s="7">
        <f t="shared" si="38"/>
        <v>2.7510257001289387</v>
      </c>
      <c r="N49" s="7">
        <f t="shared" si="39"/>
        <v>1.1475302595674612</v>
      </c>
    </row>
    <row r="50" spans="1:15" ht="16.5" x14ac:dyDescent="0.25">
      <c r="A50" s="1" t="s">
        <v>42</v>
      </c>
      <c r="B50" s="4">
        <v>3305981</v>
      </c>
      <c r="C50" s="4">
        <v>5523310</v>
      </c>
      <c r="D50" s="4">
        <v>4644778</v>
      </c>
      <c r="E50" s="4">
        <v>4157028</v>
      </c>
      <c r="F50" s="4">
        <v>9167934</v>
      </c>
      <c r="G50" s="4">
        <v>11041378</v>
      </c>
      <c r="H50" s="7">
        <f t="shared" si="33"/>
        <v>1.230981739348332E-2</v>
      </c>
      <c r="I50" s="7">
        <f t="shared" si="34"/>
        <v>0.67070228171305279</v>
      </c>
      <c r="J50" s="7">
        <f t="shared" si="35"/>
        <v>-0.15905897007410408</v>
      </c>
      <c r="K50" s="7">
        <f t="shared" si="36"/>
        <v>-0.10501040092766545</v>
      </c>
      <c r="L50" s="7">
        <f t="shared" si="37"/>
        <v>1.2054058813171333</v>
      </c>
      <c r="M50" s="7">
        <f t="shared" si="38"/>
        <v>0.20434745712610924</v>
      </c>
      <c r="N50" s="7">
        <f t="shared" si="39"/>
        <v>0.3632772498309052</v>
      </c>
    </row>
    <row r="51" spans="1:15" ht="16.5" x14ac:dyDescent="0.25">
      <c r="A51" s="1" t="s">
        <v>43</v>
      </c>
      <c r="B51" s="4">
        <v>64036764</v>
      </c>
      <c r="C51" s="4">
        <v>55616604</v>
      </c>
      <c r="D51" s="4">
        <v>35508941</v>
      </c>
      <c r="E51" s="4">
        <v>3007615</v>
      </c>
      <c r="F51" s="4">
        <v>9451173</v>
      </c>
      <c r="G51" s="4">
        <v>20703309</v>
      </c>
      <c r="H51" s="7">
        <f t="shared" si="33"/>
        <v>2.308171617988803E-2</v>
      </c>
      <c r="I51" s="7">
        <f t="shared" si="34"/>
        <v>-0.13148946751900203</v>
      </c>
      <c r="J51" s="7">
        <f t="shared" si="35"/>
        <v>-0.36154064710603329</v>
      </c>
      <c r="K51" s="7">
        <f t="shared" si="36"/>
        <v>-0.91529978322924355</v>
      </c>
      <c r="L51" s="7">
        <f t="shared" si="37"/>
        <v>2.142414504516037</v>
      </c>
      <c r="M51" s="7">
        <f t="shared" si="38"/>
        <v>1.1905544422898617</v>
      </c>
      <c r="N51" s="7">
        <f t="shared" si="39"/>
        <v>0.38492780979032398</v>
      </c>
    </row>
    <row r="52" spans="1:15" ht="16.5" x14ac:dyDescent="0.25">
      <c r="A52" s="2" t="s">
        <v>44</v>
      </c>
      <c r="B52" s="5">
        <f>+B48+B49-B50+B51</f>
        <v>448800833</v>
      </c>
      <c r="C52" s="5">
        <f>+C48+C49-C50+C51</f>
        <v>350173380</v>
      </c>
      <c r="D52" s="5">
        <f>+D48+D49-D50+D51</f>
        <v>316078170</v>
      </c>
      <c r="E52" s="5">
        <f>+E48+E49-E50+E51</f>
        <v>376967411</v>
      </c>
      <c r="F52" s="5">
        <f t="shared" ref="F52" si="42">+F48+F49-F50+F51</f>
        <v>395150247</v>
      </c>
      <c r="G52" s="5">
        <f>+G48+G49-G50+G51</f>
        <v>413031862</v>
      </c>
      <c r="H52" s="18">
        <f t="shared" si="33"/>
        <v>0.46048118259427417</v>
      </c>
      <c r="I52" s="18">
        <f t="shared" si="34"/>
        <v>-0.21975773159939749</v>
      </c>
      <c r="J52" s="18">
        <f t="shared" si="35"/>
        <v>-9.7366653056266017E-2</v>
      </c>
      <c r="K52" s="18">
        <f t="shared" si="36"/>
        <v>0.192639817548931</v>
      </c>
      <c r="L52" s="18">
        <f t="shared" si="37"/>
        <v>4.8234503751307001E-2</v>
      </c>
      <c r="M52" s="18">
        <f t="shared" si="38"/>
        <v>4.5252698526087487E-2</v>
      </c>
      <c r="N52" s="18">
        <f t="shared" si="39"/>
        <v>-6.1994729658676031E-3</v>
      </c>
    </row>
    <row r="53" spans="1:15" ht="16.5" x14ac:dyDescent="0.25">
      <c r="A53" s="1" t="s">
        <v>45</v>
      </c>
      <c r="B53" s="4">
        <v>135564262</v>
      </c>
      <c r="C53" s="4">
        <v>91716044</v>
      </c>
      <c r="D53" s="4">
        <v>90644193</v>
      </c>
      <c r="E53" s="4">
        <v>126482762</v>
      </c>
      <c r="F53" s="4">
        <v>144518602</v>
      </c>
      <c r="G53" s="4">
        <v>145116107</v>
      </c>
      <c r="H53" s="7">
        <f t="shared" si="33"/>
        <v>0.16178712276884158</v>
      </c>
      <c r="I53" s="7">
        <f t="shared" si="34"/>
        <v>-0.32344968617171388</v>
      </c>
      <c r="J53" s="7">
        <f t="shared" si="35"/>
        <v>-1.1686624861403705E-2</v>
      </c>
      <c r="K53" s="7">
        <f t="shared" si="36"/>
        <v>0.39537633701477159</v>
      </c>
      <c r="L53" s="7">
        <f t="shared" si="37"/>
        <v>0.14259524155552517</v>
      </c>
      <c r="M53" s="7">
        <f t="shared" si="38"/>
        <v>4.1344504564193585E-3</v>
      </c>
      <c r="N53" s="7">
        <f t="shared" si="39"/>
        <v>4.1393943598719708E-2</v>
      </c>
    </row>
    <row r="54" spans="1:15" ht="16.5" x14ac:dyDescent="0.25">
      <c r="A54" s="2" t="s">
        <v>46</v>
      </c>
      <c r="B54" s="5">
        <f>+B52-B53</f>
        <v>313236571</v>
      </c>
      <c r="C54" s="5">
        <f>+C52-C53</f>
        <v>258457336</v>
      </c>
      <c r="D54" s="5">
        <f>+D52-D53</f>
        <v>225433977</v>
      </c>
      <c r="E54" s="5">
        <f>+E52-E53</f>
        <v>250484649</v>
      </c>
      <c r="F54" s="5">
        <f t="shared" ref="F54" si="43">+F52-F53</f>
        <v>250631645</v>
      </c>
      <c r="G54" s="5">
        <f>+G52-G53</f>
        <v>267915755</v>
      </c>
      <c r="H54" s="18">
        <f t="shared" si="33"/>
        <v>0.29869405982543262</v>
      </c>
      <c r="I54" s="18">
        <f t="shared" si="34"/>
        <v>-0.17488135189680643</v>
      </c>
      <c r="J54" s="18">
        <f t="shared" si="35"/>
        <v>-0.12777102600794432</v>
      </c>
      <c r="K54" s="18">
        <f t="shared" si="36"/>
        <v>0.11112198938849405</v>
      </c>
      <c r="L54" s="18">
        <f t="shared" si="37"/>
        <v>5.8684634202865738E-4</v>
      </c>
      <c r="M54" s="18">
        <f t="shared" si="38"/>
        <v>6.8962201480982088E-2</v>
      </c>
      <c r="N54" s="18">
        <f t="shared" si="39"/>
        <v>-2.4396268138649192E-2</v>
      </c>
    </row>
    <row r="55" spans="1:15" x14ac:dyDescent="0.25">
      <c r="H55" s="19"/>
      <c r="I55" s="19"/>
      <c r="J55" s="19"/>
      <c r="K55" s="19"/>
      <c r="L55" s="19"/>
      <c r="M55" s="19"/>
      <c r="N55" s="19"/>
      <c r="O55" s="19"/>
    </row>
    <row r="56" spans="1:15" ht="16.5" x14ac:dyDescent="0.25">
      <c r="A56" s="1" t="s">
        <v>48</v>
      </c>
      <c r="B56" s="4">
        <v>43605816</v>
      </c>
      <c r="C56" s="4">
        <v>43077521</v>
      </c>
      <c r="D56" s="4">
        <v>49242553</v>
      </c>
      <c r="E56" s="4">
        <v>53259017</v>
      </c>
      <c r="F56" s="4">
        <v>54770117</v>
      </c>
      <c r="G56" s="4">
        <v>61304238</v>
      </c>
      <c r="H56" s="7">
        <f t="shared" si="33"/>
        <v>6.8346901557635384E-2</v>
      </c>
      <c r="I56" s="7">
        <f t="shared" ref="I56:I57" si="44">+C56/B56-1</f>
        <v>-1.2115241691612932E-2</v>
      </c>
      <c r="J56" s="7">
        <f t="shared" si="35"/>
        <v>0.14311482780079188</v>
      </c>
      <c r="K56" s="7">
        <f t="shared" si="36"/>
        <v>8.1564901803527601E-2</v>
      </c>
      <c r="L56" s="7">
        <f t="shared" si="37"/>
        <v>2.8372660351579482E-2</v>
      </c>
      <c r="M56" s="7">
        <f t="shared" si="38"/>
        <v>0.1193008406390661</v>
      </c>
      <c r="N56" s="7">
        <f t="shared" ref="N56:N57" si="45">+H56/G56-1</f>
        <v>-0.99999999888511948</v>
      </c>
    </row>
    <row r="57" spans="1:15" ht="16.5" x14ac:dyDescent="0.25">
      <c r="A57" s="2" t="s">
        <v>59</v>
      </c>
      <c r="B57" s="5">
        <f>+B48+B56</f>
        <v>425895295</v>
      </c>
      <c r="C57" s="5">
        <f t="shared" ref="C57:G57" si="46">+C48+C56</f>
        <v>342171713</v>
      </c>
      <c r="D57" s="5">
        <f t="shared" si="46"/>
        <v>332998424</v>
      </c>
      <c r="E57" s="5">
        <f t="shared" si="46"/>
        <v>430840762</v>
      </c>
      <c r="F57" s="5">
        <f t="shared" si="46"/>
        <v>446977722</v>
      </c>
      <c r="G57" s="5">
        <f t="shared" si="46"/>
        <v>454698680</v>
      </c>
      <c r="H57" s="18">
        <f t="shared" si="33"/>
        <v>0.50693470686882613</v>
      </c>
      <c r="I57" s="18">
        <f t="shared" si="44"/>
        <v>-0.19658254736061365</v>
      </c>
      <c r="J57" s="18">
        <f t="shared" si="35"/>
        <v>-2.6809022053789655E-2</v>
      </c>
      <c r="K57" s="18">
        <f t="shared" si="36"/>
        <v>0.29382222541689873</v>
      </c>
      <c r="L57" s="18">
        <f t="shared" si="37"/>
        <v>3.7454580493012868E-2</v>
      </c>
      <c r="M57" s="18">
        <f t="shared" si="38"/>
        <v>1.7273697591577042E-2</v>
      </c>
      <c r="N57" s="18">
        <f t="shared" si="45"/>
        <v>-0.99999999888511948</v>
      </c>
    </row>
    <row r="58" spans="1:15" ht="16.5" x14ac:dyDescent="0.25">
      <c r="A58" s="1"/>
    </row>
    <row r="59" spans="1:15" ht="16.5" x14ac:dyDescent="0.25">
      <c r="A59" s="1" t="s">
        <v>49</v>
      </c>
      <c r="C59" s="4">
        <f>+B33+C54-C33-IF(C32&gt;B32,C32-B32,0)</f>
        <v>292798054</v>
      </c>
      <c r="D59" s="4">
        <f t="shared" ref="D59:G59" si="47">+C33+D54-D33-IF(D32&gt;C32,D32-C32,0)</f>
        <v>252095952</v>
      </c>
      <c r="E59" s="4">
        <f t="shared" si="47"/>
        <v>225433978</v>
      </c>
      <c r="F59" s="4">
        <f t="shared" si="47"/>
        <v>250484649</v>
      </c>
      <c r="G59" s="4">
        <f t="shared" si="47"/>
        <v>245101372</v>
      </c>
      <c r="H59" s="1" t="s">
        <v>60</v>
      </c>
      <c r="I59" s="1"/>
      <c r="J59" s="1"/>
      <c r="K59" s="1"/>
      <c r="L59" s="1"/>
      <c r="M59" s="1"/>
      <c r="N59" s="1"/>
    </row>
    <row r="60" spans="1:15" ht="16.5" x14ac:dyDescent="0.25">
      <c r="A60" s="1"/>
    </row>
    <row r="61" spans="1:15" ht="16.5" x14ac:dyDescent="0.25">
      <c r="A61" s="1"/>
      <c r="B61" s="3">
        <v>2018</v>
      </c>
      <c r="C61" s="3">
        <v>2019</v>
      </c>
      <c r="D61" s="3">
        <v>2020</v>
      </c>
      <c r="E61" s="3">
        <v>2021</v>
      </c>
      <c r="F61" s="3">
        <v>2022</v>
      </c>
      <c r="G61" s="3">
        <v>2023</v>
      </c>
      <c r="H61" s="15"/>
      <c r="I61" s="3">
        <v>2019</v>
      </c>
      <c r="J61" s="3">
        <v>2020</v>
      </c>
      <c r="K61" s="3">
        <v>2021</v>
      </c>
      <c r="L61" s="3">
        <v>2022</v>
      </c>
      <c r="M61" s="3">
        <v>2023</v>
      </c>
      <c r="N61" s="11" t="s">
        <v>89</v>
      </c>
    </row>
    <row r="62" spans="1:15" ht="16.5" x14ac:dyDescent="0.25">
      <c r="A62" s="1" t="s">
        <v>50</v>
      </c>
      <c r="B62" s="7">
        <f>+B42/B40</f>
        <v>0.80339212143138261</v>
      </c>
      <c r="C62" s="7">
        <f t="shared" ref="C62:G62" si="48">+C42/C40</f>
        <v>0.74082987114289323</v>
      </c>
      <c r="D62" s="7">
        <f t="shared" si="48"/>
        <v>0.70010177699511333</v>
      </c>
      <c r="E62" s="7">
        <f t="shared" si="48"/>
        <v>0.68454977742073586</v>
      </c>
      <c r="F62" s="7">
        <f t="shared" si="48"/>
        <v>0.62569729055876799</v>
      </c>
      <c r="G62" s="7">
        <f t="shared" si="48"/>
        <v>0.60078794560753412</v>
      </c>
      <c r="H62" s="15"/>
      <c r="I62" s="7">
        <f t="shared" ref="I62:I65" si="49">+C62/B62-1</f>
        <v>-7.7872621126809038E-2</v>
      </c>
      <c r="J62" s="7">
        <f t="shared" ref="J62:J65" si="50">+D62/C62-1</f>
        <v>-5.4976312017424256E-2</v>
      </c>
      <c r="K62" s="7">
        <f t="shared" ref="K62:K65" si="51">+E62/D62-1</f>
        <v>-2.2213912441599204E-2</v>
      </c>
      <c r="L62" s="7">
        <f t="shared" ref="L62:L65" si="52">+F62/E62-1</f>
        <v>-8.5972545464427341E-2</v>
      </c>
      <c r="M62" s="7">
        <f t="shared" ref="M62:M65" si="53">+G62/F62-1</f>
        <v>-3.9810536703761334E-2</v>
      </c>
      <c r="N62" s="18">
        <f t="shared" ref="N62:N65" si="54">+AVERAGE(I62:M62)</f>
        <v>-5.6169185550804232E-2</v>
      </c>
    </row>
    <row r="63" spans="1:15" ht="16.5" x14ac:dyDescent="0.25">
      <c r="A63" s="1" t="s">
        <v>51</v>
      </c>
      <c r="B63" s="7">
        <f>+B48/B40</f>
        <v>0.54500869927251627</v>
      </c>
      <c r="C63" s="7">
        <f t="shared" ref="C63:G63" si="55">+C48/C40</f>
        <v>0.48059361839783449</v>
      </c>
      <c r="D63" s="7">
        <f t="shared" si="55"/>
        <v>0.48458756770353034</v>
      </c>
      <c r="E63" s="7">
        <f t="shared" si="55"/>
        <v>0.50842455376707674</v>
      </c>
      <c r="F63" s="7">
        <f t="shared" si="55"/>
        <v>0.48062691087080955</v>
      </c>
      <c r="G63" s="7">
        <f t="shared" si="55"/>
        <v>0.43858780531119074</v>
      </c>
      <c r="H63" s="15"/>
      <c r="I63" s="7">
        <f t="shared" si="49"/>
        <v>-0.11819092238465878</v>
      </c>
      <c r="J63" s="7">
        <f t="shared" si="50"/>
        <v>8.3104501449906554E-3</v>
      </c>
      <c r="K63" s="7">
        <f t="shared" si="51"/>
        <v>4.9190255079201384E-2</v>
      </c>
      <c r="L63" s="7">
        <f t="shared" si="52"/>
        <v>-5.4674076399941263E-2</v>
      </c>
      <c r="M63" s="7">
        <f t="shared" si="53"/>
        <v>-8.7467232085385094E-2</v>
      </c>
      <c r="N63" s="18">
        <f t="shared" si="54"/>
        <v>-4.0566305129158618E-2</v>
      </c>
    </row>
    <row r="64" spans="1:15" ht="16.5" x14ac:dyDescent="0.25">
      <c r="A64" s="1" t="s">
        <v>52</v>
      </c>
      <c r="B64" s="7">
        <f>+B57/B40</f>
        <v>0.60717506890696982</v>
      </c>
      <c r="C64" s="7">
        <f t="shared" ref="C64:G64" si="56">+C57/C40</f>
        <v>0.54981188556164051</v>
      </c>
      <c r="D64" s="7">
        <f t="shared" si="56"/>
        <v>0.56868214133010453</v>
      </c>
      <c r="E64" s="7">
        <f t="shared" si="56"/>
        <v>0.58013933423745712</v>
      </c>
      <c r="F64" s="7">
        <f t="shared" si="56"/>
        <v>0.54774440631494503</v>
      </c>
      <c r="G64" s="7">
        <f t="shared" si="56"/>
        <v>0.50693470686882613</v>
      </c>
      <c r="H64" s="15"/>
      <c r="I64" s="7">
        <f t="shared" si="49"/>
        <v>-9.4475524906834418E-2</v>
      </c>
      <c r="J64" s="7">
        <f t="shared" si="50"/>
        <v>3.4321294726445961E-2</v>
      </c>
      <c r="K64" s="7">
        <f t="shared" si="51"/>
        <v>2.0146918770044486E-2</v>
      </c>
      <c r="L64" s="7">
        <f t="shared" si="52"/>
        <v>-5.5839909502244711E-2</v>
      </c>
      <c r="M64" s="7">
        <f t="shared" si="53"/>
        <v>-7.4505004479505255E-2</v>
      </c>
      <c r="N64" s="18">
        <f t="shared" si="54"/>
        <v>-3.407044507841879E-2</v>
      </c>
    </row>
    <row r="65" spans="1:14" ht="16.5" x14ac:dyDescent="0.25">
      <c r="A65" s="1" t="s">
        <v>53</v>
      </c>
      <c r="B65" s="7">
        <f>+B54/B40</f>
        <v>0.44656383579233472</v>
      </c>
      <c r="C65" s="7">
        <f t="shared" ref="C65:G65" si="57">+C54/C40</f>
        <v>0.41529708577458729</v>
      </c>
      <c r="D65" s="7">
        <f t="shared" si="57"/>
        <v>0.38498763816648435</v>
      </c>
      <c r="E65" s="7">
        <f t="shared" si="57"/>
        <v>0.33728470080916612</v>
      </c>
      <c r="F65" s="7">
        <f t="shared" si="57"/>
        <v>0.30713405800180588</v>
      </c>
      <c r="G65" s="7">
        <f t="shared" si="57"/>
        <v>0.29869405982543262</v>
      </c>
      <c r="H65" s="15"/>
      <c r="I65" s="7">
        <f t="shared" si="49"/>
        <v>-7.0016305647032651E-2</v>
      </c>
      <c r="J65" s="7">
        <f t="shared" si="50"/>
        <v>-7.2982567531316933E-2</v>
      </c>
      <c r="K65" s="7">
        <f t="shared" si="51"/>
        <v>-0.12390771190603667</v>
      </c>
      <c r="L65" s="7">
        <f t="shared" si="52"/>
        <v>-8.9392263375798087E-2</v>
      </c>
      <c r="M65" s="7">
        <f t="shared" si="53"/>
        <v>-2.747985108288975E-2</v>
      </c>
      <c r="N65" s="18">
        <f t="shared" si="54"/>
        <v>-7.6755739908614812E-2</v>
      </c>
    </row>
    <row r="66" spans="1:14" ht="16.5" x14ac:dyDescent="0.25">
      <c r="A66" s="8"/>
      <c r="B66" s="8"/>
      <c r="C66" s="8"/>
      <c r="D66" s="8"/>
      <c r="E66" s="8"/>
      <c r="F66" s="8"/>
      <c r="G66" s="8"/>
      <c r="H66" s="15"/>
      <c r="I66" s="8"/>
      <c r="J66" s="8"/>
      <c r="K66" s="8"/>
      <c r="L66" s="8"/>
      <c r="M66" s="8"/>
      <c r="N66" s="8"/>
    </row>
    <row r="67" spans="1:14" ht="16.5" x14ac:dyDescent="0.25">
      <c r="A67" s="1" t="s">
        <v>54</v>
      </c>
      <c r="B67" s="4">
        <f>+B21</f>
        <v>5979341</v>
      </c>
      <c r="C67" s="4">
        <f t="shared" ref="C67:G67" si="58">+C21</f>
        <v>6197452</v>
      </c>
      <c r="D67" s="4">
        <f t="shared" si="58"/>
        <v>8311523</v>
      </c>
      <c r="E67" s="4">
        <f t="shared" si="58"/>
        <v>946866</v>
      </c>
      <c r="F67" s="4">
        <f t="shared" si="58"/>
        <v>189034</v>
      </c>
      <c r="G67" s="4">
        <f t="shared" si="58"/>
        <v>20621</v>
      </c>
      <c r="H67" s="7">
        <f>+G67/$G$40</f>
        <v>2.298995147806909E-5</v>
      </c>
      <c r="I67" s="7">
        <f t="shared" ref="I67:K70" si="59">+C67/B67-1</f>
        <v>3.6477431208556288E-2</v>
      </c>
      <c r="J67" s="7">
        <f t="shared" ref="J67" si="60">+D67/C67-1</f>
        <v>0.341119382610789</v>
      </c>
      <c r="K67" s="7">
        <f t="shared" ref="K67" si="61">+E67/D67-1</f>
        <v>-0.88607791857160234</v>
      </c>
      <c r="L67" s="7">
        <f t="shared" ref="L67" si="62">+F67/E67-1</f>
        <v>-0.80035823442810283</v>
      </c>
      <c r="M67" s="7">
        <f t="shared" ref="M67" si="63">+G67/F67-1</f>
        <v>-0.89091380386597119</v>
      </c>
      <c r="N67" s="18">
        <f t="shared" ref="N67:N70" si="64">+AVERAGE(I67:M67)</f>
        <v>-0.4399506286092662</v>
      </c>
    </row>
    <row r="68" spans="1:14" ht="16.5" x14ac:dyDescent="0.25">
      <c r="A68" s="1" t="s">
        <v>55</v>
      </c>
      <c r="B68" s="4">
        <f>+B27</f>
        <v>13328533</v>
      </c>
      <c r="C68" s="4">
        <f t="shared" ref="C68:G68" si="65">+C27</f>
        <v>7131609</v>
      </c>
      <c r="D68" s="4">
        <f t="shared" si="65"/>
        <v>1027091</v>
      </c>
      <c r="E68" s="4">
        <f t="shared" si="65"/>
        <v>124610</v>
      </c>
      <c r="F68" s="4">
        <f t="shared" si="65"/>
        <v>20203</v>
      </c>
      <c r="G68" s="4">
        <f t="shared" si="65"/>
        <v>149612</v>
      </c>
      <c r="H68" s="7">
        <f t="shared" ref="H68:H70" si="66">+G68/$G$40</f>
        <v>1.6679950635453531E-4</v>
      </c>
      <c r="I68" s="7">
        <f t="shared" ref="I68" si="67">+C68/B68-1</f>
        <v>-0.46493668883139649</v>
      </c>
      <c r="J68" s="7">
        <f t="shared" ref="J68" si="68">+D68/C68-1</f>
        <v>-0.85598046668009986</v>
      </c>
      <c r="K68" s="7">
        <f t="shared" ref="K68" si="69">+E68/D68-1</f>
        <v>-0.8786767676866023</v>
      </c>
      <c r="L68" s="7">
        <f t="shared" ref="L68:L69" si="70">+F68/E68-1</f>
        <v>-0.83787015488323568</v>
      </c>
      <c r="M68" s="7">
        <f t="shared" ref="M68:M69" si="71">+G68/F68-1</f>
        <v>6.4054348364104339</v>
      </c>
      <c r="N68" s="18">
        <f t="shared" si="64"/>
        <v>0.67359415166581993</v>
      </c>
    </row>
    <row r="69" spans="1:14" ht="16.5" x14ac:dyDescent="0.25">
      <c r="A69" s="9" t="s">
        <v>56</v>
      </c>
      <c r="B69" s="5">
        <f>SUM(B67:B68)</f>
        <v>19307874</v>
      </c>
      <c r="C69" s="5">
        <f>SUM(C67:C68)</f>
        <v>13329061</v>
      </c>
      <c r="D69" s="5">
        <f>SUM(D67:D68)</f>
        <v>9338614</v>
      </c>
      <c r="E69" s="5">
        <f>SUM(E67:E68)</f>
        <v>1071476</v>
      </c>
      <c r="F69" s="5">
        <f t="shared" ref="F69" si="72">SUM(F67:F68)</f>
        <v>209237</v>
      </c>
      <c r="G69" s="5">
        <f>SUM(G67:G68)</f>
        <v>170233</v>
      </c>
      <c r="H69" s="18">
        <f t="shared" si="66"/>
        <v>1.897894578326044E-4</v>
      </c>
      <c r="I69" s="18">
        <f t="shared" si="59"/>
        <v>-0.3096567234693991</v>
      </c>
      <c r="J69" s="18">
        <f t="shared" si="59"/>
        <v>-0.29937945366143948</v>
      </c>
      <c r="K69" s="18">
        <f t="shared" si="59"/>
        <v>-0.88526391603721921</v>
      </c>
      <c r="L69" s="18">
        <f t="shared" si="70"/>
        <v>-0.80472077769357409</v>
      </c>
      <c r="M69" s="18">
        <f t="shared" si="71"/>
        <v>-0.18641062527182095</v>
      </c>
      <c r="N69" s="18">
        <f t="shared" si="64"/>
        <v>-0.49708629922669056</v>
      </c>
    </row>
    <row r="70" spans="1:14" ht="16.5" x14ac:dyDescent="0.25">
      <c r="A70" s="10" t="s">
        <v>57</v>
      </c>
      <c r="B70" s="4">
        <f>+B50</f>
        <v>3305981</v>
      </c>
      <c r="C70" s="4">
        <f t="shared" ref="C70:G70" si="73">+C50</f>
        <v>5523310</v>
      </c>
      <c r="D70" s="4">
        <f t="shared" si="73"/>
        <v>4644778</v>
      </c>
      <c r="E70" s="4">
        <f t="shared" si="73"/>
        <v>4157028</v>
      </c>
      <c r="F70" s="4">
        <f t="shared" si="73"/>
        <v>9167934</v>
      </c>
      <c r="G70" s="4">
        <f t="shared" si="73"/>
        <v>11041378</v>
      </c>
      <c r="H70" s="7">
        <f t="shared" si="66"/>
        <v>1.230981739348332E-2</v>
      </c>
      <c r="I70" s="7">
        <f t="shared" si="59"/>
        <v>0.67070228171305279</v>
      </c>
      <c r="J70" s="7">
        <f t="shared" si="59"/>
        <v>-0.15905897007410408</v>
      </c>
      <c r="K70" s="7">
        <f t="shared" si="59"/>
        <v>-0.10501040092766545</v>
      </c>
      <c r="L70" s="7">
        <f t="shared" ref="L70:M70" si="74">+F70/E70-1</f>
        <v>1.2054058813171333</v>
      </c>
      <c r="M70" s="7">
        <f t="shared" si="74"/>
        <v>0.20434745712610924</v>
      </c>
      <c r="N70" s="18">
        <f t="shared" si="64"/>
        <v>0.3632772498309052</v>
      </c>
    </row>
    <row r="71" spans="1:14" ht="15.7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6.5" x14ac:dyDescent="0.25">
      <c r="A72" s="10" t="s">
        <v>58</v>
      </c>
      <c r="B72" s="4">
        <f t="shared" ref="B72:G72" si="75">+B10+B11</f>
        <v>414817719</v>
      </c>
      <c r="C72" s="4">
        <f t="shared" si="75"/>
        <v>437941574</v>
      </c>
      <c r="D72" s="4">
        <f t="shared" si="75"/>
        <v>434536424</v>
      </c>
      <c r="E72" s="4">
        <f t="shared" si="75"/>
        <v>436716348</v>
      </c>
      <c r="F72" s="4">
        <f t="shared" si="75"/>
        <v>474186090</v>
      </c>
      <c r="G72" s="4">
        <f t="shared" si="75"/>
        <v>504926454</v>
      </c>
      <c r="H72" s="7">
        <f>+G72/$G$40</f>
        <v>0.56293267433458527</v>
      </c>
      <c r="I72" s="7">
        <f t="shared" ref="I72:L72" si="76">+C72/B72-1</f>
        <v>5.574461731226088E-2</v>
      </c>
      <c r="J72" s="7">
        <f t="shared" si="76"/>
        <v>-7.7753522436762035E-3</v>
      </c>
      <c r="K72" s="7">
        <f t="shared" si="76"/>
        <v>5.0166657605670295E-3</v>
      </c>
      <c r="L72" s="7">
        <f t="shared" si="76"/>
        <v>8.5798807788161957E-2</v>
      </c>
      <c r="M72" s="7">
        <f>+G72/F72-1</f>
        <v>6.4827637605312294E-2</v>
      </c>
      <c r="N72" s="18">
        <f t="shared" ref="N72" si="77">+AVERAGE(I72:M72)</f>
        <v>4.0722475244525193E-2</v>
      </c>
    </row>
    <row r="74" spans="1:14" ht="16.5" x14ac:dyDescent="0.25">
      <c r="B74" s="21">
        <v>2023</v>
      </c>
      <c r="C74" s="22"/>
      <c r="D74" s="22"/>
    </row>
    <row r="75" spans="1:14" ht="16.5" x14ac:dyDescent="0.25">
      <c r="B75" s="16" t="s">
        <v>84</v>
      </c>
      <c r="C75" s="16" t="s">
        <v>86</v>
      </c>
      <c r="D75" s="16" t="s">
        <v>85</v>
      </c>
    </row>
    <row r="76" spans="1:14" ht="16.5" x14ac:dyDescent="0.25">
      <c r="A76" s="1" t="s">
        <v>16</v>
      </c>
      <c r="B76" s="4">
        <v>1209783032</v>
      </c>
      <c r="C76" s="4">
        <v>16177347</v>
      </c>
      <c r="D76" s="17">
        <f>SUM(B76:C76)</f>
        <v>1225960379</v>
      </c>
      <c r="E76" t="b">
        <f>+D76=G19</f>
        <v>1</v>
      </c>
    </row>
    <row r="77" spans="1:14" x14ac:dyDescent="0.25">
      <c r="B77" s="19"/>
      <c r="C77" s="19"/>
    </row>
    <row r="78" spans="1:14" x14ac:dyDescent="0.25">
      <c r="N78" s="20"/>
    </row>
  </sheetData>
  <mergeCells count="3">
    <mergeCell ref="B74:D74"/>
    <mergeCell ref="I3:M3"/>
    <mergeCell ref="I38:M38"/>
  </mergeCells>
  <pageMargins left="0.7" right="0.7" top="0.75" bottom="0.75" header="0.3" footer="0.3"/>
  <ignoredErrors>
    <ignoredError sqref="G9 B9:F9 R12:V12 R16:V16 R23:V23" formulaRange="1"/>
    <ignoredError sqref="M3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2025-05-20T01:32:05Z</dcterms:created>
  <dcterms:modified xsi:type="dcterms:W3CDTF">2025-06-04T03:11:01Z</dcterms:modified>
</cp:coreProperties>
</file>