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gue\Dropbox\UNAL\ADMINISTRACIÓN FINANCIERA\Excel\"/>
    </mc:Choice>
  </mc:AlternateContent>
  <xr:revisionPtr revIDLastSave="0" documentId="13_ncr:1_{E5BEF06A-B8F4-4232-97B2-DB84A5D7C12E}" xr6:coauthVersionLast="47" xr6:coauthVersionMax="47" xr10:uidLastSave="{00000000-0000-0000-0000-000000000000}"/>
  <bookViews>
    <workbookView xWindow="-120" yWindow="-120" windowWidth="29040" windowHeight="15840" xr2:uid="{0653BC5E-992C-458D-B998-E78C419C82A7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2" i="1" l="1"/>
  <c r="I53" i="1"/>
  <c r="H70" i="1"/>
  <c r="H68" i="1"/>
  <c r="H67" i="1"/>
  <c r="H66" i="1"/>
  <c r="H65" i="1"/>
  <c r="M70" i="1"/>
  <c r="L70" i="1"/>
  <c r="K70" i="1"/>
  <c r="N70" i="1" s="1"/>
  <c r="J70" i="1"/>
  <c r="I70" i="1"/>
  <c r="M68" i="1"/>
  <c r="L68" i="1"/>
  <c r="K68" i="1"/>
  <c r="J68" i="1"/>
  <c r="I68" i="1"/>
  <c r="N68" i="1" s="1"/>
  <c r="M67" i="1"/>
  <c r="N67" i="1" s="1"/>
  <c r="L67" i="1"/>
  <c r="K67" i="1"/>
  <c r="J67" i="1"/>
  <c r="I67" i="1"/>
  <c r="M66" i="1"/>
  <c r="L66" i="1"/>
  <c r="K66" i="1"/>
  <c r="J66" i="1"/>
  <c r="I66" i="1"/>
  <c r="N66" i="1" s="1"/>
  <c r="M65" i="1"/>
  <c r="L65" i="1"/>
  <c r="K65" i="1"/>
  <c r="J65" i="1"/>
  <c r="I65" i="1"/>
  <c r="N65" i="1" s="1"/>
  <c r="N60" i="1"/>
  <c r="M60" i="1"/>
  <c r="L60" i="1"/>
  <c r="K60" i="1"/>
  <c r="J60" i="1"/>
  <c r="I60" i="1"/>
  <c r="M59" i="1"/>
  <c r="L59" i="1"/>
  <c r="K59" i="1"/>
  <c r="J59" i="1"/>
  <c r="N59" i="1" s="1"/>
  <c r="N58" i="1"/>
  <c r="M58" i="1"/>
  <c r="L58" i="1"/>
  <c r="K58" i="1"/>
  <c r="J58" i="1"/>
  <c r="I58" i="1"/>
  <c r="M57" i="1"/>
  <c r="L57" i="1"/>
  <c r="K57" i="1"/>
  <c r="J57" i="1"/>
  <c r="I57" i="1"/>
  <c r="N57" i="1" s="1"/>
  <c r="N53" i="1"/>
  <c r="H53" i="1"/>
  <c r="H52" i="1"/>
  <c r="M53" i="1"/>
  <c r="L53" i="1"/>
  <c r="K53" i="1"/>
  <c r="J53" i="1"/>
  <c r="M52" i="1"/>
  <c r="L52" i="1"/>
  <c r="K52" i="1"/>
  <c r="J52" i="1"/>
  <c r="N52" i="1" s="1"/>
  <c r="I37" i="1"/>
  <c r="J37" i="1"/>
  <c r="N37" i="1" s="1"/>
  <c r="K37" i="1"/>
  <c r="L37" i="1"/>
  <c r="M37" i="1"/>
  <c r="I38" i="1"/>
  <c r="J38" i="1"/>
  <c r="N38" i="1" s="1"/>
  <c r="K38" i="1"/>
  <c r="L38" i="1"/>
  <c r="M38" i="1"/>
  <c r="I39" i="1"/>
  <c r="J39" i="1"/>
  <c r="K39" i="1"/>
  <c r="L39" i="1"/>
  <c r="N39" i="1" s="1"/>
  <c r="M39" i="1"/>
  <c r="I40" i="1"/>
  <c r="J40" i="1"/>
  <c r="N40" i="1" s="1"/>
  <c r="K40" i="1"/>
  <c r="L40" i="1"/>
  <c r="M40" i="1"/>
  <c r="I41" i="1"/>
  <c r="J41" i="1"/>
  <c r="K41" i="1"/>
  <c r="N41" i="1" s="1"/>
  <c r="L41" i="1"/>
  <c r="M41" i="1"/>
  <c r="I42" i="1"/>
  <c r="J42" i="1"/>
  <c r="N42" i="1" s="1"/>
  <c r="K42" i="1"/>
  <c r="L42" i="1"/>
  <c r="M42" i="1"/>
  <c r="I43" i="1"/>
  <c r="J43" i="1"/>
  <c r="K43" i="1"/>
  <c r="N43" i="1" s="1"/>
  <c r="L43" i="1"/>
  <c r="M43" i="1"/>
  <c r="I44" i="1"/>
  <c r="J44" i="1"/>
  <c r="N44" i="1" s="1"/>
  <c r="K44" i="1"/>
  <c r="L44" i="1"/>
  <c r="M44" i="1"/>
  <c r="I45" i="1"/>
  <c r="J45" i="1"/>
  <c r="K45" i="1"/>
  <c r="N45" i="1" s="1"/>
  <c r="L45" i="1"/>
  <c r="M45" i="1"/>
  <c r="I46" i="1"/>
  <c r="J46" i="1"/>
  <c r="N46" i="1" s="1"/>
  <c r="K46" i="1"/>
  <c r="L46" i="1"/>
  <c r="M46" i="1"/>
  <c r="I47" i="1"/>
  <c r="J47" i="1"/>
  <c r="N47" i="1" s="1"/>
  <c r="K47" i="1"/>
  <c r="L47" i="1"/>
  <c r="M47" i="1"/>
  <c r="I48" i="1"/>
  <c r="J48" i="1"/>
  <c r="N48" i="1" s="1"/>
  <c r="K48" i="1"/>
  <c r="L48" i="1"/>
  <c r="M48" i="1"/>
  <c r="H37" i="1"/>
  <c r="H38" i="1"/>
  <c r="H39" i="1"/>
  <c r="H40" i="1"/>
  <c r="H41" i="1"/>
  <c r="H42" i="1"/>
  <c r="H43" i="1"/>
  <c r="H44" i="1"/>
  <c r="H45" i="1"/>
  <c r="H46" i="1"/>
  <c r="H47" i="1"/>
  <c r="H48" i="1"/>
  <c r="H36" i="1"/>
  <c r="N36" i="1"/>
  <c r="M36" i="1"/>
  <c r="L36" i="1"/>
  <c r="K36" i="1"/>
  <c r="J36" i="1"/>
  <c r="I36" i="1"/>
  <c r="H26" i="1"/>
  <c r="K27" i="1"/>
  <c r="I6" i="1"/>
  <c r="J6" i="1"/>
  <c r="K6" i="1"/>
  <c r="N6" i="1" s="1"/>
  <c r="L6" i="1"/>
  <c r="M6" i="1"/>
  <c r="I7" i="1"/>
  <c r="J7" i="1"/>
  <c r="K7" i="1"/>
  <c r="L7" i="1"/>
  <c r="N7" i="1" s="1"/>
  <c r="M7" i="1"/>
  <c r="I8" i="1"/>
  <c r="J8" i="1"/>
  <c r="K8" i="1"/>
  <c r="L8" i="1"/>
  <c r="M8" i="1"/>
  <c r="N8" i="1"/>
  <c r="I9" i="1"/>
  <c r="J9" i="1"/>
  <c r="K9" i="1"/>
  <c r="L9" i="1"/>
  <c r="N9" i="1" s="1"/>
  <c r="M9" i="1"/>
  <c r="I10" i="1"/>
  <c r="J10" i="1"/>
  <c r="K10" i="1"/>
  <c r="N10" i="1" s="1"/>
  <c r="L10" i="1"/>
  <c r="M10" i="1"/>
  <c r="I11" i="1"/>
  <c r="I12" i="1"/>
  <c r="J12" i="1"/>
  <c r="K12" i="1"/>
  <c r="N12" i="1" s="1"/>
  <c r="L12" i="1"/>
  <c r="M12" i="1"/>
  <c r="I13" i="1"/>
  <c r="J13" i="1"/>
  <c r="K13" i="1"/>
  <c r="L13" i="1"/>
  <c r="N13" i="1" s="1"/>
  <c r="M13" i="1"/>
  <c r="I14" i="1"/>
  <c r="J14" i="1"/>
  <c r="K14" i="1"/>
  <c r="N14" i="1" s="1"/>
  <c r="L14" i="1"/>
  <c r="M14" i="1"/>
  <c r="I15" i="1"/>
  <c r="J15" i="1"/>
  <c r="K15" i="1"/>
  <c r="L15" i="1"/>
  <c r="N15" i="1" s="1"/>
  <c r="M15" i="1"/>
  <c r="I16" i="1"/>
  <c r="J16" i="1"/>
  <c r="K16" i="1"/>
  <c r="L16" i="1"/>
  <c r="M16" i="1"/>
  <c r="N16" i="1"/>
  <c r="J17" i="1"/>
  <c r="K17" i="1"/>
  <c r="L17" i="1"/>
  <c r="M17" i="1"/>
  <c r="N17" i="1"/>
  <c r="I18" i="1"/>
  <c r="J18" i="1"/>
  <c r="K18" i="1"/>
  <c r="L18" i="1"/>
  <c r="M18" i="1"/>
  <c r="N18" i="1"/>
  <c r="I19" i="1"/>
  <c r="J19" i="1"/>
  <c r="K19" i="1"/>
  <c r="L19" i="1"/>
  <c r="N19" i="1" s="1"/>
  <c r="M19" i="1"/>
  <c r="I20" i="1"/>
  <c r="J20" i="1"/>
  <c r="K20" i="1"/>
  <c r="L20" i="1"/>
  <c r="M20" i="1"/>
  <c r="N20" i="1"/>
  <c r="I21" i="1"/>
  <c r="J21" i="1"/>
  <c r="K21" i="1"/>
  <c r="L21" i="1"/>
  <c r="N21" i="1" s="1"/>
  <c r="M21" i="1"/>
  <c r="I22" i="1"/>
  <c r="J22" i="1"/>
  <c r="K22" i="1"/>
  <c r="L22" i="1"/>
  <c r="M22" i="1"/>
  <c r="N22" i="1"/>
  <c r="I23" i="1"/>
  <c r="J23" i="1"/>
  <c r="K23" i="1"/>
  <c r="L23" i="1"/>
  <c r="N23" i="1" s="1"/>
  <c r="M23" i="1"/>
  <c r="I24" i="1"/>
  <c r="J24" i="1"/>
  <c r="K24" i="1"/>
  <c r="L24" i="1"/>
  <c r="M24" i="1"/>
  <c r="N24" i="1"/>
  <c r="I25" i="1"/>
  <c r="J25" i="1"/>
  <c r="K25" i="1"/>
  <c r="L25" i="1"/>
  <c r="M25" i="1"/>
  <c r="N25" i="1" s="1"/>
  <c r="I26" i="1"/>
  <c r="J26" i="1"/>
  <c r="K26" i="1"/>
  <c r="L26" i="1"/>
  <c r="M26" i="1"/>
  <c r="N26" i="1"/>
  <c r="I27" i="1"/>
  <c r="J27" i="1"/>
  <c r="L27" i="1"/>
  <c r="M27" i="1"/>
  <c r="N27" i="1" s="1"/>
  <c r="I28" i="1"/>
  <c r="J28" i="1"/>
  <c r="K28" i="1"/>
  <c r="L28" i="1"/>
  <c r="M28" i="1"/>
  <c r="N28" i="1"/>
  <c r="I29" i="1"/>
  <c r="J29" i="1"/>
  <c r="K29" i="1"/>
  <c r="L29" i="1"/>
  <c r="M29" i="1"/>
  <c r="N29" i="1" s="1"/>
  <c r="I30" i="1"/>
  <c r="J30" i="1"/>
  <c r="K30" i="1"/>
  <c r="L30" i="1"/>
  <c r="M30" i="1"/>
  <c r="N30" i="1"/>
  <c r="I31" i="1"/>
  <c r="J31" i="1"/>
  <c r="K31" i="1"/>
  <c r="L31" i="1"/>
  <c r="M31" i="1"/>
  <c r="N31" i="1" s="1"/>
  <c r="I32" i="1"/>
  <c r="J32" i="1"/>
  <c r="K32" i="1"/>
  <c r="L32" i="1"/>
  <c r="M32" i="1"/>
  <c r="N32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7" i="1"/>
  <c r="H28" i="1"/>
  <c r="H29" i="1"/>
  <c r="H30" i="1"/>
  <c r="H31" i="1"/>
  <c r="H32" i="1"/>
  <c r="H5" i="1"/>
  <c r="M5" i="1"/>
  <c r="L5" i="1"/>
  <c r="K5" i="1"/>
  <c r="J5" i="1"/>
  <c r="N5" i="1" s="1"/>
  <c r="I5" i="1"/>
  <c r="R29" i="1"/>
  <c r="S29" i="1"/>
  <c r="T29" i="1"/>
  <c r="T30" i="1" s="1"/>
  <c r="T31" i="1" s="1"/>
  <c r="U29" i="1"/>
  <c r="V30" i="1" s="1"/>
  <c r="V31" i="1" s="1"/>
  <c r="V29" i="1"/>
  <c r="Q29" i="1"/>
  <c r="S23" i="1"/>
  <c r="T23" i="1"/>
  <c r="U23" i="1"/>
  <c r="V23" i="1"/>
  <c r="R23" i="1"/>
  <c r="S21" i="1"/>
  <c r="T21" i="1"/>
  <c r="U21" i="1"/>
  <c r="V21" i="1"/>
  <c r="V22" i="1" s="1"/>
  <c r="V24" i="1" s="1"/>
  <c r="V25" i="1" s="1"/>
  <c r="R21" i="1"/>
  <c r="S20" i="1"/>
  <c r="T20" i="1"/>
  <c r="U20" i="1"/>
  <c r="V20" i="1"/>
  <c r="R20" i="1"/>
  <c r="S16" i="1"/>
  <c r="S17" i="1" s="1"/>
  <c r="S18" i="1" s="1"/>
  <c r="T16" i="1"/>
  <c r="T17" i="1" s="1"/>
  <c r="T18" i="1" s="1"/>
  <c r="U16" i="1"/>
  <c r="U17" i="1" s="1"/>
  <c r="U18" i="1" s="1"/>
  <c r="V16" i="1"/>
  <c r="V17" i="1" s="1"/>
  <c r="V18" i="1" s="1"/>
  <c r="R16" i="1"/>
  <c r="R17" i="1" s="1"/>
  <c r="R18" i="1" s="1"/>
  <c r="S12" i="1"/>
  <c r="S13" i="1" s="1"/>
  <c r="S14" i="1" s="1"/>
  <c r="T12" i="1"/>
  <c r="T13" i="1" s="1"/>
  <c r="T14" i="1" s="1"/>
  <c r="U12" i="1"/>
  <c r="U13" i="1" s="1"/>
  <c r="U14" i="1" s="1"/>
  <c r="V12" i="1"/>
  <c r="V13" i="1" s="1"/>
  <c r="V14" i="1" s="1"/>
  <c r="R12" i="1"/>
  <c r="R13" i="1" s="1"/>
  <c r="R14" i="1" s="1"/>
  <c r="R8" i="1"/>
  <c r="S8" i="1"/>
  <c r="T8" i="1"/>
  <c r="U8" i="1"/>
  <c r="V8" i="1"/>
  <c r="Q8" i="1"/>
  <c r="V9" i="1" l="1"/>
  <c r="V10" i="1" s="1"/>
  <c r="S30" i="1"/>
  <c r="S31" i="1" s="1"/>
  <c r="S22" i="1"/>
  <c r="S24" i="1" s="1"/>
  <c r="S25" i="1" s="1"/>
  <c r="S27" i="1" s="1"/>
  <c r="T9" i="1"/>
  <c r="T10" i="1" s="1"/>
  <c r="S9" i="1"/>
  <c r="S10" i="1" s="1"/>
  <c r="R22" i="1"/>
  <c r="R24" i="1" s="1"/>
  <c r="R25" i="1" s="1"/>
  <c r="R27" i="1" s="1"/>
  <c r="U9" i="1"/>
  <c r="U10" i="1" s="1"/>
  <c r="T22" i="1"/>
  <c r="T24" i="1" s="1"/>
  <c r="T25" i="1" s="1"/>
  <c r="R30" i="1"/>
  <c r="R31" i="1" s="1"/>
  <c r="U22" i="1"/>
  <c r="U24" i="1" s="1"/>
  <c r="U25" i="1" s="1"/>
  <c r="U27" i="1" s="1"/>
  <c r="T27" i="1"/>
  <c r="U30" i="1"/>
  <c r="U31" i="1" s="1"/>
  <c r="R9" i="1"/>
  <c r="R10" i="1" s="1"/>
  <c r="V27" i="1"/>
  <c r="C68" i="1"/>
  <c r="D68" i="1"/>
  <c r="E68" i="1"/>
  <c r="F68" i="1"/>
  <c r="G68" i="1"/>
  <c r="B68" i="1"/>
  <c r="C70" i="1"/>
  <c r="D70" i="1"/>
  <c r="E70" i="1"/>
  <c r="F70" i="1"/>
  <c r="G70" i="1"/>
  <c r="B70" i="1"/>
  <c r="C65" i="1"/>
  <c r="D65" i="1"/>
  <c r="E65" i="1"/>
  <c r="F65" i="1"/>
  <c r="G65" i="1"/>
  <c r="C66" i="1"/>
  <c r="D66" i="1"/>
  <c r="E66" i="1"/>
  <c r="F66" i="1"/>
  <c r="G66" i="1"/>
  <c r="B66" i="1"/>
  <c r="B65" i="1"/>
  <c r="C63" i="1"/>
  <c r="D63" i="1"/>
  <c r="E63" i="1"/>
  <c r="F63" i="1"/>
  <c r="G63" i="1"/>
  <c r="B63" i="1"/>
  <c r="G67" i="1" l="1"/>
  <c r="E67" i="1"/>
  <c r="B67" i="1"/>
  <c r="D67" i="1"/>
  <c r="F67" i="1"/>
  <c r="C67" i="1"/>
  <c r="G38" i="1"/>
  <c r="G57" i="1" s="1"/>
  <c r="F38" i="1"/>
  <c r="F57" i="1" s="1"/>
  <c r="E38" i="1"/>
  <c r="E57" i="1" s="1"/>
  <c r="D38" i="1"/>
  <c r="D57" i="1" s="1"/>
  <c r="C38" i="1"/>
  <c r="C57" i="1" s="1"/>
  <c r="B38" i="1"/>
  <c r="B57" i="1" s="1"/>
  <c r="G31" i="1"/>
  <c r="F31" i="1"/>
  <c r="E31" i="1"/>
  <c r="D31" i="1"/>
  <c r="C31" i="1"/>
  <c r="B31" i="1"/>
  <c r="G25" i="1"/>
  <c r="F25" i="1"/>
  <c r="E25" i="1"/>
  <c r="D25" i="1"/>
  <c r="C25" i="1"/>
  <c r="B25" i="1"/>
  <c r="G22" i="1"/>
  <c r="F22" i="1"/>
  <c r="E22" i="1"/>
  <c r="D22" i="1"/>
  <c r="C22" i="1"/>
  <c r="B22" i="1"/>
  <c r="G14" i="1"/>
  <c r="F14" i="1"/>
  <c r="E14" i="1"/>
  <c r="D14" i="1"/>
  <c r="C14" i="1"/>
  <c r="B14" i="1"/>
  <c r="G9" i="1"/>
  <c r="F9" i="1"/>
  <c r="E9" i="1"/>
  <c r="E62" i="1" s="1"/>
  <c r="D9" i="1"/>
  <c r="C9" i="1"/>
  <c r="C62" i="1" s="1"/>
  <c r="B9" i="1"/>
  <c r="B62" i="1" s="1"/>
  <c r="C26" i="1" l="1"/>
  <c r="E26" i="1"/>
  <c r="B26" i="1"/>
  <c r="B32" i="1" s="1"/>
  <c r="D15" i="1"/>
  <c r="D62" i="1"/>
  <c r="F15" i="1"/>
  <c r="F62" i="1"/>
  <c r="F26" i="1"/>
  <c r="G15" i="1"/>
  <c r="G33" i="1" s="1"/>
  <c r="G62" i="1"/>
  <c r="G26" i="1"/>
  <c r="B15" i="1"/>
  <c r="E15" i="1"/>
  <c r="D26" i="1"/>
  <c r="B43" i="1"/>
  <c r="G43" i="1"/>
  <c r="G46" i="1" s="1"/>
  <c r="C43" i="1"/>
  <c r="D43" i="1"/>
  <c r="E43" i="1"/>
  <c r="F43" i="1"/>
  <c r="C15" i="1"/>
  <c r="D33" i="1" l="1"/>
  <c r="T5" i="1"/>
  <c r="T6" i="1" s="1"/>
  <c r="E33" i="1"/>
  <c r="U5" i="1"/>
  <c r="U6" i="1" s="1"/>
  <c r="F33" i="1"/>
  <c r="V5" i="1"/>
  <c r="V6" i="1" s="1"/>
  <c r="S5" i="1"/>
  <c r="S6" i="1" s="1"/>
  <c r="R5" i="1"/>
  <c r="R6" i="1" s="1"/>
  <c r="B58" i="1"/>
  <c r="B53" i="1"/>
  <c r="B59" i="1" s="1"/>
  <c r="F58" i="1"/>
  <c r="F53" i="1"/>
  <c r="F59" i="1" s="1"/>
  <c r="G58" i="1"/>
  <c r="G53" i="1"/>
  <c r="G59" i="1" s="1"/>
  <c r="B33" i="1"/>
  <c r="E58" i="1"/>
  <c r="E53" i="1"/>
  <c r="E59" i="1" s="1"/>
  <c r="D53" i="1"/>
  <c r="D59" i="1" s="1"/>
  <c r="D58" i="1"/>
  <c r="C53" i="1"/>
  <c r="C59" i="1" s="1"/>
  <c r="C58" i="1"/>
  <c r="B46" i="1"/>
  <c r="B48" i="1" s="1"/>
  <c r="B60" i="1" s="1"/>
  <c r="E46" i="1"/>
  <c r="E48" i="1" s="1"/>
  <c r="C33" i="1"/>
  <c r="G48" i="1"/>
  <c r="F46" i="1"/>
  <c r="F48" i="1" s="1"/>
  <c r="C46" i="1"/>
  <c r="C48" i="1" s="1"/>
  <c r="D46" i="1"/>
  <c r="D48" i="1" s="1"/>
  <c r="E60" i="1" l="1"/>
  <c r="E55" i="1"/>
  <c r="D55" i="1"/>
  <c r="D60" i="1"/>
  <c r="C60" i="1"/>
  <c r="C55" i="1"/>
  <c r="F60" i="1"/>
  <c r="F55" i="1"/>
  <c r="G60" i="1"/>
  <c r="G55" i="1"/>
</calcChain>
</file>

<file path=xl/sharedStrings.xml><?xml version="1.0" encoding="utf-8"?>
<sst xmlns="http://schemas.openxmlformats.org/spreadsheetml/2006/main" count="100" uniqueCount="88">
  <si>
    <t>DISTRIBUIDORA DOÑA ELENA SA (Pastelería Santa Elena)</t>
  </si>
  <si>
    <t>Nit</t>
  </si>
  <si>
    <t>C1081 - Elaboración de productos de panadería</t>
  </si>
  <si>
    <t>Cifras en miles de pesos</t>
  </si>
  <si>
    <t>Efectivo y equivalentes</t>
  </si>
  <si>
    <t>Cuentas comerciales por cobrar</t>
  </si>
  <si>
    <t>Inventarios corrientes</t>
  </si>
  <si>
    <t>Otros activos no financieros corrientes</t>
  </si>
  <si>
    <t>Activos corrientes totales</t>
  </si>
  <si>
    <t>Propiedades, planta y equipo</t>
  </si>
  <si>
    <t>Activos intangibles distintos de la plusvalía</t>
  </si>
  <si>
    <t xml:space="preserve">Activos por impuestos diferidos </t>
  </si>
  <si>
    <t>Otros activos financieros no corrientes</t>
  </si>
  <si>
    <t>Total de activos no corrientes</t>
  </si>
  <si>
    <t>Total de activos</t>
  </si>
  <si>
    <t>Provisiones corrientes por beneficios a los empleados</t>
  </si>
  <si>
    <t>Otras provisiones corrientes</t>
  </si>
  <si>
    <t>Cuentas por pagar comerciales</t>
  </si>
  <si>
    <t>Pasivos por impuestos corrientes</t>
  </si>
  <si>
    <t>Otros pasivos financieros corrientes</t>
  </si>
  <si>
    <t>Otros pasivos no financieros corrientes</t>
  </si>
  <si>
    <t>Pasivos corrientes totales</t>
  </si>
  <si>
    <t>Otros pasivos financieros no corrientes</t>
  </si>
  <si>
    <t>Total de pasivos no corrientes</t>
  </si>
  <si>
    <t>Total pasivos</t>
  </si>
  <si>
    <t>Capital emitido</t>
  </si>
  <si>
    <t>Superavit por revaluación</t>
  </si>
  <si>
    <t>Otras reservas</t>
  </si>
  <si>
    <t>Ganancias acumuladas</t>
  </si>
  <si>
    <t>Patrimonio total</t>
  </si>
  <si>
    <t>Total de patrimonio y pasivos</t>
  </si>
  <si>
    <t>Ingresos de actividades ordinarias</t>
  </si>
  <si>
    <t>Costo de ventas</t>
  </si>
  <si>
    <t>Ganancia bruta</t>
  </si>
  <si>
    <t>Otros ingresos</t>
  </si>
  <si>
    <t>Gastos de ventas</t>
  </si>
  <si>
    <t>Gastos de administración</t>
  </si>
  <si>
    <t>Otros gastos</t>
  </si>
  <si>
    <t>Ganancia (pérdida) por actividades de operación</t>
  </si>
  <si>
    <t>Ingresos financieros</t>
  </si>
  <si>
    <t>Costos financieros</t>
  </si>
  <si>
    <t>Ganancia (pérdida), antes de impuestos</t>
  </si>
  <si>
    <t xml:space="preserve">Ingreso (gasto) por impuestos </t>
  </si>
  <si>
    <t>Ganancia (pérdida)</t>
  </si>
  <si>
    <t>Total CxC corrientes vencidas (más de 90 días)</t>
  </si>
  <si>
    <t>Depreciación y Amortización</t>
  </si>
  <si>
    <t>Notas a los Estados Financieros</t>
  </si>
  <si>
    <t>Dividendos</t>
  </si>
  <si>
    <t>EBITDA</t>
  </si>
  <si>
    <t>Margen Bruto</t>
  </si>
  <si>
    <t>Margen Operacional</t>
  </si>
  <si>
    <t>Margen EBITDA</t>
  </si>
  <si>
    <t>Margen Neto</t>
  </si>
  <si>
    <t>KTNO (AC-PC)</t>
  </si>
  <si>
    <t>KTNO (Efectivo+CxC+Inv-CxP)</t>
  </si>
  <si>
    <t>Deudas corto plazo</t>
  </si>
  <si>
    <t>Deudas largo plazo</t>
  </si>
  <si>
    <t>Total deudas financieras</t>
  </si>
  <si>
    <t>Intereses</t>
  </si>
  <si>
    <t>CAPEX (Activo Fijo=PPE+Intangibles)</t>
  </si>
  <si>
    <t>Prom. Activos</t>
  </si>
  <si>
    <t>Rotación Activos</t>
  </si>
  <si>
    <t>Prom. AF</t>
  </si>
  <si>
    <t>Rotación AF</t>
  </si>
  <si>
    <t>Activos Fijos (AF) = CAPEX</t>
  </si>
  <si>
    <t>Prom. Inventarios</t>
  </si>
  <si>
    <t>Rotación Inventarios</t>
  </si>
  <si>
    <t>Días de Inventario</t>
  </si>
  <si>
    <t>veces</t>
  </si>
  <si>
    <t>Prom. CxC</t>
  </si>
  <si>
    <t>Rotación CxC</t>
  </si>
  <si>
    <t>Días de CxC</t>
  </si>
  <si>
    <t>días</t>
  </si>
  <si>
    <t>Inventario Inicial</t>
  </si>
  <si>
    <t>Inventario Final</t>
  </si>
  <si>
    <t>Compras</t>
  </si>
  <si>
    <t>Prom. CxP</t>
  </si>
  <si>
    <t>Rotación CxP</t>
  </si>
  <si>
    <t>Días de CxP</t>
  </si>
  <si>
    <t>Ciclo de efectivo</t>
  </si>
  <si>
    <t>KTNO</t>
  </si>
  <si>
    <t>Prom. KTNO</t>
  </si>
  <si>
    <t>Rotación KTNO</t>
  </si>
  <si>
    <t>Análisis Horizontal</t>
  </si>
  <si>
    <t>A. Vertical</t>
  </si>
  <si>
    <t>Promedio</t>
  </si>
  <si>
    <t>2023</t>
  </si>
  <si>
    <t>Pasivo por impuestos diferidos no corrientes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</si>
</sst>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\ #,##0;[Red]\-&quot;$&quot;\ #,##0"/>
    <numFmt numFmtId="164" formatCode="_(* #,##0.00_);_(* \(#,##0.00\);_(* &quot;-&quot;??_);_(@_)"/>
    <numFmt numFmtId="165" formatCode="_(* #,##0_);_(* \(#,##0\);_(* &quot;-&quot;??_);_(@_)"/>
    <numFmt numFmtId="166" formatCode="0.0"/>
  </numFmts>
  <fonts count="9" x14ac:knownFonts="1">
    <font>
      <sz val="11"/>
      <color theme="1"/>
      <name val="Aptos Narrow"/>
      <family val="2"/>
      <scheme val="minor"/>
    </font>
    <font>
      <sz val="8"/>
      <color indexed="8"/>
      <name val="Arial"/>
      <family val="2"/>
    </font>
    <font>
      <b/>
      <sz val="12"/>
      <name val="Franklin Gothic Book"/>
      <family val="2"/>
    </font>
    <font>
      <sz val="12"/>
      <name val="Franklin Gothic Book"/>
      <family val="2"/>
    </font>
    <font>
      <sz val="12"/>
      <color theme="9" tint="-0.499984740745262"/>
      <name val="Franklin Gothic Book"/>
      <family val="2"/>
    </font>
    <font>
      <b/>
      <sz val="12"/>
      <color theme="1"/>
      <name val="Franklin Gothic Book"/>
      <family val="2"/>
    </font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rgb="FF14085C"/>
      <name val="Franklin Gothic Book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25">
    <xf numFmtId="0" fontId="0" fillId="0" borderId="0" xfId="0"/>
    <xf numFmtId="165" fontId="2" fillId="0" borderId="0" xfId="1" applyNumberFormat="1" applyFont="1" applyBorder="1" applyAlignment="1">
      <alignment vertical="center"/>
    </xf>
    <xf numFmtId="0" fontId="0" fillId="0" borderId="0" xfId="0" applyAlignment="1">
      <alignment horizontal="center" vertical="center"/>
    </xf>
    <xf numFmtId="165" fontId="3" fillId="0" borderId="0" xfId="1" applyNumberFormat="1" applyFont="1" applyBorder="1" applyAlignment="1">
      <alignment horizontal="center" vertical="center"/>
    </xf>
    <xf numFmtId="49" fontId="2" fillId="0" borderId="1" xfId="1" applyNumberFormat="1" applyFont="1" applyBorder="1" applyAlignment="1">
      <alignment horizontal="center" vertical="center"/>
    </xf>
    <xf numFmtId="165" fontId="3" fillId="0" borderId="0" xfId="1" applyNumberFormat="1" applyFont="1" applyBorder="1" applyAlignment="1">
      <alignment vertical="center"/>
    </xf>
    <xf numFmtId="6" fontId="4" fillId="2" borderId="1" xfId="0" applyNumberFormat="1" applyFont="1" applyFill="1" applyBorder="1" applyAlignment="1">
      <alignment horizontal="center" vertical="center"/>
    </xf>
    <xf numFmtId="6" fontId="5" fillId="0" borderId="2" xfId="0" applyNumberFormat="1" applyFont="1" applyBorder="1" applyAlignment="1">
      <alignment horizontal="center" vertical="center"/>
    </xf>
    <xf numFmtId="6" fontId="0" fillId="0" borderId="0" xfId="0" applyNumberFormat="1" applyAlignment="1">
      <alignment horizontal="center" vertical="center"/>
    </xf>
    <xf numFmtId="6" fontId="5" fillId="0" borderId="0" xfId="0" applyNumberFormat="1" applyFont="1" applyAlignment="1">
      <alignment horizontal="center" vertical="center"/>
    </xf>
    <xf numFmtId="165" fontId="2" fillId="0" borderId="0" xfId="1" applyNumberFormat="1" applyFont="1" applyFill="1" applyBorder="1" applyAlignment="1">
      <alignment vertical="center"/>
    </xf>
    <xf numFmtId="9" fontId="0" fillId="0" borderId="0" xfId="2" applyFont="1" applyAlignment="1">
      <alignment horizontal="center" vertical="center"/>
    </xf>
    <xf numFmtId="9" fontId="4" fillId="2" borderId="1" xfId="2" applyFont="1" applyFill="1" applyBorder="1" applyAlignment="1">
      <alignment horizontal="center" vertical="center"/>
    </xf>
    <xf numFmtId="165" fontId="3" fillId="0" borderId="0" xfId="1" applyNumberFormat="1" applyFont="1" applyFill="1" applyBorder="1" applyAlignment="1">
      <alignment vertical="center"/>
    </xf>
    <xf numFmtId="0" fontId="7" fillId="0" borderId="0" xfId="0" applyFont="1"/>
    <xf numFmtId="165" fontId="8" fillId="0" borderId="0" xfId="1" applyNumberFormat="1" applyFont="1" applyBorder="1" applyAlignment="1">
      <alignment vertical="center"/>
    </xf>
    <xf numFmtId="6" fontId="0" fillId="0" borderId="0" xfId="0" applyNumberFormat="1"/>
    <xf numFmtId="166" fontId="8" fillId="0" borderId="0" xfId="0" applyNumberFormat="1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9" fontId="5" fillId="0" borderId="2" xfId="2" applyFont="1" applyBorder="1" applyAlignment="1">
      <alignment horizontal="center" vertical="center"/>
    </xf>
    <xf numFmtId="9" fontId="7" fillId="0" borderId="0" xfId="2" applyFont="1"/>
    <xf numFmtId="1" fontId="2" fillId="0" borderId="0" xfId="1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49" fontId="2" fillId="0" borderId="1" xfId="1" applyNumberFormat="1" applyFont="1" applyBorder="1" applyAlignment="1">
      <alignment horizontal="center" vertical="center"/>
    </xf>
    <xf numFmtId="49" fontId="2" fillId="0" borderId="0" xfId="1" applyNumberFormat="1" applyFont="1" applyBorder="1" applyAlignment="1">
      <alignment horizontal="center" vertical="center"/>
    </xf>
  </cellXfs>
  <cellStyles count="3">
    <cellStyle name="Comma 28" xfId="1" xr:uid="{5105053E-F01B-463E-B63C-1065C94E53F1}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EF66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s-CO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Pastelería Santa Elena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Hoja1!$A$15</c:f>
              <c:strCache>
                <c:ptCount val="1"/>
                <c:pt idx="0">
                  <c:v> Total de activos 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Hoja1!$B$4:$G$4</c:f>
              <c:numCache>
                <c:formatCode>@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Hoja1!$B$15:$G$15</c:f>
              <c:numCache>
                <c:formatCode>"$"#,##0_);[Red]\("$"#,##0\)</c:formatCode>
                <c:ptCount val="6"/>
                <c:pt idx="0">
                  <c:v>4687858</c:v>
                </c:pt>
                <c:pt idx="1">
                  <c:v>4541422</c:v>
                </c:pt>
                <c:pt idx="2">
                  <c:v>5128650</c:v>
                </c:pt>
                <c:pt idx="3">
                  <c:v>4956665</c:v>
                </c:pt>
                <c:pt idx="4">
                  <c:v>5807671</c:v>
                </c:pt>
                <c:pt idx="5">
                  <c:v>7554132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A1-43F4-B167-C4B3196FB663}"/>
            </c:ext>
          </c:extLst>
        </c:ser>
        <c:ser>
          <c:idx val="2"/>
          <c:order val="2"/>
          <c:tx>
            <c:strRef>
              <c:f>Hoja1!$A$10</c:f>
              <c:strCache>
                <c:ptCount val="1"/>
                <c:pt idx="0">
                  <c:v> Propiedades, planta y equipo 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Hoja1!$B$4:$G$4</c:f>
              <c:numCache>
                <c:formatCode>@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Hoja1!$B$10:$G$10</c:f>
              <c:numCache>
                <c:formatCode>"$"#,##0_);[Red]\("$"#,##0\)</c:formatCode>
                <c:ptCount val="6"/>
                <c:pt idx="0">
                  <c:v>2389464</c:v>
                </c:pt>
                <c:pt idx="1">
                  <c:v>2198191</c:v>
                </c:pt>
                <c:pt idx="2">
                  <c:v>2026474</c:v>
                </c:pt>
                <c:pt idx="3">
                  <c:v>1941842</c:v>
                </c:pt>
                <c:pt idx="4">
                  <c:v>2661960</c:v>
                </c:pt>
                <c:pt idx="5">
                  <c:v>2570100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A1-43F4-B167-C4B3196FB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4984175"/>
        <c:axId val="534984655"/>
      </c:barChart>
      <c:lineChart>
        <c:grouping val="standard"/>
        <c:varyColors val="0"/>
        <c:ser>
          <c:idx val="0"/>
          <c:order val="0"/>
          <c:tx>
            <c:strRef>
              <c:f>Hoja1!$A$36</c:f>
              <c:strCache>
                <c:ptCount val="1"/>
                <c:pt idx="0">
                  <c:v> Ingresos de actividades ordinarias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[1]Hoja1!$B$37:$G$37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Hoja1!$B$36:$G$36</c:f>
              <c:numCache>
                <c:formatCode>"$"#,##0_);[Red]\("$"#,##0\)</c:formatCode>
                <c:ptCount val="6"/>
                <c:pt idx="0">
                  <c:v>17348296</c:v>
                </c:pt>
                <c:pt idx="1">
                  <c:v>18153210</c:v>
                </c:pt>
                <c:pt idx="2">
                  <c:v>11068991</c:v>
                </c:pt>
                <c:pt idx="3">
                  <c:v>17812192</c:v>
                </c:pt>
                <c:pt idx="4">
                  <c:v>24231203</c:v>
                </c:pt>
                <c:pt idx="5">
                  <c:v>20975187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A1-43F4-B167-C4B3196FB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984175"/>
        <c:axId val="534984655"/>
      </c:lineChart>
      <c:catAx>
        <c:axId val="53498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534984655"/>
        <c:crosses val="autoZero"/>
        <c:auto val="1"/>
        <c:lblAlgn val="ctr"/>
        <c:lblOffset val="100"/>
        <c:noMultiLvlLbl val="0"/>
      </c:catAx>
      <c:valAx>
        <c:axId val="53498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53498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s-CO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Pastelería Santa Elena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Hoja1!$A$57</c:f>
              <c:strCache>
                <c:ptCount val="1"/>
                <c:pt idx="0">
                  <c:v> Margen Bruto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2.35987160718204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45C-4739-9D87-D2A674D74B1C}"/>
                </c:ext>
              </c:extLst>
            </c:dLbl>
            <c:dLbl>
              <c:idx val="1"/>
              <c:layout>
                <c:manualLayout>
                  <c:x val="1.7637695894735686E-3"/>
                  <c:y val="-2.574232417976368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45C-4739-9D87-D2A674D74B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Hoja1!$B$35:$G$35</c:f>
              <c:numCache>
                <c:formatCode>@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Hoja1!$B$57:$G$57</c:f>
              <c:numCache>
                <c:formatCode>0%</c:formatCode>
                <c:ptCount val="6"/>
                <c:pt idx="0">
                  <c:v>0.46807040875945394</c:v>
                </c:pt>
                <c:pt idx="1">
                  <c:v>0.47672681580833365</c:v>
                </c:pt>
                <c:pt idx="2">
                  <c:v>0.46518874213557498</c:v>
                </c:pt>
                <c:pt idx="3">
                  <c:v>0.48227062677069726</c:v>
                </c:pt>
                <c:pt idx="4">
                  <c:v>0.43091900967525221</c:v>
                </c:pt>
                <c:pt idx="5">
                  <c:v>0.37155463739131384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5C-4739-9D87-D2A674D74B1C}"/>
            </c:ext>
          </c:extLst>
        </c:ser>
        <c:ser>
          <c:idx val="4"/>
          <c:order val="1"/>
          <c:tx>
            <c:strRef>
              <c:f>Hoja1!$A$59</c:f>
              <c:strCache>
                <c:ptCount val="1"/>
                <c:pt idx="0">
                  <c:v> Margen EBITDA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Hoja1!$B$35:$G$35</c:f>
              <c:numCache>
                <c:formatCode>@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Hoja1!$B$59:$G$59</c:f>
              <c:numCache>
                <c:formatCode>0%</c:formatCode>
                <c:ptCount val="6"/>
                <c:pt idx="0">
                  <c:v>4.8373281156835229E-2</c:v>
                </c:pt>
                <c:pt idx="1">
                  <c:v>5.6532315772251852E-2</c:v>
                </c:pt>
                <c:pt idx="2">
                  <c:v>3.1295987141014024E-2</c:v>
                </c:pt>
                <c:pt idx="3">
                  <c:v>5.810200114618122E-2</c:v>
                </c:pt>
                <c:pt idx="4">
                  <c:v>2.9439561874001881E-2</c:v>
                </c:pt>
                <c:pt idx="5">
                  <c:v>5.7029718018723745E-2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5C-4739-9D87-D2A674D74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4984175"/>
        <c:axId val="534984655"/>
      </c:barChart>
      <c:catAx>
        <c:axId val="53498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534984655"/>
        <c:crosses val="autoZero"/>
        <c:auto val="1"/>
        <c:lblAlgn val="ctr"/>
        <c:lblOffset val="100"/>
        <c:noMultiLvlLbl val="0"/>
      </c:catAx>
      <c:valAx>
        <c:axId val="53498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53498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s-CO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Pastelería Santa Elena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Δ Ingresos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233047014736642E-2"/>
                  <c:y val="-3.05927342256214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018-4391-8468-34C81DA188A2}"/>
                </c:ext>
              </c:extLst>
            </c:dLbl>
            <c:dLbl>
              <c:idx val="1"/>
              <c:layout>
                <c:manualLayout>
                  <c:x val="-6.4670804531379511E-17"/>
                  <c:y val="-9.3476719171695548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018-4391-8468-34C81DA188A2}"/>
                </c:ext>
              </c:extLst>
            </c:dLbl>
            <c:dLbl>
              <c:idx val="2"/>
              <c:layout>
                <c:manualLayout>
                  <c:x val="-3.5275391789472081E-2"/>
                  <c:y val="-3.31421287444231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018-4391-8468-34C81DA188A2}"/>
                </c:ext>
              </c:extLst>
            </c:dLbl>
            <c:dLbl>
              <c:idx val="3"/>
              <c:layout>
                <c:manualLayout>
                  <c:x val="-5.9968166042102429E-2"/>
                  <c:y val="1.27469725940089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018-4391-8468-34C81DA188A2}"/>
                </c:ext>
              </c:extLst>
            </c:dLbl>
            <c:dLbl>
              <c:idx val="4"/>
              <c:layout>
                <c:manualLayout>
                  <c:x val="-4.409423973684002E-2"/>
                  <c:y val="2.54939451880178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018-4391-8468-34C81DA188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Hoja1!$I$35:$M$35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Hoja1!$I$36:$M$36</c:f>
              <c:numCache>
                <c:formatCode>0%</c:formatCode>
                <c:ptCount val="5"/>
                <c:pt idx="0">
                  <c:v>4.6397294581554283E-2</c:v>
                </c:pt>
                <c:pt idx="1">
                  <c:v>-0.39024607769094277</c:v>
                </c:pt>
                <c:pt idx="2">
                  <c:v>0.60919744175417612</c:v>
                </c:pt>
                <c:pt idx="3">
                  <c:v>0.36037176109487246</c:v>
                </c:pt>
                <c:pt idx="4">
                  <c:v>-0.13437285800461496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18-4391-8468-34C81DA188A2}"/>
            </c:ext>
          </c:extLst>
        </c:ser>
        <c:ser>
          <c:idx val="3"/>
          <c:order val="1"/>
          <c:tx>
            <c:v>Δ Costo de ventas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173193563157605E-2"/>
                  <c:y val="7.648183556405353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018-4391-8468-34C81DA188A2}"/>
                </c:ext>
              </c:extLst>
            </c:dLbl>
            <c:dLbl>
              <c:idx val="1"/>
              <c:layout>
                <c:manualLayout>
                  <c:x val="-5.6440626863155229E-2"/>
                  <c:y val="3.82409177820267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018-4391-8468-34C81DA188A2}"/>
                </c:ext>
              </c:extLst>
            </c:dLbl>
            <c:dLbl>
              <c:idx val="2"/>
              <c:layout>
                <c:manualLayout>
                  <c:x val="-2.1165235073683338E-2"/>
                  <c:y val="3.05927342256214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018-4391-8468-34C81DA188A2}"/>
                </c:ext>
              </c:extLst>
            </c:dLbl>
            <c:dLbl>
              <c:idx val="3"/>
              <c:layout>
                <c:manualLayout>
                  <c:x val="-1.7637695894736138E-2"/>
                  <c:y val="-2.29445506692161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018-4391-8468-34C81DA188A2}"/>
                </c:ext>
              </c:extLst>
            </c:dLbl>
            <c:dLbl>
              <c:idx val="4"/>
              <c:layout>
                <c:manualLayout>
                  <c:x val="-2.292900466315681E-2"/>
                  <c:y val="-4.33397068196303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018-4391-8468-34C81DA188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2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Hoja1!$I$35:$M$35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Hoja1!$I$37:$M$37</c:f>
              <c:numCache>
                <c:formatCode>0%</c:formatCode>
                <c:ptCount val="5"/>
                <c:pt idx="0">
                  <c:v>2.9368648185666535E-2</c:v>
                </c:pt>
                <c:pt idx="1">
                  <c:v>-0.37680112027596757</c:v>
                </c:pt>
                <c:pt idx="2">
                  <c:v>0.55779963617143147</c:v>
                </c:pt>
                <c:pt idx="3">
                  <c:v>0.49530188751878002</c:v>
                </c:pt>
                <c:pt idx="4">
                  <c:v>-4.4073914989190666E-2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018-4391-8468-34C81DA18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984175"/>
        <c:axId val="534984655"/>
      </c:lineChart>
      <c:catAx>
        <c:axId val="53498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534984655"/>
        <c:crosses val="autoZero"/>
        <c:auto val="1"/>
        <c:lblAlgn val="ctr"/>
        <c:lblOffset val="100"/>
        <c:noMultiLvlLbl val="0"/>
      </c:catAx>
      <c:valAx>
        <c:axId val="53498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53498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Pastelería Santa Elena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Hoja1!$A$10</c:f>
              <c:strCache>
                <c:ptCount val="1"/>
                <c:pt idx="0">
                  <c:v> Propiedades, planta y equipo 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Hoja1!$G$4</c:f>
              <c:numCache>
                <c:formatCode>@</c:formatCode>
                <c:ptCount val="1"/>
                <c:pt idx="0">
                  <c:v>2023</c:v>
                </c:pt>
              </c:numCache>
            </c:numRef>
          </c:cat>
          <c:val>
            <c:numRef>
              <c:f>Hoja1!$H$10</c:f>
              <c:numCache>
                <c:formatCode>0%</c:formatCode>
                <c:ptCount val="1"/>
                <c:pt idx="0">
                  <c:v>0.34022439639656815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28-40A2-AAAC-5824D59FF743}"/>
            </c:ext>
          </c:extLst>
        </c:ser>
        <c:ser>
          <c:idx val="1"/>
          <c:order val="1"/>
          <c:tx>
            <c:strRef>
              <c:f>Hoja1!$A$6</c:f>
              <c:strCache>
                <c:ptCount val="1"/>
                <c:pt idx="0">
                  <c:v> Cuentas comerciales por cobrar 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428-40A2-AAAC-5824D59FF743}"/>
              </c:ext>
            </c:extLst>
          </c:dPt>
          <c:dLbls>
            <c:dLbl>
              <c:idx val="0"/>
              <c:layout>
                <c:manualLayout>
                  <c:x val="0"/>
                  <c:y val="-4.51932849183959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428-40A2-AAAC-5824D59FF7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Hoja1!$G$4</c:f>
              <c:numCache>
                <c:formatCode>@</c:formatCode>
                <c:ptCount val="1"/>
                <c:pt idx="0">
                  <c:v>2023</c:v>
                </c:pt>
              </c:numCache>
            </c:numRef>
          </c:cat>
          <c:val>
            <c:numRef>
              <c:f>Hoja1!$H$6</c:f>
              <c:numCache>
                <c:formatCode>0%</c:formatCode>
                <c:ptCount val="1"/>
                <c:pt idx="0">
                  <c:v>0.45290286163916649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28-40A2-AAAC-5824D59FF743}"/>
            </c:ext>
          </c:extLst>
        </c:ser>
        <c:ser>
          <c:idx val="5"/>
          <c:order val="2"/>
          <c:tx>
            <c:strRef>
              <c:f>Hoja1!$A$7</c:f>
              <c:strCache>
                <c:ptCount val="1"/>
                <c:pt idx="0">
                  <c:v> Inventarios corrientes 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8293169501106981E-3"/>
                  <c:y val="6.253042540047655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428-40A2-AAAC-5824D59FF7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Hoja1!$G$4</c:f>
              <c:numCache>
                <c:formatCode>@</c:formatCode>
                <c:ptCount val="1"/>
                <c:pt idx="0">
                  <c:v>2023</c:v>
                </c:pt>
              </c:numCache>
            </c:numRef>
          </c:cat>
          <c:val>
            <c:numRef>
              <c:f>Hoja1!$H$7</c:f>
              <c:numCache>
                <c:formatCode>0%</c:formatCode>
                <c:ptCount val="1"/>
                <c:pt idx="0">
                  <c:v>0.1633096959385936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28-40A2-AAAC-5824D59FF743}"/>
            </c:ext>
          </c:extLst>
        </c:ser>
        <c:ser>
          <c:idx val="0"/>
          <c:order val="3"/>
          <c:tx>
            <c:strRef>
              <c:f>Hoja1!$A$5</c:f>
              <c:strCache>
                <c:ptCount val="1"/>
                <c:pt idx="0">
                  <c:v> Efectivo y equivalentes 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2.10901996285847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61A-46F8-8461-64A5C9DAA4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Hoja1!$G$4</c:f>
              <c:numCache>
                <c:formatCode>@</c:formatCode>
                <c:ptCount val="1"/>
                <c:pt idx="0">
                  <c:v>2023</c:v>
                </c:pt>
              </c:numCache>
            </c:numRef>
          </c:cat>
          <c:val>
            <c:numRef>
              <c:f>Hoja1!$H$5</c:f>
              <c:numCache>
                <c:formatCode>0%</c:formatCode>
                <c:ptCount val="1"/>
                <c:pt idx="0">
                  <c:v>2.8621157268631261E-2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28-40A2-AAAC-5824D59FF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7142047"/>
        <c:axId val="627143487"/>
      </c:barChart>
      <c:catAx>
        <c:axId val="627142047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627143487"/>
        <c:crosses val="autoZero"/>
        <c:auto val="1"/>
        <c:lblAlgn val="ctr"/>
        <c:lblOffset val="100"/>
        <c:noMultiLvlLbl val="0"/>
      </c:catAx>
      <c:valAx>
        <c:axId val="627143487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62714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Pastelería Santa Elena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Hoja1!$A$18</c:f>
              <c:strCache>
                <c:ptCount val="1"/>
                <c:pt idx="0">
                  <c:v> Cuentas por pagar comerciales 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Hoja1!$G$4</c:f>
              <c:numCache>
                <c:formatCode>@</c:formatCode>
                <c:ptCount val="1"/>
                <c:pt idx="0">
                  <c:v>2023</c:v>
                </c:pt>
              </c:numCache>
            </c:numRef>
          </c:cat>
          <c:val>
            <c:numRef>
              <c:f>Hoja1!$H$18</c:f>
              <c:numCache>
                <c:formatCode>0%</c:formatCode>
                <c:ptCount val="1"/>
                <c:pt idx="0">
                  <c:v>0.38898009725008775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27-47AA-8CD8-2B0E5BF453A2}"/>
            </c:ext>
          </c:extLst>
        </c:ser>
        <c:ser>
          <c:idx val="5"/>
          <c:order val="1"/>
          <c:tx>
            <c:strRef>
              <c:f>Hoja1!$A$24</c:f>
              <c:strCache>
                <c:ptCount val="1"/>
                <c:pt idx="0">
                  <c:v> Otros pasivos financieros no corrientes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Hoja1!$G$4</c:f>
              <c:numCache>
                <c:formatCode>@</c:formatCode>
                <c:ptCount val="1"/>
                <c:pt idx="0">
                  <c:v>2023</c:v>
                </c:pt>
              </c:numCache>
            </c:numRef>
          </c:cat>
          <c:val>
            <c:numRef>
              <c:f>Hoja1!$H$24</c:f>
              <c:numCache>
                <c:formatCode>0%</c:formatCode>
                <c:ptCount val="1"/>
                <c:pt idx="0">
                  <c:v>0.19727468357714692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42-4D35-978C-98A0ACC28562}"/>
            </c:ext>
          </c:extLst>
        </c:ser>
        <c:ser>
          <c:idx val="0"/>
          <c:order val="2"/>
          <c:tx>
            <c:strRef>
              <c:f>Hoja1!$A$19</c:f>
              <c:strCache>
                <c:ptCount val="1"/>
                <c:pt idx="0">
                  <c:v> Pasivos por impuestos corrientes 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Hoja1!$G$4</c:f>
              <c:numCache>
                <c:formatCode>@</c:formatCode>
                <c:ptCount val="1"/>
                <c:pt idx="0">
                  <c:v>2023</c:v>
                </c:pt>
              </c:numCache>
            </c:numRef>
          </c:cat>
          <c:val>
            <c:numRef>
              <c:f>Hoja1!$H$19</c:f>
              <c:numCache>
                <c:formatCode>0%</c:formatCode>
                <c:ptCount val="1"/>
                <c:pt idx="0">
                  <c:v>0.10522373715471214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27-47AA-8CD8-2B0E5BF453A2}"/>
            </c:ext>
          </c:extLst>
        </c:ser>
        <c:ser>
          <c:idx val="6"/>
          <c:order val="3"/>
          <c:tx>
            <c:strRef>
              <c:f>Hoja1!$A$23</c:f>
              <c:strCache>
                <c:ptCount val="1"/>
                <c:pt idx="0">
                  <c:v> Pasivo por impuestos diferidos no corrientes 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Hoja1!$G$4</c:f>
              <c:numCache>
                <c:formatCode>@</c:formatCode>
                <c:ptCount val="1"/>
                <c:pt idx="0">
                  <c:v>2023</c:v>
                </c:pt>
              </c:numCache>
            </c:numRef>
          </c:cat>
          <c:val>
            <c:numRef>
              <c:f>Hoja1!$H$23</c:f>
              <c:numCache>
                <c:formatCode>0%</c:formatCode>
                <c:ptCount val="1"/>
                <c:pt idx="0">
                  <c:v>5.1402199484997087E-2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42-4D35-978C-98A0ACC28562}"/>
            </c:ext>
          </c:extLst>
        </c:ser>
        <c:ser>
          <c:idx val="4"/>
          <c:order val="4"/>
          <c:tx>
            <c:strRef>
              <c:f>Hoja1!$A$30</c:f>
              <c:strCache>
                <c:ptCount val="1"/>
                <c:pt idx="0">
                  <c:v> Ganancias acumuladas 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642-4D35-978C-98A0ACC285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Hoja1!$G$4</c:f>
              <c:numCache>
                <c:formatCode>@</c:formatCode>
                <c:ptCount val="1"/>
                <c:pt idx="0">
                  <c:v>2023</c:v>
                </c:pt>
              </c:numCache>
            </c:numRef>
          </c:cat>
          <c:val>
            <c:numRef>
              <c:f>Hoja1!$H$30</c:f>
              <c:numCache>
                <c:formatCode>0%</c:formatCode>
                <c:ptCount val="1"/>
                <c:pt idx="0">
                  <c:v>9.3752664104889874E-2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27-47AA-8CD8-2B0E5BF453A2}"/>
            </c:ext>
          </c:extLst>
        </c:ser>
        <c:ser>
          <c:idx val="1"/>
          <c:order val="5"/>
          <c:tx>
            <c:strRef>
              <c:f>Hoja1!$A$20</c:f>
              <c:strCache>
                <c:ptCount val="1"/>
                <c:pt idx="0">
                  <c:v> Otros pasivos financieros corrientes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Hoja1!$G$4</c:f>
              <c:numCache>
                <c:formatCode>@</c:formatCode>
                <c:ptCount val="1"/>
                <c:pt idx="0">
                  <c:v>2023</c:v>
                </c:pt>
              </c:numCache>
            </c:numRef>
          </c:cat>
          <c:val>
            <c:numRef>
              <c:f>Hoja1!$H$20</c:f>
              <c:numCache>
                <c:formatCode>0%</c:formatCode>
                <c:ptCount val="1"/>
                <c:pt idx="0">
                  <c:v>4.4223876416244777E-2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027-47AA-8CD8-2B0E5BF45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7142047"/>
        <c:axId val="627143487"/>
      </c:barChart>
      <c:catAx>
        <c:axId val="627142047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627143487"/>
        <c:crosses val="autoZero"/>
        <c:auto val="1"/>
        <c:lblAlgn val="ctr"/>
        <c:lblOffset val="100"/>
        <c:noMultiLvlLbl val="0"/>
      </c:catAx>
      <c:valAx>
        <c:axId val="627143487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62714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s-CO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Pastelería Santa Elena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Hoja1!$P$29</c:f>
              <c:strCache>
                <c:ptCount val="1"/>
                <c:pt idx="0">
                  <c:v> KTNO 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[1]Hoja1!$R$5:$V$5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Hoja1!$R$29:$V$29</c:f>
              <c:numCache>
                <c:formatCode>"$"#,##0_);[Red]\("$"#,##0\)</c:formatCode>
                <c:ptCount val="5"/>
                <c:pt idx="0">
                  <c:v>343729</c:v>
                </c:pt>
                <c:pt idx="1">
                  <c:v>1271028</c:v>
                </c:pt>
                <c:pt idx="2">
                  <c:v>1033661</c:v>
                </c:pt>
                <c:pt idx="3">
                  <c:v>279966</c:v>
                </c:pt>
                <c:pt idx="4">
                  <c:v>1137878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27-43B6-A3DB-81C81CFC9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4984175"/>
        <c:axId val="534984655"/>
      </c:barChart>
      <c:lineChart>
        <c:grouping val="standard"/>
        <c:varyColors val="0"/>
        <c:ser>
          <c:idx val="0"/>
          <c:order val="0"/>
          <c:tx>
            <c:v>Δ Ingresos</c:v>
          </c:tx>
          <c:spPr>
            <a:ln w="381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2267485314130179E-2"/>
                  <c:y val="-3.31421287444231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B27-43B6-A3DB-81C81CFC9234}"/>
                </c:ext>
              </c:extLst>
            </c:dLbl>
            <c:dLbl>
              <c:idx val="1"/>
              <c:layout>
                <c:manualLayout>
                  <c:x val="-3.5852761460144641E-2"/>
                  <c:y val="2.54939451880177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B27-43B6-A3DB-81C81CFC9234}"/>
                </c:ext>
              </c:extLst>
            </c:dLbl>
            <c:dLbl>
              <c:idx val="2"/>
              <c:layout>
                <c:manualLayout>
                  <c:x val="-2.8682209168115782E-2"/>
                  <c:y val="-2.54939451880178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B27-43B6-A3DB-81C81CFC9234}"/>
                </c:ext>
              </c:extLst>
            </c:dLbl>
            <c:dLbl>
              <c:idx val="3"/>
              <c:layout>
                <c:manualLayout>
                  <c:x val="-8.9631903650361604E-3"/>
                  <c:y val="-1.78457616316124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B27-43B6-A3DB-81C81CFC9234}"/>
                </c:ext>
              </c:extLst>
            </c:dLbl>
            <c:dLbl>
              <c:idx val="4"/>
              <c:layout>
                <c:manualLayout>
                  <c:x val="-3.0474847241122947E-2"/>
                  <c:y val="2.80433397068195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B27-43B6-A3DB-81C81CFC92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Hoja1!$I$35:$M$35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Hoja1!$I$36:$M$36</c:f>
              <c:numCache>
                <c:formatCode>0%</c:formatCode>
                <c:ptCount val="5"/>
                <c:pt idx="0">
                  <c:v>4.6397294581554283E-2</c:v>
                </c:pt>
                <c:pt idx="1">
                  <c:v>-0.39024607769094277</c:v>
                </c:pt>
                <c:pt idx="2">
                  <c:v>0.60919744175417612</c:v>
                </c:pt>
                <c:pt idx="3">
                  <c:v>0.36037176109487246</c:v>
                </c:pt>
                <c:pt idx="4">
                  <c:v>-0.13437285800461496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B27-43B6-A3DB-81C81CFC9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098399"/>
        <c:axId val="355087839"/>
      </c:lineChart>
      <c:catAx>
        <c:axId val="53498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534984655"/>
        <c:crosses val="autoZero"/>
        <c:auto val="1"/>
        <c:lblAlgn val="ctr"/>
        <c:lblOffset val="100"/>
        <c:noMultiLvlLbl val="0"/>
      </c:catAx>
      <c:valAx>
        <c:axId val="53498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534984175"/>
        <c:crosses val="autoZero"/>
        <c:crossBetween val="between"/>
      </c:valAx>
      <c:valAx>
        <c:axId val="355087839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355098399"/>
        <c:crosses val="max"/>
        <c:crossBetween val="between"/>
      </c:valAx>
      <c:catAx>
        <c:axId val="3550983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0878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s-CO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Pastelería Santa Elena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Δ Cuentas por Cobrar</c:v>
          </c:tx>
          <c:spPr>
            <a:solidFill>
              <a:srgbClr val="EF664B"/>
            </a:solidFill>
            <a:ln w="31750">
              <a:solidFill>
                <a:srgbClr val="EF664B"/>
              </a:solidFill>
            </a:ln>
            <a:effectLst/>
          </c:spPr>
          <c:invertIfNegative val="0"/>
          <c:cat>
            <c:numRef>
              <c:f>Hoja1!$I$4:$M$4</c:f>
              <c:numCache>
                <c:formatCode>@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Hoja1!$I$6:$M$6</c:f>
              <c:numCache>
                <c:formatCode>0%</c:formatCode>
                <c:ptCount val="5"/>
                <c:pt idx="0">
                  <c:v>0.31141873405603571</c:v>
                </c:pt>
                <c:pt idx="1">
                  <c:v>0.14976167604865021</c:v>
                </c:pt>
                <c:pt idx="2">
                  <c:v>-0.30120703587198061</c:v>
                </c:pt>
                <c:pt idx="3">
                  <c:v>0.20685867090665999</c:v>
                </c:pt>
                <c:pt idx="4">
                  <c:v>1.9269070560668111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B-4F40-BCE4-7B134BF571B3}"/>
            </c:ext>
          </c:extLst>
        </c:ser>
        <c:ser>
          <c:idx val="2"/>
          <c:order val="2"/>
          <c:tx>
            <c:v>Δ Inventarios</c:v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cat>
            <c:numRef>
              <c:f>Hoja1!$I$4:$M$4</c:f>
              <c:numCache>
                <c:formatCode>@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Hoja1!$I$7:$M$7</c:f>
              <c:numCache>
                <c:formatCode>0%</c:formatCode>
                <c:ptCount val="5"/>
                <c:pt idx="0">
                  <c:v>-7.9693570976777761E-2</c:v>
                </c:pt>
                <c:pt idx="1">
                  <c:v>-0.18111137361507845</c:v>
                </c:pt>
                <c:pt idx="2">
                  <c:v>0.57059008666394395</c:v>
                </c:pt>
                <c:pt idx="3">
                  <c:v>0.45640829286737539</c:v>
                </c:pt>
                <c:pt idx="4">
                  <c:v>1.0376799866993469E-2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B-4F40-BCE4-7B134BF571B3}"/>
            </c:ext>
          </c:extLst>
        </c:ser>
        <c:ser>
          <c:idx val="3"/>
          <c:order val="3"/>
          <c:tx>
            <c:v>Δ Cuentas por Pagar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Hoja1!$I$4:$M$4</c:f>
              <c:numCache>
                <c:formatCode>@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Hoja1!$I$18:$M$18</c:f>
              <c:numCache>
                <c:formatCode>0%</c:formatCode>
                <c:ptCount val="5"/>
                <c:pt idx="0">
                  <c:v>-3.6712674792950151E-2</c:v>
                </c:pt>
                <c:pt idx="1">
                  <c:v>5.5768589126744983E-2</c:v>
                </c:pt>
                <c:pt idx="2">
                  <c:v>9.1083909449349632E-2</c:v>
                </c:pt>
                <c:pt idx="3">
                  <c:v>0.3834529203109962</c:v>
                </c:pt>
                <c:pt idx="4">
                  <c:v>0.2737083707200354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6B-4F40-BCE4-7B134BF57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4984175"/>
        <c:axId val="534984655"/>
      </c:barChart>
      <c:lineChart>
        <c:grouping val="standard"/>
        <c:varyColors val="0"/>
        <c:ser>
          <c:idx val="0"/>
          <c:order val="0"/>
          <c:tx>
            <c:v>Δ Ingresos</c:v>
          </c:tx>
          <c:spPr>
            <a:ln w="381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0474847241122965E-2"/>
                  <c:y val="-2.03951561504142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26B-4F40-BCE4-7B134BF571B3}"/>
                </c:ext>
              </c:extLst>
            </c:dLbl>
            <c:dLbl>
              <c:idx val="1"/>
              <c:layout>
                <c:manualLayout>
                  <c:x val="-5.0193866044202534E-2"/>
                  <c:y val="-0.109623964308476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26B-4F40-BCE4-7B134BF571B3}"/>
                </c:ext>
              </c:extLst>
            </c:dLbl>
            <c:dLbl>
              <c:idx val="2"/>
              <c:layout>
                <c:manualLayout>
                  <c:x val="-3.406012338713741E-2"/>
                  <c:y val="-3.82409177820267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26B-4F40-BCE4-7B134BF571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[1]Hoja1!$I$37:$M$37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Hoja1!$I$36:$M$36</c:f>
              <c:numCache>
                <c:formatCode>0%</c:formatCode>
                <c:ptCount val="5"/>
                <c:pt idx="0">
                  <c:v>4.6397294581554283E-2</c:v>
                </c:pt>
                <c:pt idx="1">
                  <c:v>-0.39024607769094277</c:v>
                </c:pt>
                <c:pt idx="2">
                  <c:v>0.60919744175417612</c:v>
                </c:pt>
                <c:pt idx="3">
                  <c:v>0.36037176109487246</c:v>
                </c:pt>
                <c:pt idx="4">
                  <c:v>-0.13437285800461496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6B-4F40-BCE4-7B134BF57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098399"/>
        <c:axId val="355087839"/>
      </c:lineChart>
      <c:catAx>
        <c:axId val="53498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534984655"/>
        <c:crosses val="autoZero"/>
        <c:auto val="1"/>
        <c:lblAlgn val="ctr"/>
        <c:lblOffset val="100"/>
        <c:noMultiLvlLbl val="0"/>
      </c:catAx>
      <c:valAx>
        <c:axId val="53498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534984175"/>
        <c:crosses val="autoZero"/>
        <c:crossBetween val="between"/>
      </c:valAx>
      <c:valAx>
        <c:axId val="355087839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355098399"/>
        <c:crosses val="max"/>
        <c:crossBetween val="between"/>
      </c:valAx>
      <c:catAx>
        <c:axId val="3550983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0878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s-CO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Pastelería Santa Elena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Hoja1!$P$14</c:f>
              <c:strCache>
                <c:ptCount val="1"/>
                <c:pt idx="0">
                  <c:v> Días de Inventario 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Hoja1!$R$4:$V$4</c:f>
              <c:numCache>
                <c:formatCode>@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Hoja1!$R$14:$V$14</c:f>
              <c:numCache>
                <c:formatCode>0</c:formatCode>
                <c:ptCount val="5"/>
                <c:pt idx="0">
                  <c:v>26.131321764784154</c:v>
                </c:pt>
                <c:pt idx="1">
                  <c:v>36.55129268266726</c:v>
                </c:pt>
                <c:pt idx="2">
                  <c:v>27.154555815263564</c:v>
                </c:pt>
                <c:pt idx="3">
                  <c:v>27.254887897813969</c:v>
                </c:pt>
                <c:pt idx="4">
                  <c:v>33.984441681872653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3-42F4-B5E5-9B0D3F352220}"/>
            </c:ext>
          </c:extLst>
        </c:ser>
        <c:ser>
          <c:idx val="4"/>
          <c:order val="1"/>
          <c:tx>
            <c:strRef>
              <c:f>Hoja1!$P$18</c:f>
              <c:strCache>
                <c:ptCount val="1"/>
                <c:pt idx="0">
                  <c:v> Días de CxC </c:v>
                </c:pt>
              </c:strCache>
            </c:strRef>
          </c:tx>
          <c:spPr>
            <a:solidFill>
              <a:srgbClr val="EF664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Hoja1!$R$4:$V$4</c:f>
              <c:numCache>
                <c:formatCode>@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Hoja1!$R$18:$V$18</c:f>
              <c:numCache>
                <c:formatCode>0</c:formatCode>
                <c:ptCount val="5"/>
                <c:pt idx="0">
                  <c:v>21.360657564144301</c:v>
                </c:pt>
                <c:pt idx="1">
                  <c:v>42.728051274050188</c:v>
                </c:pt>
                <c:pt idx="2">
                  <c:v>24.124688724442226</c:v>
                </c:pt>
                <c:pt idx="3">
                  <c:v>16.098547810440945</c:v>
                </c:pt>
                <c:pt idx="4">
                  <c:v>39.938187559424378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73-42F4-B5E5-9B0D3F352220}"/>
            </c:ext>
          </c:extLst>
        </c:ser>
        <c:ser>
          <c:idx val="0"/>
          <c:order val="2"/>
          <c:tx>
            <c:strRef>
              <c:f>Hoja1!$P$25</c:f>
              <c:strCache>
                <c:ptCount val="1"/>
                <c:pt idx="0">
                  <c:v> Días de CxP 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Hoja1!$R$4:$V$4</c:f>
              <c:numCache>
                <c:formatCode>@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Hoja1!$R$25:$V$25</c:f>
              <c:numCache>
                <c:formatCode>0</c:formatCode>
                <c:ptCount val="5"/>
                <c:pt idx="0">
                  <c:v>29.753676541286605</c:v>
                </c:pt>
                <c:pt idx="1">
                  <c:v>49.59484852206684</c:v>
                </c:pt>
                <c:pt idx="2">
                  <c:v>32.193862839198943</c:v>
                </c:pt>
                <c:pt idx="3">
                  <c:v>29.469155398242055</c:v>
                </c:pt>
                <c:pt idx="4">
                  <c:v>45.611198060859671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73-42F4-B5E5-9B0D3F352220}"/>
            </c:ext>
          </c:extLst>
        </c:ser>
        <c:ser>
          <c:idx val="1"/>
          <c:order val="3"/>
          <c:tx>
            <c:strRef>
              <c:f>Hoja1!$P$27</c:f>
              <c:strCache>
                <c:ptCount val="1"/>
                <c:pt idx="0">
                  <c:v> Ciclo de efectivo 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Hoja1!$R$4:$V$4</c:f>
              <c:numCache>
                <c:formatCode>@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Hoja1!$R$27:$V$27</c:f>
              <c:numCache>
                <c:formatCode>0</c:formatCode>
                <c:ptCount val="5"/>
                <c:pt idx="0">
                  <c:v>17.738302787641846</c:v>
                </c:pt>
                <c:pt idx="1">
                  <c:v>29.6844954346506</c:v>
                </c:pt>
                <c:pt idx="2">
                  <c:v>19.085381700506844</c:v>
                </c:pt>
                <c:pt idx="3">
                  <c:v>13.884280310012858</c:v>
                </c:pt>
                <c:pt idx="4">
                  <c:v>28.31143118043736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73-42F4-B5E5-9B0D3F352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4984175"/>
        <c:axId val="534984655"/>
      </c:barChart>
      <c:catAx>
        <c:axId val="53498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534984655"/>
        <c:crosses val="autoZero"/>
        <c:auto val="1"/>
        <c:lblAlgn val="ctr"/>
        <c:lblOffset val="100"/>
        <c:noMultiLvlLbl val="0"/>
      </c:catAx>
      <c:valAx>
        <c:axId val="53498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53498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522633</xdr:colOff>
      <xdr:row>1</xdr:row>
      <xdr:rowOff>151158</xdr:rowOff>
    </xdr:from>
    <xdr:to>
      <xdr:col>26</xdr:col>
      <xdr:colOff>744649</xdr:colOff>
      <xdr:row>3</xdr:row>
      <xdr:rowOff>28871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1DE69D41-9D01-4951-B4A7-1358A064E859}"/>
                </a:ext>
              </a:extLst>
            </xdr:cNvPr>
            <xdr:cNvSpPr txBox="1"/>
          </xdr:nvSpPr>
          <xdr:spPr>
            <a:xfrm>
              <a:off x="19721720" y="358223"/>
              <a:ext cx="3270016" cy="29184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Rotaci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Activos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Ventas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Promedio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Activos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Totales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1DE69D41-9D01-4951-B4A7-1358A064E859}"/>
                </a:ext>
              </a:extLst>
            </xdr:cNvPr>
            <xdr:cNvSpPr txBox="1"/>
          </xdr:nvSpPr>
          <xdr:spPr>
            <a:xfrm>
              <a:off x="19721720" y="358223"/>
              <a:ext cx="3270016" cy="29184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"Rotación de Activos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"Ventas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Promedio Activos Totales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22</xdr:col>
      <xdr:colOff>631488</xdr:colOff>
      <xdr:row>5</xdr:row>
      <xdr:rowOff>150328</xdr:rowOff>
    </xdr:from>
    <xdr:to>
      <xdr:col>26</xdr:col>
      <xdr:colOff>582155</xdr:colOff>
      <xdr:row>7</xdr:row>
      <xdr:rowOff>55083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8">
              <a:extLst>
                <a:ext uri="{FF2B5EF4-FFF2-40B4-BE49-F238E27FC236}">
                  <a16:creationId xmlns:a16="http://schemas.microsoft.com/office/drawing/2014/main" id="{B1D466CF-C146-48FB-8CE2-5D7A83FD010A}"/>
                </a:ext>
              </a:extLst>
            </xdr:cNvPr>
            <xdr:cNvSpPr txBox="1"/>
          </xdr:nvSpPr>
          <xdr:spPr>
            <a:xfrm>
              <a:off x="19830575" y="1185654"/>
              <a:ext cx="2998667" cy="31888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Rotaci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Activos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Fijos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Ventas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Promedio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Activos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Fijos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3" name="CuadroTexto 8">
              <a:extLst>
                <a:ext uri="{FF2B5EF4-FFF2-40B4-BE49-F238E27FC236}">
                  <a16:creationId xmlns:a16="http://schemas.microsoft.com/office/drawing/2014/main" id="{B1D466CF-C146-48FB-8CE2-5D7A83FD010A}"/>
                </a:ext>
              </a:extLst>
            </xdr:cNvPr>
            <xdr:cNvSpPr txBox="1"/>
          </xdr:nvSpPr>
          <xdr:spPr>
            <a:xfrm>
              <a:off x="19830575" y="1185654"/>
              <a:ext cx="2998667" cy="31888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"Rotación Activos Fijos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"Ventas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Promedio Activos Fijos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22</xdr:col>
      <xdr:colOff>569667</xdr:colOff>
      <xdr:row>10</xdr:row>
      <xdr:rowOff>55185</xdr:rowOff>
    </xdr:from>
    <xdr:to>
      <xdr:col>26</xdr:col>
      <xdr:colOff>622117</xdr:colOff>
      <xdr:row>11</xdr:row>
      <xdr:rowOff>144195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14">
              <a:extLst>
                <a:ext uri="{FF2B5EF4-FFF2-40B4-BE49-F238E27FC236}">
                  <a16:creationId xmlns:a16="http://schemas.microsoft.com/office/drawing/2014/main" id="{3122A960-CD2C-499D-9C3B-B77B81DFF3BF}"/>
                </a:ext>
              </a:extLst>
            </xdr:cNvPr>
            <xdr:cNvSpPr txBox="1"/>
          </xdr:nvSpPr>
          <xdr:spPr>
            <a:xfrm>
              <a:off x="19768754" y="2125837"/>
              <a:ext cx="3100450" cy="29607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Rotaci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Inventarios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Costos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de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Ventas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Promedio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Inventarios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4" name="CuadroTexto 14">
              <a:extLst>
                <a:ext uri="{FF2B5EF4-FFF2-40B4-BE49-F238E27FC236}">
                  <a16:creationId xmlns:a16="http://schemas.microsoft.com/office/drawing/2014/main" id="{3122A960-CD2C-499D-9C3B-B77B81DFF3BF}"/>
                </a:ext>
              </a:extLst>
            </xdr:cNvPr>
            <xdr:cNvSpPr txBox="1"/>
          </xdr:nvSpPr>
          <xdr:spPr>
            <a:xfrm>
              <a:off x="19768754" y="2125837"/>
              <a:ext cx="3100450" cy="29607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"Rotación de Inventarios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"Costos de Ventas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Promedio Inventarios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23</xdr:col>
      <xdr:colOff>7041</xdr:colOff>
      <xdr:row>12</xdr:row>
      <xdr:rowOff>29184</xdr:rowOff>
    </xdr:from>
    <xdr:to>
      <xdr:col>26</xdr:col>
      <xdr:colOff>342567</xdr:colOff>
      <xdr:row>13</xdr:row>
      <xdr:rowOff>121383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12">
              <a:extLst>
                <a:ext uri="{FF2B5EF4-FFF2-40B4-BE49-F238E27FC236}">
                  <a16:creationId xmlns:a16="http://schemas.microsoft.com/office/drawing/2014/main" id="{3C064084-A208-454A-87FE-57A950ECD85E}"/>
                </a:ext>
              </a:extLst>
            </xdr:cNvPr>
            <xdr:cNvSpPr txBox="1"/>
          </xdr:nvSpPr>
          <xdr:spPr>
            <a:xfrm>
              <a:off x="19968128" y="2513967"/>
              <a:ext cx="2621526" cy="29926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í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Inventario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365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Rotaci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ó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n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de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Inventarios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5" name="CuadroTexto 12">
              <a:extLst>
                <a:ext uri="{FF2B5EF4-FFF2-40B4-BE49-F238E27FC236}">
                  <a16:creationId xmlns:a16="http://schemas.microsoft.com/office/drawing/2014/main" id="{3C064084-A208-454A-87FE-57A950ECD85E}"/>
                </a:ext>
              </a:extLst>
            </xdr:cNvPr>
            <xdr:cNvSpPr txBox="1"/>
          </xdr:nvSpPr>
          <xdr:spPr>
            <a:xfrm>
              <a:off x="19968128" y="2513967"/>
              <a:ext cx="2621526" cy="29926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"Días de Inventario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"365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Rotación de Inventarios</a:t>
              </a:r>
              <a:r>
                <a:rPr lang="es-MX" sz="100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22</xdr:col>
      <xdr:colOff>596289</xdr:colOff>
      <xdr:row>14</xdr:row>
      <xdr:rowOff>64919</xdr:rowOff>
    </xdr:from>
    <xdr:to>
      <xdr:col>27</xdr:col>
      <xdr:colOff>591626</xdr:colOff>
      <xdr:row>16</xdr:row>
      <xdr:rowOff>67641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15">
              <a:extLst>
                <a:ext uri="{FF2B5EF4-FFF2-40B4-BE49-F238E27FC236}">
                  <a16:creationId xmlns:a16="http://schemas.microsoft.com/office/drawing/2014/main" id="{357176B2-D36A-4AF2-B33C-765A57CAECFC}"/>
                </a:ext>
              </a:extLst>
            </xdr:cNvPr>
            <xdr:cNvSpPr txBox="1"/>
          </xdr:nvSpPr>
          <xdr:spPr>
            <a:xfrm>
              <a:off x="19795376" y="2963832"/>
              <a:ext cx="3805337" cy="41685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Rotaci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Cuentas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por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Cobrar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Ventas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Promedio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Cuentas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por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Cobrar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6" name="CuadroTexto 15">
              <a:extLst>
                <a:ext uri="{FF2B5EF4-FFF2-40B4-BE49-F238E27FC236}">
                  <a16:creationId xmlns:a16="http://schemas.microsoft.com/office/drawing/2014/main" id="{357176B2-D36A-4AF2-B33C-765A57CAECFC}"/>
                </a:ext>
              </a:extLst>
            </xdr:cNvPr>
            <xdr:cNvSpPr txBox="1"/>
          </xdr:nvSpPr>
          <xdr:spPr>
            <a:xfrm>
              <a:off x="19795376" y="2963832"/>
              <a:ext cx="3805337" cy="41685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"Rotación Cuentas por Cobrar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"Ventas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Promedio Cuentas por Cobrar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22</xdr:col>
      <xdr:colOff>647759</xdr:colOff>
      <xdr:row>16</xdr:row>
      <xdr:rowOff>58351</xdr:rowOff>
    </xdr:from>
    <xdr:to>
      <xdr:col>27</xdr:col>
      <xdr:colOff>561992</xdr:colOff>
      <xdr:row>17</xdr:row>
      <xdr:rowOff>174402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13">
              <a:extLst>
                <a:ext uri="{FF2B5EF4-FFF2-40B4-BE49-F238E27FC236}">
                  <a16:creationId xmlns:a16="http://schemas.microsoft.com/office/drawing/2014/main" id="{67862EF0-0A31-4D08-AD2F-1DF964A51F2E}"/>
                </a:ext>
              </a:extLst>
            </xdr:cNvPr>
            <xdr:cNvSpPr txBox="1"/>
          </xdr:nvSpPr>
          <xdr:spPr>
            <a:xfrm>
              <a:off x="19846846" y="3371394"/>
              <a:ext cx="3724233" cy="32311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í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Cuentas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por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Cobrar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365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Rotaci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ó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n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de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Cuentas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por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Cobrar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7" name="CuadroTexto 13">
              <a:extLst>
                <a:ext uri="{FF2B5EF4-FFF2-40B4-BE49-F238E27FC236}">
                  <a16:creationId xmlns:a16="http://schemas.microsoft.com/office/drawing/2014/main" id="{67862EF0-0A31-4D08-AD2F-1DF964A51F2E}"/>
                </a:ext>
              </a:extLst>
            </xdr:cNvPr>
            <xdr:cNvSpPr txBox="1"/>
          </xdr:nvSpPr>
          <xdr:spPr>
            <a:xfrm>
              <a:off x="19846846" y="3371394"/>
              <a:ext cx="3724233" cy="32311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"Días de Cuentas por Cobrar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"365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Rotación de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Cuentas por Cobrar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22</xdr:col>
      <xdr:colOff>566116</xdr:colOff>
      <xdr:row>20</xdr:row>
      <xdr:rowOff>60304</xdr:rowOff>
    </xdr:from>
    <xdr:to>
      <xdr:col>27</xdr:col>
      <xdr:colOff>555214</xdr:colOff>
      <xdr:row>21</xdr:row>
      <xdr:rowOff>178110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2">
              <a:extLst>
                <a:ext uri="{FF2B5EF4-FFF2-40B4-BE49-F238E27FC236}">
                  <a16:creationId xmlns:a16="http://schemas.microsoft.com/office/drawing/2014/main" id="{1671B06E-8B51-42C4-A720-B69B45856BB1}"/>
                </a:ext>
              </a:extLst>
            </xdr:cNvPr>
            <xdr:cNvSpPr txBox="1"/>
          </xdr:nvSpPr>
          <xdr:spPr>
            <a:xfrm>
              <a:off x="19765203" y="4201608"/>
              <a:ext cx="3799098" cy="32487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Rotaci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Cuentas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por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Pagar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Compras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Promedio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Cuentas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por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Pagar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8" name="CuadroTexto 2">
              <a:extLst>
                <a:ext uri="{FF2B5EF4-FFF2-40B4-BE49-F238E27FC236}">
                  <a16:creationId xmlns:a16="http://schemas.microsoft.com/office/drawing/2014/main" id="{1671B06E-8B51-42C4-A720-B69B45856BB1}"/>
                </a:ext>
              </a:extLst>
            </xdr:cNvPr>
            <xdr:cNvSpPr txBox="1"/>
          </xdr:nvSpPr>
          <xdr:spPr>
            <a:xfrm>
              <a:off x="19765203" y="4201608"/>
              <a:ext cx="3799098" cy="32487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"Rotación Cuentas por Pagar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"Compras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Promedio Cuentas por Pagar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22</xdr:col>
      <xdr:colOff>612263</xdr:colOff>
      <xdr:row>18</xdr:row>
      <xdr:rowOff>198386</xdr:rowOff>
    </xdr:from>
    <xdr:to>
      <xdr:col>28</xdr:col>
      <xdr:colOff>61284</xdr:colOff>
      <xdr:row>19</xdr:row>
      <xdr:rowOff>145610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11">
              <a:extLst>
                <a:ext uri="{FF2B5EF4-FFF2-40B4-BE49-F238E27FC236}">
                  <a16:creationId xmlns:a16="http://schemas.microsoft.com/office/drawing/2014/main" id="{1F444599-26E6-40F6-8A28-779B2C321F1D}"/>
                </a:ext>
              </a:extLst>
            </xdr:cNvPr>
            <xdr:cNvSpPr txBox="1"/>
          </xdr:nvSpPr>
          <xdr:spPr>
            <a:xfrm>
              <a:off x="19811350" y="3925560"/>
              <a:ext cx="4021021" cy="15428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Compras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Costo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Ventas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+ 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Inventario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Final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– 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Inventario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Inicial</m:t>
                    </m:r>
                  </m:oMath>
                </m:oMathPara>
              </a14:m>
              <a:endParaRPr lang="es-CO" sz="100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9" name="CuadroTexto 11">
              <a:extLst>
                <a:ext uri="{FF2B5EF4-FFF2-40B4-BE49-F238E27FC236}">
                  <a16:creationId xmlns:a16="http://schemas.microsoft.com/office/drawing/2014/main" id="{1F444599-26E6-40F6-8A28-779B2C321F1D}"/>
                </a:ext>
              </a:extLst>
            </xdr:cNvPr>
            <xdr:cNvSpPr txBox="1"/>
          </xdr:nvSpPr>
          <xdr:spPr>
            <a:xfrm>
              <a:off x="19811350" y="3925560"/>
              <a:ext cx="4021021" cy="15428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solidFill>
                    <a:schemeClr val="tx1"/>
                  </a:solidFill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"Compras = Costo de Ventas + Inventario Final – Inventario Inicial</a:t>
              </a:r>
              <a:r>
                <a:rPr lang="es-CO" sz="1000" b="0" i="0">
                  <a:solidFill>
                    <a:schemeClr val="tx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endParaRPr lang="es-CO" sz="100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22</xdr:col>
      <xdr:colOff>368221</xdr:colOff>
      <xdr:row>22</xdr:row>
      <xdr:rowOff>28594</xdr:rowOff>
    </xdr:from>
    <xdr:to>
      <xdr:col>28</xdr:col>
      <xdr:colOff>38087</xdr:colOff>
      <xdr:row>23</xdr:row>
      <xdr:rowOff>145352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13">
              <a:extLst>
                <a:ext uri="{FF2B5EF4-FFF2-40B4-BE49-F238E27FC236}">
                  <a16:creationId xmlns:a16="http://schemas.microsoft.com/office/drawing/2014/main" id="{FC3A9B7E-49DF-4391-A8EF-B980AEB8978B}"/>
                </a:ext>
              </a:extLst>
            </xdr:cNvPr>
            <xdr:cNvSpPr txBox="1"/>
          </xdr:nvSpPr>
          <xdr:spPr>
            <a:xfrm>
              <a:off x="19567308" y="4584029"/>
              <a:ext cx="4241866" cy="32382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í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Cuentas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por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Pagar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365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Rotaci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ó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n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de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Cuentas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por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Pagar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10" name="CuadroTexto 13">
              <a:extLst>
                <a:ext uri="{FF2B5EF4-FFF2-40B4-BE49-F238E27FC236}">
                  <a16:creationId xmlns:a16="http://schemas.microsoft.com/office/drawing/2014/main" id="{FC3A9B7E-49DF-4391-A8EF-B980AEB8978B}"/>
                </a:ext>
              </a:extLst>
            </xdr:cNvPr>
            <xdr:cNvSpPr txBox="1"/>
          </xdr:nvSpPr>
          <xdr:spPr>
            <a:xfrm>
              <a:off x="19567308" y="4584029"/>
              <a:ext cx="4241866" cy="32382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"Días de Cuentas por Pagar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"365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Rotación de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Cuentas por Pagar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22</xdr:col>
      <xdr:colOff>728219</xdr:colOff>
      <xdr:row>25</xdr:row>
      <xdr:rowOff>142421</xdr:rowOff>
    </xdr:from>
    <xdr:to>
      <xdr:col>28</xdr:col>
      <xdr:colOff>8738</xdr:colOff>
      <xdr:row>26</xdr:row>
      <xdr:rowOff>92129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">
              <a:extLst>
                <a:ext uri="{FF2B5EF4-FFF2-40B4-BE49-F238E27FC236}">
                  <a16:creationId xmlns:a16="http://schemas.microsoft.com/office/drawing/2014/main" id="{984BF532-F607-4598-A686-462736B5895D}"/>
                </a:ext>
              </a:extLst>
            </xdr:cNvPr>
            <xdr:cNvSpPr txBox="1"/>
          </xdr:nvSpPr>
          <xdr:spPr>
            <a:xfrm>
              <a:off x="19927306" y="5319051"/>
              <a:ext cx="3852519" cy="15677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Ciclo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efectivo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í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Inventario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+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í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CxC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–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í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CxP</m:t>
                    </m:r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11" name="CuadroTexto 1">
              <a:extLst>
                <a:ext uri="{FF2B5EF4-FFF2-40B4-BE49-F238E27FC236}">
                  <a16:creationId xmlns:a16="http://schemas.microsoft.com/office/drawing/2014/main" id="{984BF532-F607-4598-A686-462736B5895D}"/>
                </a:ext>
              </a:extLst>
            </xdr:cNvPr>
            <xdr:cNvSpPr txBox="1"/>
          </xdr:nvSpPr>
          <xdr:spPr>
            <a:xfrm>
              <a:off x="19927306" y="5319051"/>
              <a:ext cx="3852519" cy="15677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"Ciclo de efectivo = Días de Inventario + Días de CxC – Días de CxP</a:t>
              </a:r>
              <a:r>
                <a:rPr lang="es-CO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22</xdr:col>
      <xdr:colOff>699823</xdr:colOff>
      <xdr:row>27</xdr:row>
      <xdr:rowOff>9130</xdr:rowOff>
    </xdr:from>
    <xdr:to>
      <xdr:col>28</xdr:col>
      <xdr:colOff>393662</xdr:colOff>
      <xdr:row>28</xdr:row>
      <xdr:rowOff>154892</xdr:rowOff>
    </xdr:to>
    <xdr:sp macro="" textlink="">
      <xdr:nvSpPr>
        <xdr:cNvPr id="14" name="CuadroTexto 11">
          <a:extLst>
            <a:ext uri="{FF2B5EF4-FFF2-40B4-BE49-F238E27FC236}">
              <a16:creationId xmlns:a16="http://schemas.microsoft.com/office/drawing/2014/main" id="{1A954351-7F65-4105-8A7D-D02993D76244}"/>
            </a:ext>
          </a:extLst>
        </xdr:cNvPr>
        <xdr:cNvSpPr txBox="1"/>
      </xdr:nvSpPr>
      <xdr:spPr>
        <a:xfrm>
          <a:off x="19898910" y="5599891"/>
          <a:ext cx="4265839" cy="35282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lnSpc>
              <a:spcPct val="200000"/>
            </a:lnSpc>
          </a:pPr>
          <a:r>
            <a:rPr lang="es-MX" sz="1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KTNO = Efectivo + CxC + Inventario – CxP – Otras CxP</a:t>
          </a:r>
          <a:endParaRPr lang="es-CO" sz="10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22</xdr:col>
      <xdr:colOff>561682</xdr:colOff>
      <xdr:row>29</xdr:row>
      <xdr:rowOff>57938</xdr:rowOff>
    </xdr:from>
    <xdr:to>
      <xdr:col>26</xdr:col>
      <xdr:colOff>538890</xdr:colOff>
      <xdr:row>30</xdr:row>
      <xdr:rowOff>149582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3">
              <a:extLst>
                <a:ext uri="{FF2B5EF4-FFF2-40B4-BE49-F238E27FC236}">
                  <a16:creationId xmlns:a16="http://schemas.microsoft.com/office/drawing/2014/main" id="{840DF322-A778-4FA9-A7A9-43BA5332BEEB}"/>
                </a:ext>
              </a:extLst>
            </xdr:cNvPr>
            <xdr:cNvSpPr txBox="1"/>
          </xdr:nvSpPr>
          <xdr:spPr>
            <a:xfrm>
              <a:off x="19760769" y="6062829"/>
              <a:ext cx="3025208" cy="29871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Rotaci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Capital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Trabajo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Ventas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Promedio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KTNO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15" name="CuadroTexto 13">
              <a:extLst>
                <a:ext uri="{FF2B5EF4-FFF2-40B4-BE49-F238E27FC236}">
                  <a16:creationId xmlns:a16="http://schemas.microsoft.com/office/drawing/2014/main" id="{840DF322-A778-4FA9-A7A9-43BA5332BEEB}"/>
                </a:ext>
              </a:extLst>
            </xdr:cNvPr>
            <xdr:cNvSpPr txBox="1"/>
          </xdr:nvSpPr>
          <xdr:spPr>
            <a:xfrm>
              <a:off x="19760769" y="6062829"/>
              <a:ext cx="3025208" cy="29871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"Rotación Capital de Trabajo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"Ventas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Promedio KTNO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15</xdr:col>
      <xdr:colOff>0</xdr:colOff>
      <xdr:row>32</xdr:row>
      <xdr:rowOff>0</xdr:rowOff>
    </xdr:from>
    <xdr:to>
      <xdr:col>21</xdr:col>
      <xdr:colOff>306871</xdr:colOff>
      <xdr:row>52</xdr:row>
      <xdr:rowOff>10767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4348CD06-0F4B-40D0-BAA3-E795FFB93E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53</xdr:row>
      <xdr:rowOff>41413</xdr:rowOff>
    </xdr:from>
    <xdr:to>
      <xdr:col>21</xdr:col>
      <xdr:colOff>325922</xdr:colOff>
      <xdr:row>77</xdr:row>
      <xdr:rowOff>79512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B0ECDBCC-7F93-41DC-A801-547C4504E7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78</xdr:row>
      <xdr:rowOff>43484</xdr:rowOff>
    </xdr:from>
    <xdr:to>
      <xdr:col>21</xdr:col>
      <xdr:colOff>325922</xdr:colOff>
      <xdr:row>103</xdr:row>
      <xdr:rowOff>55494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13DA0A8-B15A-41B9-A6AD-174A419183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821635</xdr:colOff>
      <xdr:row>32</xdr:row>
      <xdr:rowOff>0</xdr:rowOff>
    </xdr:from>
    <xdr:to>
      <xdr:col>30</xdr:col>
      <xdr:colOff>732598</xdr:colOff>
      <xdr:row>52</xdr:row>
      <xdr:rowOff>82206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C19AEBFC-20E6-4B50-BF1A-3481F89BA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564874</xdr:colOff>
      <xdr:row>32</xdr:row>
      <xdr:rowOff>0</xdr:rowOff>
    </xdr:from>
    <xdr:to>
      <xdr:col>40</xdr:col>
      <xdr:colOff>612500</xdr:colOff>
      <xdr:row>52</xdr:row>
      <xdr:rowOff>82206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5BB0B655-9EBC-4F3E-9F24-688F886179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821635</xdr:colOff>
      <xdr:row>53</xdr:row>
      <xdr:rowOff>41413</xdr:rowOff>
    </xdr:from>
    <xdr:to>
      <xdr:col>31</xdr:col>
      <xdr:colOff>29405</xdr:colOff>
      <xdr:row>77</xdr:row>
      <xdr:rowOff>127966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9CDF966F-789F-4AF6-A9F3-13BAE041AA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821635</xdr:colOff>
      <xdr:row>79</xdr:row>
      <xdr:rowOff>44726</xdr:rowOff>
    </xdr:from>
    <xdr:to>
      <xdr:col>31</xdr:col>
      <xdr:colOff>29405</xdr:colOff>
      <xdr:row>104</xdr:row>
      <xdr:rowOff>56736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445D8FD9-CDDA-4D1F-93CD-CA75BED084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564874</xdr:colOff>
      <xdr:row>53</xdr:row>
      <xdr:rowOff>41413</xdr:rowOff>
    </xdr:from>
    <xdr:to>
      <xdr:col>40</xdr:col>
      <xdr:colOff>675448</xdr:colOff>
      <xdr:row>77</xdr:row>
      <xdr:rowOff>79512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F43263C9-022F-4EC6-A4AA-88DF08F9A5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igue\Dropbox\UNAL\ADMINISTRACI&#211;N%20FINANCIERA\Excel\Indicadores%20de%20Actividad%20BBC%202018-2023.xlsx" TargetMode="External"/><Relationship Id="rId1" Type="http://schemas.openxmlformats.org/officeDocument/2006/relationships/externalLinkPath" Target="Indicadores%20de%20Actividad%20BBC%202018-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</sheetNames>
    <sheetDataSet>
      <sheetData sheetId="0">
        <row r="4">
          <cell r="G4">
            <v>2023</v>
          </cell>
          <cell r="I4">
            <v>2019</v>
          </cell>
          <cell r="J4">
            <v>2020</v>
          </cell>
          <cell r="K4">
            <v>2021</v>
          </cell>
          <cell r="L4">
            <v>2022</v>
          </cell>
          <cell r="M4">
            <v>2023</v>
          </cell>
        </row>
        <row r="5">
          <cell r="R5">
            <v>2019</v>
          </cell>
          <cell r="S5">
            <v>2020</v>
          </cell>
          <cell r="T5">
            <v>2021</v>
          </cell>
          <cell r="U5">
            <v>2022</v>
          </cell>
          <cell r="V5">
            <v>2023</v>
          </cell>
        </row>
        <row r="6">
          <cell r="A6" t="str">
            <v>Cuentas comerciales por cobrar</v>
          </cell>
          <cell r="H6">
            <v>1.8559589155144763E-2</v>
          </cell>
          <cell r="I6">
            <v>5.1982860838633176</v>
          </cell>
          <cell r="J6">
            <v>-0.98155700286079495</v>
          </cell>
          <cell r="K6">
            <v>39.92754989784693</v>
          </cell>
          <cell r="L6">
            <v>2.3709325633011038</v>
          </cell>
          <cell r="M6">
            <v>-0.20390606756164098</v>
          </cell>
        </row>
        <row r="7">
          <cell r="A7" t="str">
            <v>Inventarios corrientes</v>
          </cell>
          <cell r="H7">
            <v>8.3801871141457901E-2</v>
          </cell>
          <cell r="I7">
            <v>0.39613997897725906</v>
          </cell>
          <cell r="J7">
            <v>-4.0350710638260456E-2</v>
          </cell>
          <cell r="K7">
            <v>4.1331924755751093E-2</v>
          </cell>
          <cell r="L7">
            <v>6.9004058007486879E-2</v>
          </cell>
          <cell r="M7">
            <v>-7.1416022978838867E-2</v>
          </cell>
        </row>
        <row r="8">
          <cell r="A8" t="str">
            <v>Activos por impuestos corrientes</v>
          </cell>
          <cell r="H8">
            <v>0.13881934686651923</v>
          </cell>
        </row>
        <row r="11">
          <cell r="A11" t="str">
            <v>Propiedades, planta y equipo</v>
          </cell>
          <cell r="H11">
            <v>0.75628899041271713</v>
          </cell>
        </row>
        <row r="15">
          <cell r="P15" t="str">
            <v>Días de Inventario</v>
          </cell>
          <cell r="R15">
            <v>48.534244246889948</v>
          </cell>
          <cell r="S15">
            <v>281.40272750388709</v>
          </cell>
          <cell r="T15">
            <v>61.945760046311513</v>
          </cell>
          <cell r="U15">
            <v>59.603475736408825</v>
          </cell>
          <cell r="V15">
            <v>47.88802763755568</v>
          </cell>
        </row>
        <row r="19">
          <cell r="A19" t="str">
            <v>Cuentas por pagar comerciales</v>
          </cell>
          <cell r="H19">
            <v>7.3136672890703483E-2</v>
          </cell>
          <cell r="I19">
            <v>0.56895181026067854</v>
          </cell>
          <cell r="J19">
            <v>-0.92240773713663138</v>
          </cell>
          <cell r="K19">
            <v>7.4486291775822639</v>
          </cell>
          <cell r="L19">
            <v>-0.33347709592983066</v>
          </cell>
          <cell r="M19">
            <v>-7.4278734079947117E-2</v>
          </cell>
          <cell r="P19" t="str">
            <v>Días de CxC</v>
          </cell>
          <cell r="R19">
            <v>3.5959192753089231</v>
          </cell>
          <cell r="S19">
            <v>31.411364648334459</v>
          </cell>
          <cell r="T19">
            <v>3.3487941744171197</v>
          </cell>
          <cell r="U19">
            <v>12.562720813438881</v>
          </cell>
          <cell r="V19">
            <v>14.611388655622411</v>
          </cell>
        </row>
        <row r="21">
          <cell r="A21" t="str">
            <v>Otros pasivos financieros corrientes</v>
          </cell>
          <cell r="H21">
            <v>2.7012045383505923E-2</v>
          </cell>
        </row>
        <row r="24">
          <cell r="A24" t="str">
            <v>Cuentas comerciales por pagar no corrientes</v>
          </cell>
          <cell r="H24">
            <v>0.46751934466230194</v>
          </cell>
        </row>
        <row r="26">
          <cell r="P26" t="str">
            <v>Días de CxP</v>
          </cell>
          <cell r="R26">
            <v>94.931120599381032</v>
          </cell>
          <cell r="S26">
            <v>342.0585854624926</v>
          </cell>
          <cell r="T26">
            <v>49.281268964366653</v>
          </cell>
          <cell r="U26">
            <v>66.681186780585705</v>
          </cell>
          <cell r="V26">
            <v>42.271223613846963</v>
          </cell>
        </row>
        <row r="28">
          <cell r="P28" t="str">
            <v>Ciclo de efectivo</v>
          </cell>
          <cell r="R28">
            <v>-42.800957077182161</v>
          </cell>
          <cell r="S28">
            <v>-29.244493310271025</v>
          </cell>
          <cell r="T28">
            <v>16.013285256361975</v>
          </cell>
          <cell r="U28">
            <v>5.4850097692620068</v>
          </cell>
          <cell r="V28">
            <v>20.22819267933113</v>
          </cell>
        </row>
        <row r="30">
          <cell r="A30" t="str">
            <v xml:space="preserve">Prima de emisión </v>
          </cell>
          <cell r="H30">
            <v>0.92019432167072235</v>
          </cell>
          <cell r="P30" t="str">
            <v>KTNO</v>
          </cell>
          <cell r="R30">
            <v>-1853609</v>
          </cell>
          <cell r="S30">
            <v>2749426</v>
          </cell>
          <cell r="T30">
            <v>45996</v>
          </cell>
          <cell r="U30">
            <v>3748382</v>
          </cell>
          <cell r="V30">
            <v>5438782</v>
          </cell>
        </row>
        <row r="32">
          <cell r="A32" t="str">
            <v>Ganancias acumuladas</v>
          </cell>
          <cell r="H32">
            <v>-0.55739954412537585</v>
          </cell>
        </row>
        <row r="37">
          <cell r="B37">
            <v>2018</v>
          </cell>
          <cell r="C37">
            <v>2019</v>
          </cell>
          <cell r="D37">
            <v>2020</v>
          </cell>
          <cell r="E37">
            <v>2021</v>
          </cell>
          <cell r="F37">
            <v>2022</v>
          </cell>
          <cell r="G37">
            <v>2023</v>
          </cell>
          <cell r="I37">
            <v>2019</v>
          </cell>
          <cell r="J37">
            <v>2020</v>
          </cell>
          <cell r="K37">
            <v>2021</v>
          </cell>
          <cell r="L37">
            <v>2022</v>
          </cell>
          <cell r="M37" t="str">
            <v>2023</v>
          </cell>
        </row>
        <row r="38">
          <cell r="I38">
            <v>0.42201388080809887</v>
          </cell>
          <cell r="J38">
            <v>-0.89960724557316496</v>
          </cell>
          <cell r="K38">
            <v>6.1218464528763814</v>
          </cell>
          <cell r="L38">
            <v>0.13735257540678569</v>
          </cell>
          <cell r="M38">
            <v>0.19096012111259197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6BFF9-A576-47DC-923E-AB29F7AC7F51}">
  <dimension ref="A1:W71"/>
  <sheetViews>
    <sheetView tabSelected="1" topLeftCell="S52" zoomScale="115" zoomScaleNormal="115" workbookViewId="0">
      <selection activeCell="AH89" sqref="AH89"/>
    </sheetView>
  </sheetViews>
  <sheetFormatPr baseColWidth="10" defaultRowHeight="15.75" x14ac:dyDescent="0.25"/>
  <cols>
    <col min="1" max="1" width="53" customWidth="1"/>
    <col min="2" max="14" width="17.5703125" style="2" customWidth="1"/>
    <col min="16" max="16" width="28" style="14" bestFit="1" customWidth="1"/>
    <col min="17" max="17" width="14" bestFit="1" customWidth="1"/>
    <col min="18" max="22" width="15.28515625" bestFit="1" customWidth="1"/>
    <col min="23" max="23" width="11.42578125" style="14"/>
  </cols>
  <sheetData>
    <row r="1" spans="1:23" ht="16.5" x14ac:dyDescent="0.25">
      <c r="A1" s="1" t="s">
        <v>0</v>
      </c>
      <c r="C1" s="3" t="s">
        <v>1</v>
      </c>
      <c r="D1" s="3">
        <v>890929455</v>
      </c>
    </row>
    <row r="2" spans="1:23" ht="16.5" x14ac:dyDescent="0.25">
      <c r="A2" s="1" t="s">
        <v>2</v>
      </c>
    </row>
    <row r="3" spans="1:23" ht="16.5" x14ac:dyDescent="0.25">
      <c r="A3" s="1" t="s">
        <v>3</v>
      </c>
      <c r="H3"/>
      <c r="I3" s="23" t="s">
        <v>83</v>
      </c>
      <c r="J3" s="24"/>
      <c r="K3" s="24"/>
      <c r="L3" s="24"/>
      <c r="M3" s="24"/>
      <c r="N3"/>
    </row>
    <row r="4" spans="1:23" ht="16.5" x14ac:dyDescent="0.25">
      <c r="A4" s="1"/>
      <c r="B4" s="4">
        <v>2018</v>
      </c>
      <c r="C4" s="4">
        <v>2019</v>
      </c>
      <c r="D4" s="4">
        <v>2020</v>
      </c>
      <c r="E4" s="4">
        <v>2021</v>
      </c>
      <c r="F4" s="4">
        <v>2022</v>
      </c>
      <c r="G4" s="4">
        <v>2023</v>
      </c>
      <c r="H4" s="4" t="s">
        <v>84</v>
      </c>
      <c r="I4" s="4">
        <v>2019</v>
      </c>
      <c r="J4" s="4">
        <v>2020</v>
      </c>
      <c r="K4" s="4">
        <v>2021</v>
      </c>
      <c r="L4" s="4">
        <v>2022</v>
      </c>
      <c r="M4" s="4">
        <v>2023</v>
      </c>
      <c r="N4" s="4" t="s">
        <v>85</v>
      </c>
      <c r="Q4" s="4">
        <v>2018</v>
      </c>
      <c r="R4" s="4">
        <v>2019</v>
      </c>
      <c r="S4" s="4">
        <v>2020</v>
      </c>
      <c r="T4" s="4">
        <v>2021</v>
      </c>
      <c r="U4" s="4">
        <v>2022</v>
      </c>
      <c r="V4" s="4">
        <v>2023</v>
      </c>
    </row>
    <row r="5" spans="1:23" ht="16.5" x14ac:dyDescent="0.25">
      <c r="A5" s="5" t="s">
        <v>4</v>
      </c>
      <c r="B5" s="6">
        <v>338545</v>
      </c>
      <c r="C5" s="6">
        <v>345503</v>
      </c>
      <c r="D5" s="6">
        <v>880521</v>
      </c>
      <c r="E5" s="6">
        <v>1007711</v>
      </c>
      <c r="F5" s="6">
        <v>661886</v>
      </c>
      <c r="G5" s="6">
        <v>216208</v>
      </c>
      <c r="H5" s="12">
        <f>+G5/$G$15</f>
        <v>2.8621157268631261E-2</v>
      </c>
      <c r="I5" s="12">
        <f>+C5/B5-1</f>
        <v>2.0552659173817434E-2</v>
      </c>
      <c r="J5" s="12">
        <f t="shared" ref="J5:M5" si="0">+D5/C5-1</f>
        <v>1.5485191156082583</v>
      </c>
      <c r="K5" s="12">
        <f t="shared" si="0"/>
        <v>0.14444857078933948</v>
      </c>
      <c r="L5" s="12">
        <f t="shared" si="0"/>
        <v>-0.34317874866901321</v>
      </c>
      <c r="M5" s="12">
        <f t="shared" si="0"/>
        <v>-0.67334556101806053</v>
      </c>
      <c r="N5" s="12">
        <f>+AVERAGE(I5:M5)</f>
        <v>0.13939920717686829</v>
      </c>
      <c r="P5" s="5" t="s">
        <v>60</v>
      </c>
      <c r="R5" s="6">
        <f>+AVERAGE(B15:C15)</f>
        <v>4614640</v>
      </c>
      <c r="S5" s="6">
        <f>+AVERAGE(C15:D15)</f>
        <v>4835036</v>
      </c>
      <c r="T5" s="6">
        <f>+AVERAGE(D15:E15)</f>
        <v>5042657.5</v>
      </c>
      <c r="U5" s="6">
        <f>+AVERAGE(E15:F15)</f>
        <v>5382168</v>
      </c>
      <c r="V5" s="6">
        <f>+AVERAGE(F15:G15)</f>
        <v>6680901.5</v>
      </c>
    </row>
    <row r="6" spans="1:23" ht="16.5" x14ac:dyDescent="0.25">
      <c r="A6" s="5" t="s">
        <v>5</v>
      </c>
      <c r="B6" s="6">
        <v>919235</v>
      </c>
      <c r="C6" s="6">
        <v>1205502</v>
      </c>
      <c r="D6" s="6">
        <v>1386040</v>
      </c>
      <c r="E6" s="6">
        <v>968555</v>
      </c>
      <c r="F6" s="6">
        <v>1168909</v>
      </c>
      <c r="G6" s="6">
        <v>3421288</v>
      </c>
      <c r="H6" s="12">
        <f t="shared" ref="H6:H32" si="1">+G6/$G$15</f>
        <v>0.45290286163916649</v>
      </c>
      <c r="I6" s="12">
        <f t="shared" ref="I6:I32" si="2">+C6/B6-1</f>
        <v>0.31141873405603571</v>
      </c>
      <c r="J6" s="12">
        <f t="shared" ref="J6:J32" si="3">+D6/C6-1</f>
        <v>0.14976167604865021</v>
      </c>
      <c r="K6" s="12">
        <f t="shared" ref="K6:K32" si="4">+E6/D6-1</f>
        <v>-0.30120703587198061</v>
      </c>
      <c r="L6" s="12">
        <f t="shared" ref="L6:L32" si="5">+F6/E6-1</f>
        <v>0.20685867090665999</v>
      </c>
      <c r="M6" s="12">
        <f t="shared" ref="M6:M32" si="6">+G6/F6-1</f>
        <v>1.9269070560668111</v>
      </c>
      <c r="N6" s="12">
        <f t="shared" ref="N6:N32" si="7">+AVERAGE(I6:M6)</f>
        <v>0.45874782024123528</v>
      </c>
      <c r="P6" s="15" t="s">
        <v>61</v>
      </c>
      <c r="R6" s="17">
        <f>+C36/R5</f>
        <v>3.9338301579321464</v>
      </c>
      <c r="S6" s="17">
        <f>+D36/S5</f>
        <v>2.2893295934094389</v>
      </c>
      <c r="T6" s="17">
        <f>+E36/T5</f>
        <v>3.5323025607033594</v>
      </c>
      <c r="U6" s="17">
        <f>+F36/U5</f>
        <v>4.5021268381068742</v>
      </c>
      <c r="V6" s="17">
        <f>+G36/V5</f>
        <v>3.1395743523534958</v>
      </c>
      <c r="W6" s="15" t="s">
        <v>68</v>
      </c>
    </row>
    <row r="7" spans="1:23" ht="16.5" x14ac:dyDescent="0.25">
      <c r="A7" s="5" t="s">
        <v>6</v>
      </c>
      <c r="B7" s="6">
        <v>708288</v>
      </c>
      <c r="C7" s="6">
        <v>651842</v>
      </c>
      <c r="D7" s="6">
        <v>533786</v>
      </c>
      <c r="E7" s="6">
        <v>838359</v>
      </c>
      <c r="F7" s="6">
        <v>1220993</v>
      </c>
      <c r="G7" s="6">
        <v>1233663</v>
      </c>
      <c r="H7" s="12">
        <f t="shared" si="1"/>
        <v>0.1633096959385936</v>
      </c>
      <c r="I7" s="12">
        <f t="shared" si="2"/>
        <v>-7.9693570976777761E-2</v>
      </c>
      <c r="J7" s="12">
        <f t="shared" si="3"/>
        <v>-0.18111137361507845</v>
      </c>
      <c r="K7" s="12">
        <f t="shared" si="4"/>
        <v>0.57059008666394395</v>
      </c>
      <c r="L7" s="12">
        <f t="shared" si="5"/>
        <v>0.45640829286737539</v>
      </c>
      <c r="M7" s="12">
        <f t="shared" si="6"/>
        <v>1.0376799866993469E-2</v>
      </c>
      <c r="N7" s="12">
        <f t="shared" si="7"/>
        <v>0.15531404696129131</v>
      </c>
    </row>
    <row r="8" spans="1:23" ht="16.5" x14ac:dyDescent="0.25">
      <c r="A8" s="5" t="s">
        <v>7</v>
      </c>
      <c r="B8" s="6">
        <v>14833</v>
      </c>
      <c r="C8" s="6">
        <v>30290</v>
      </c>
      <c r="D8" s="6">
        <v>36912</v>
      </c>
      <c r="E8" s="6">
        <v>65627</v>
      </c>
      <c r="F8" s="6">
        <v>42241</v>
      </c>
      <c r="G8" s="6">
        <v>44550</v>
      </c>
      <c r="H8" s="12">
        <f t="shared" si="1"/>
        <v>5.8974346754862104E-3</v>
      </c>
      <c r="I8" s="12">
        <f t="shared" si="2"/>
        <v>1.0420683610867658</v>
      </c>
      <c r="J8" s="12">
        <f t="shared" si="3"/>
        <v>0.2186200066028392</v>
      </c>
      <c r="K8" s="12">
        <f t="shared" si="4"/>
        <v>0.77793129605548339</v>
      </c>
      <c r="L8" s="12">
        <f t="shared" si="5"/>
        <v>-0.35634723513188171</v>
      </c>
      <c r="M8" s="12">
        <f t="shared" si="6"/>
        <v>5.4662531663549618E-2</v>
      </c>
      <c r="N8" s="12">
        <f t="shared" si="7"/>
        <v>0.34738699205535128</v>
      </c>
      <c r="P8" s="5" t="s">
        <v>64</v>
      </c>
      <c r="Q8" s="6">
        <f t="shared" ref="Q8:V8" si="8">+B10+B11</f>
        <v>2397588</v>
      </c>
      <c r="R8" s="6">
        <f t="shared" si="8"/>
        <v>2198191</v>
      </c>
      <c r="S8" s="6">
        <f t="shared" si="8"/>
        <v>2026474</v>
      </c>
      <c r="T8" s="6">
        <f t="shared" si="8"/>
        <v>1941842</v>
      </c>
      <c r="U8" s="6">
        <f t="shared" si="8"/>
        <v>2661960</v>
      </c>
      <c r="V8" s="6">
        <f t="shared" si="8"/>
        <v>2570100</v>
      </c>
    </row>
    <row r="9" spans="1:23" ht="16.5" x14ac:dyDescent="0.25">
      <c r="A9" s="1" t="s">
        <v>8</v>
      </c>
      <c r="B9" s="7">
        <f>SUM(B5:B8)</f>
        <v>1980901</v>
      </c>
      <c r="C9" s="7">
        <f t="shared" ref="C9:G9" si="9">SUM(C5:C8)</f>
        <v>2233137</v>
      </c>
      <c r="D9" s="7">
        <f t="shared" si="9"/>
        <v>2837259</v>
      </c>
      <c r="E9" s="7">
        <f t="shared" si="9"/>
        <v>2880252</v>
      </c>
      <c r="F9" s="7">
        <f t="shared" si="9"/>
        <v>3094029</v>
      </c>
      <c r="G9" s="7">
        <f t="shared" si="9"/>
        <v>4915709</v>
      </c>
      <c r="H9" s="19">
        <f t="shared" si="1"/>
        <v>0.65073114952187761</v>
      </c>
      <c r="I9" s="19">
        <f t="shared" si="2"/>
        <v>0.12733397580192052</v>
      </c>
      <c r="J9" s="19">
        <f t="shared" si="3"/>
        <v>0.27052617013644942</v>
      </c>
      <c r="K9" s="19">
        <f t="shared" si="4"/>
        <v>1.5153005065804637E-2</v>
      </c>
      <c r="L9" s="19">
        <f t="shared" si="5"/>
        <v>7.4221630607321787E-2</v>
      </c>
      <c r="M9" s="19">
        <f t="shared" si="6"/>
        <v>0.58877276198768658</v>
      </c>
      <c r="N9" s="19">
        <f t="shared" si="7"/>
        <v>0.21520150871983659</v>
      </c>
      <c r="P9" s="5" t="s">
        <v>62</v>
      </c>
      <c r="R9" s="6">
        <f>+AVERAGE(Q8:R8)</f>
        <v>2297889.5</v>
      </c>
      <c r="S9" s="6">
        <f t="shared" ref="S9:V9" si="10">+AVERAGE(R8:S8)</f>
        <v>2112332.5</v>
      </c>
      <c r="T9" s="6">
        <f t="shared" si="10"/>
        <v>1984158</v>
      </c>
      <c r="U9" s="6">
        <f t="shared" si="10"/>
        <v>2301901</v>
      </c>
      <c r="V9" s="6">
        <f t="shared" si="10"/>
        <v>2616030</v>
      </c>
    </row>
    <row r="10" spans="1:23" ht="16.5" x14ac:dyDescent="0.25">
      <c r="A10" s="5" t="s">
        <v>9</v>
      </c>
      <c r="B10" s="6">
        <v>2389464</v>
      </c>
      <c r="C10" s="6">
        <v>2198191</v>
      </c>
      <c r="D10" s="6">
        <v>2026474</v>
      </c>
      <c r="E10" s="6">
        <v>1941842</v>
      </c>
      <c r="F10" s="6">
        <v>2661960</v>
      </c>
      <c r="G10" s="6">
        <v>2570100</v>
      </c>
      <c r="H10" s="12">
        <f t="shared" si="1"/>
        <v>0.34022439639656815</v>
      </c>
      <c r="I10" s="12">
        <f t="shared" si="2"/>
        <v>-8.0048496231790889E-2</v>
      </c>
      <c r="J10" s="12">
        <f t="shared" si="3"/>
        <v>-7.8117415638586429E-2</v>
      </c>
      <c r="K10" s="12">
        <f t="shared" si="4"/>
        <v>-4.1763180776067221E-2</v>
      </c>
      <c r="L10" s="12">
        <f t="shared" si="5"/>
        <v>0.37084273591775241</v>
      </c>
      <c r="M10" s="12">
        <f t="shared" si="6"/>
        <v>-3.4508407338953218E-2</v>
      </c>
      <c r="N10" s="12">
        <f t="shared" si="7"/>
        <v>2.7281047186470932E-2</v>
      </c>
      <c r="P10" s="15" t="s">
        <v>63</v>
      </c>
      <c r="R10" s="17">
        <f>+C36/R9</f>
        <v>7.8999490619544588</v>
      </c>
      <c r="S10" s="17">
        <f>+D36/S9</f>
        <v>5.2401745463841509</v>
      </c>
      <c r="T10" s="17">
        <f>+E36/T9</f>
        <v>8.9772044363402514</v>
      </c>
      <c r="U10" s="17">
        <f>+F36/U9</f>
        <v>10.52660518414997</v>
      </c>
      <c r="V10" s="17">
        <f>+G36/V9</f>
        <v>8.0179458951158811</v>
      </c>
      <c r="W10" s="15" t="s">
        <v>68</v>
      </c>
    </row>
    <row r="11" spans="1:23" ht="16.5" x14ac:dyDescent="0.25">
      <c r="A11" s="5" t="s">
        <v>10</v>
      </c>
      <c r="B11" s="6">
        <v>8124</v>
      </c>
      <c r="C11" s="6"/>
      <c r="D11" s="6"/>
      <c r="E11" s="6"/>
      <c r="F11" s="6"/>
      <c r="G11" s="6"/>
      <c r="H11" s="12">
        <f t="shared" si="1"/>
        <v>0</v>
      </c>
      <c r="I11" s="12">
        <f t="shared" si="2"/>
        <v>-1</v>
      </c>
      <c r="J11" s="12"/>
      <c r="K11" s="12"/>
      <c r="L11" s="12"/>
      <c r="M11" s="12"/>
      <c r="N11" s="12"/>
    </row>
    <row r="12" spans="1:23" ht="16.5" x14ac:dyDescent="0.25">
      <c r="A12" s="5" t="s">
        <v>11</v>
      </c>
      <c r="B12" s="6">
        <v>267575</v>
      </c>
      <c r="C12" s="6">
        <v>68300</v>
      </c>
      <c r="D12" s="6">
        <v>223123</v>
      </c>
      <c r="E12" s="6">
        <v>92777</v>
      </c>
      <c r="F12" s="6">
        <v>9888</v>
      </c>
      <c r="G12" s="6">
        <v>26528</v>
      </c>
      <c r="H12" s="12">
        <f t="shared" si="1"/>
        <v>3.51172047298088E-3</v>
      </c>
      <c r="I12" s="12">
        <f t="shared" si="2"/>
        <v>-0.74474446416892459</v>
      </c>
      <c r="J12" s="12">
        <f t="shared" si="3"/>
        <v>2.2668081991215225</v>
      </c>
      <c r="K12" s="12">
        <f t="shared" si="4"/>
        <v>-0.58418898992932156</v>
      </c>
      <c r="L12" s="12">
        <f t="shared" si="5"/>
        <v>-0.89342186102158938</v>
      </c>
      <c r="M12" s="12">
        <f t="shared" si="6"/>
        <v>1.6828478964401294</v>
      </c>
      <c r="N12" s="12">
        <f t="shared" si="7"/>
        <v>0.34546015608836333</v>
      </c>
      <c r="P12" s="5" t="s">
        <v>65</v>
      </c>
      <c r="R12" s="6">
        <f>+AVERAGE(B7:C7)</f>
        <v>680065</v>
      </c>
      <c r="S12" s="6">
        <f>+AVERAGE(C7:D7)</f>
        <v>592814</v>
      </c>
      <c r="T12" s="6">
        <f>+AVERAGE(D7:E7)</f>
        <v>686072.5</v>
      </c>
      <c r="U12" s="6">
        <f>+AVERAGE(E7:F7)</f>
        <v>1029676</v>
      </c>
      <c r="V12" s="6">
        <f>+AVERAGE(F7:G7)</f>
        <v>1227328</v>
      </c>
    </row>
    <row r="13" spans="1:23" ht="16.5" x14ac:dyDescent="0.25">
      <c r="A13" s="5" t="s">
        <v>12</v>
      </c>
      <c r="B13" s="6">
        <v>41794</v>
      </c>
      <c r="C13" s="6">
        <v>41794</v>
      </c>
      <c r="D13" s="6">
        <v>41794</v>
      </c>
      <c r="E13" s="6">
        <v>41794</v>
      </c>
      <c r="F13" s="6">
        <v>41794</v>
      </c>
      <c r="G13" s="6">
        <v>41795</v>
      </c>
      <c r="H13" s="12">
        <f t="shared" si="1"/>
        <v>5.5327336085734275E-3</v>
      </c>
      <c r="I13" s="12">
        <f t="shared" si="2"/>
        <v>0</v>
      </c>
      <c r="J13" s="12">
        <f t="shared" si="3"/>
        <v>0</v>
      </c>
      <c r="K13" s="12">
        <f t="shared" si="4"/>
        <v>0</v>
      </c>
      <c r="L13" s="12">
        <f t="shared" si="5"/>
        <v>0</v>
      </c>
      <c r="M13" s="12">
        <f t="shared" si="6"/>
        <v>2.3926879456404038E-5</v>
      </c>
      <c r="N13" s="12">
        <f t="shared" si="7"/>
        <v>4.7853758912808074E-6</v>
      </c>
      <c r="P13" s="15" t="s">
        <v>66</v>
      </c>
      <c r="R13" s="17">
        <f>+C37/R12</f>
        <v>13.967911890775147</v>
      </c>
      <c r="S13" s="17">
        <f>+D37/S12</f>
        <v>9.985966930605553</v>
      </c>
      <c r="T13" s="17">
        <f>+E37/T12</f>
        <v>13.441575052199294</v>
      </c>
      <c r="U13" s="17">
        <f>+F37/U12</f>
        <v>13.392093240980659</v>
      </c>
      <c r="V13" s="17">
        <f>+G37/V12</f>
        <v>10.740208811336498</v>
      </c>
      <c r="W13" s="15" t="s">
        <v>68</v>
      </c>
    </row>
    <row r="14" spans="1:23" ht="16.5" x14ac:dyDescent="0.25">
      <c r="A14" s="1" t="s">
        <v>13</v>
      </c>
      <c r="B14" s="7">
        <f>SUM(B10:B13)</f>
        <v>2706957</v>
      </c>
      <c r="C14" s="7">
        <f t="shared" ref="C14:G14" si="11">SUM(C10:C13)</f>
        <v>2308285</v>
      </c>
      <c r="D14" s="7">
        <f t="shared" si="11"/>
        <v>2291391</v>
      </c>
      <c r="E14" s="7">
        <f t="shared" si="11"/>
        <v>2076413</v>
      </c>
      <c r="F14" s="7">
        <f t="shared" si="11"/>
        <v>2713642</v>
      </c>
      <c r="G14" s="7">
        <f t="shared" si="11"/>
        <v>2638423</v>
      </c>
      <c r="H14" s="19">
        <f t="shared" si="1"/>
        <v>0.34926885047812245</v>
      </c>
      <c r="I14" s="19">
        <f t="shared" si="2"/>
        <v>-0.14727681304135976</v>
      </c>
      <c r="J14" s="19">
        <f t="shared" si="3"/>
        <v>-7.3188536077650745E-3</v>
      </c>
      <c r="K14" s="19">
        <f t="shared" si="4"/>
        <v>-9.3819867495333664E-2</v>
      </c>
      <c r="L14" s="19">
        <f t="shared" si="5"/>
        <v>0.3068893327098221</v>
      </c>
      <c r="M14" s="19">
        <f t="shared" si="6"/>
        <v>-2.7718836898898203E-2</v>
      </c>
      <c r="N14" s="19">
        <f t="shared" si="7"/>
        <v>6.1509923332930816E-3</v>
      </c>
      <c r="P14" s="15" t="s">
        <v>67</v>
      </c>
      <c r="R14" s="18">
        <f>365/R13</f>
        <v>26.131321764784154</v>
      </c>
      <c r="S14" s="18">
        <f t="shared" ref="S14:V14" si="12">365/S13</f>
        <v>36.55129268266726</v>
      </c>
      <c r="T14" s="18">
        <f t="shared" si="12"/>
        <v>27.154555815263564</v>
      </c>
      <c r="U14" s="18">
        <f t="shared" si="12"/>
        <v>27.254887897813969</v>
      </c>
      <c r="V14" s="18">
        <f t="shared" si="12"/>
        <v>33.984441681872653</v>
      </c>
      <c r="W14" s="15" t="s">
        <v>72</v>
      </c>
    </row>
    <row r="15" spans="1:23" ht="16.5" x14ac:dyDescent="0.25">
      <c r="A15" s="1" t="s">
        <v>14</v>
      </c>
      <c r="B15" s="7">
        <f>+B9+B14</f>
        <v>4687858</v>
      </c>
      <c r="C15" s="7">
        <f t="shared" ref="C15:G15" si="13">+C9+C14</f>
        <v>4541422</v>
      </c>
      <c r="D15" s="7">
        <f t="shared" si="13"/>
        <v>5128650</v>
      </c>
      <c r="E15" s="7">
        <f t="shared" si="13"/>
        <v>4956665</v>
      </c>
      <c r="F15" s="7">
        <f t="shared" si="13"/>
        <v>5807671</v>
      </c>
      <c r="G15" s="7">
        <f t="shared" si="13"/>
        <v>7554132</v>
      </c>
      <c r="H15" s="19">
        <f t="shared" si="1"/>
        <v>1</v>
      </c>
      <c r="I15" s="19">
        <f t="shared" si="2"/>
        <v>-3.1237294303709695E-2</v>
      </c>
      <c r="J15" s="19">
        <f t="shared" si="3"/>
        <v>0.12930487411211722</v>
      </c>
      <c r="K15" s="19">
        <f t="shared" si="4"/>
        <v>-3.353416591110725E-2</v>
      </c>
      <c r="L15" s="19">
        <f t="shared" si="5"/>
        <v>0.1716892305612745</v>
      </c>
      <c r="M15" s="19">
        <f t="shared" si="6"/>
        <v>0.3007162423629024</v>
      </c>
      <c r="N15" s="19">
        <f t="shared" si="7"/>
        <v>0.10738777736429543</v>
      </c>
    </row>
    <row r="16" spans="1:23" ht="16.5" x14ac:dyDescent="0.25">
      <c r="A16" s="5" t="s">
        <v>15</v>
      </c>
      <c r="B16" s="6">
        <v>345902</v>
      </c>
      <c r="C16" s="6">
        <v>326774</v>
      </c>
      <c r="D16" s="6">
        <v>250144</v>
      </c>
      <c r="E16" s="6">
        <v>356219</v>
      </c>
      <c r="F16" s="6">
        <v>340226</v>
      </c>
      <c r="G16" s="6">
        <v>230628</v>
      </c>
      <c r="H16" s="12">
        <f t="shared" si="1"/>
        <v>3.053004633755407E-2</v>
      </c>
      <c r="I16" s="12">
        <f t="shared" si="2"/>
        <v>-5.5298899688351E-2</v>
      </c>
      <c r="J16" s="12">
        <f t="shared" si="3"/>
        <v>-0.23450458114782691</v>
      </c>
      <c r="K16" s="12">
        <f t="shared" si="4"/>
        <v>0.42405574389151846</v>
      </c>
      <c r="L16" s="12">
        <f t="shared" si="5"/>
        <v>-4.4896538365443717E-2</v>
      </c>
      <c r="M16" s="12">
        <f t="shared" si="6"/>
        <v>-0.32213293516662456</v>
      </c>
      <c r="N16" s="12">
        <f t="shared" si="7"/>
        <v>-4.6555442095345546E-2</v>
      </c>
      <c r="P16" s="5" t="s">
        <v>69</v>
      </c>
      <c r="R16" s="6">
        <f>+AVERAGE(B6:C6)</f>
        <v>1062368.5</v>
      </c>
      <c r="S16" s="6">
        <f>+AVERAGE(C6:D6)</f>
        <v>1295771</v>
      </c>
      <c r="T16" s="6">
        <f>+AVERAGE(D6:E6)</f>
        <v>1177297.5</v>
      </c>
      <c r="U16" s="6">
        <f>+AVERAGE(E6:F6)</f>
        <v>1068732</v>
      </c>
      <c r="V16" s="6">
        <f>+AVERAGE(F6:G6)</f>
        <v>2295098.5</v>
      </c>
    </row>
    <row r="17" spans="1:23" ht="16.5" x14ac:dyDescent="0.25">
      <c r="A17" s="5" t="s">
        <v>16</v>
      </c>
      <c r="B17" s="6"/>
      <c r="C17" s="6">
        <v>43630</v>
      </c>
      <c r="D17" s="6">
        <v>52000</v>
      </c>
      <c r="E17" s="6">
        <v>76087</v>
      </c>
      <c r="F17" s="6">
        <v>28249</v>
      </c>
      <c r="G17" s="6">
        <v>9922</v>
      </c>
      <c r="H17" s="12">
        <f t="shared" si="1"/>
        <v>1.313453352416929E-3</v>
      </c>
      <c r="I17" s="12"/>
      <c r="J17" s="12">
        <f t="shared" si="3"/>
        <v>0.19184047673619076</v>
      </c>
      <c r="K17" s="12">
        <f t="shared" si="4"/>
        <v>0.46321153846153851</v>
      </c>
      <c r="L17" s="12">
        <f t="shared" si="5"/>
        <v>-0.62872764072706244</v>
      </c>
      <c r="M17" s="12">
        <f t="shared" si="6"/>
        <v>-0.64876632801161105</v>
      </c>
      <c r="N17" s="12">
        <f t="shared" si="7"/>
        <v>-0.15561048838523606</v>
      </c>
      <c r="P17" s="15" t="s">
        <v>70</v>
      </c>
      <c r="R17" s="17">
        <f>+C36/R16</f>
        <v>17.087488945690691</v>
      </c>
      <c r="S17" s="17">
        <f>+D36/S16</f>
        <v>8.5423975378365462</v>
      </c>
      <c r="T17" s="17">
        <f>+E36/T16</f>
        <v>15.129728891805172</v>
      </c>
      <c r="U17" s="17">
        <f>+F36/U16</f>
        <v>22.672852501843305</v>
      </c>
      <c r="V17" s="17">
        <f>+G36/V16</f>
        <v>9.13912278710478</v>
      </c>
      <c r="W17" s="15" t="s">
        <v>68</v>
      </c>
    </row>
    <row r="18" spans="1:23" ht="16.5" x14ac:dyDescent="0.25">
      <c r="A18" s="5" t="s">
        <v>17</v>
      </c>
      <c r="B18" s="6">
        <v>1502778</v>
      </c>
      <c r="C18" s="6">
        <v>1447607</v>
      </c>
      <c r="D18" s="6">
        <v>1528338</v>
      </c>
      <c r="E18" s="6">
        <v>1667545</v>
      </c>
      <c r="F18" s="6">
        <v>2306970</v>
      </c>
      <c r="G18" s="6">
        <v>2938407</v>
      </c>
      <c r="H18" s="12">
        <f t="shared" si="1"/>
        <v>0.38898009725008775</v>
      </c>
      <c r="I18" s="12">
        <f t="shared" si="2"/>
        <v>-3.6712674792950151E-2</v>
      </c>
      <c r="J18" s="12">
        <f t="shared" si="3"/>
        <v>5.5768589126744983E-2</v>
      </c>
      <c r="K18" s="12">
        <f t="shared" si="4"/>
        <v>9.1083909449349632E-2</v>
      </c>
      <c r="L18" s="12">
        <f t="shared" si="5"/>
        <v>0.3834529203109962</v>
      </c>
      <c r="M18" s="12">
        <f t="shared" si="6"/>
        <v>0.2737083707200354</v>
      </c>
      <c r="N18" s="12">
        <f t="shared" si="7"/>
        <v>0.15346022296283521</v>
      </c>
      <c r="P18" s="15" t="s">
        <v>71</v>
      </c>
      <c r="R18" s="18">
        <f>365/R17</f>
        <v>21.360657564144301</v>
      </c>
      <c r="S18" s="18">
        <f t="shared" ref="S18" si="14">365/S17</f>
        <v>42.728051274050188</v>
      </c>
      <c r="T18" s="18">
        <f t="shared" ref="T18" si="15">365/T17</f>
        <v>24.124688724442226</v>
      </c>
      <c r="U18" s="18">
        <f t="shared" ref="U18" si="16">365/U17</f>
        <v>16.098547810440945</v>
      </c>
      <c r="V18" s="18">
        <f t="shared" ref="V18" si="17">365/V17</f>
        <v>39.938187559424378</v>
      </c>
      <c r="W18" s="15" t="s">
        <v>72</v>
      </c>
    </row>
    <row r="19" spans="1:23" ht="16.5" x14ac:dyDescent="0.25">
      <c r="A19" s="5" t="s">
        <v>18</v>
      </c>
      <c r="B19" s="6">
        <v>400462</v>
      </c>
      <c r="C19" s="6">
        <v>411511</v>
      </c>
      <c r="D19" s="6">
        <v>981</v>
      </c>
      <c r="E19" s="6">
        <v>113419</v>
      </c>
      <c r="F19" s="6">
        <v>464852</v>
      </c>
      <c r="G19" s="6">
        <v>794874</v>
      </c>
      <c r="H19" s="12">
        <f t="shared" si="1"/>
        <v>0.10522373715471214</v>
      </c>
      <c r="I19" s="12">
        <f t="shared" si="2"/>
        <v>2.7590632819094019E-2</v>
      </c>
      <c r="J19" s="12">
        <f t="shared" si="3"/>
        <v>-0.99761610260722067</v>
      </c>
      <c r="K19" s="12">
        <f t="shared" si="4"/>
        <v>114.61569826707441</v>
      </c>
      <c r="L19" s="12">
        <f t="shared" si="5"/>
        <v>3.0985372821132264</v>
      </c>
      <c r="M19" s="12">
        <f t="shared" si="6"/>
        <v>0.70995069398432187</v>
      </c>
      <c r="N19" s="12">
        <f t="shared" si="7"/>
        <v>23.490832154676767</v>
      </c>
    </row>
    <row r="20" spans="1:23" ht="16.5" x14ac:dyDescent="0.25">
      <c r="A20" s="5" t="s">
        <v>19</v>
      </c>
      <c r="B20" s="6">
        <v>154118</v>
      </c>
      <c r="C20" s="6">
        <v>198984</v>
      </c>
      <c r="D20" s="6">
        <v>252951</v>
      </c>
      <c r="E20" s="6">
        <v>75927</v>
      </c>
      <c r="F20" s="6">
        <v>102172</v>
      </c>
      <c r="G20" s="6">
        <v>334073</v>
      </c>
      <c r="H20" s="12">
        <f t="shared" si="1"/>
        <v>4.4223876416244777E-2</v>
      </c>
      <c r="I20" s="12">
        <f t="shared" si="2"/>
        <v>0.29111460050091487</v>
      </c>
      <c r="J20" s="12">
        <f t="shared" si="3"/>
        <v>0.27121276082499102</v>
      </c>
      <c r="K20" s="12">
        <f t="shared" si="4"/>
        <v>-0.69983514593735552</v>
      </c>
      <c r="L20" s="12">
        <f t="shared" si="5"/>
        <v>0.3456609638205117</v>
      </c>
      <c r="M20" s="12">
        <f t="shared" si="6"/>
        <v>2.2697118584347962</v>
      </c>
      <c r="N20" s="12">
        <f t="shared" si="7"/>
        <v>0.49557300752877165</v>
      </c>
      <c r="P20" s="5" t="s">
        <v>73</v>
      </c>
      <c r="R20" s="6">
        <f>+B7</f>
        <v>708288</v>
      </c>
      <c r="S20" s="6">
        <f>+C7</f>
        <v>651842</v>
      </c>
      <c r="T20" s="6">
        <f>+D7</f>
        <v>533786</v>
      </c>
      <c r="U20" s="6">
        <f>+E7</f>
        <v>838359</v>
      </c>
      <c r="V20" s="6">
        <f>+F7</f>
        <v>1220993</v>
      </c>
    </row>
    <row r="21" spans="1:23" ht="16.5" x14ac:dyDescent="0.25">
      <c r="A21" s="5" t="s">
        <v>20</v>
      </c>
      <c r="B21" s="6">
        <v>1330</v>
      </c>
      <c r="C21" s="6">
        <v>14250</v>
      </c>
      <c r="D21" s="6">
        <v>3204</v>
      </c>
      <c r="E21" s="6">
        <v>11475</v>
      </c>
      <c r="F21" s="6">
        <v>8558</v>
      </c>
      <c r="G21" s="6">
        <v>272021</v>
      </c>
      <c r="H21" s="12">
        <f t="shared" si="1"/>
        <v>3.6009564037271256E-2</v>
      </c>
      <c r="I21" s="12">
        <f t="shared" si="2"/>
        <v>9.7142857142857135</v>
      </c>
      <c r="J21" s="12">
        <f t="shared" si="3"/>
        <v>-0.77515789473684205</v>
      </c>
      <c r="K21" s="12">
        <f t="shared" si="4"/>
        <v>2.5814606741573032</v>
      </c>
      <c r="L21" s="12">
        <f t="shared" si="5"/>
        <v>-0.25420479302832244</v>
      </c>
      <c r="M21" s="12">
        <f t="shared" si="6"/>
        <v>30.785580743164292</v>
      </c>
      <c r="N21" s="12">
        <f t="shared" si="7"/>
        <v>8.4103928887684294</v>
      </c>
      <c r="P21" s="5" t="s">
        <v>74</v>
      </c>
      <c r="R21" s="6">
        <f>+C7</f>
        <v>651842</v>
      </c>
      <c r="S21" s="6">
        <f>+D7</f>
        <v>533786</v>
      </c>
      <c r="T21" s="6">
        <f>+E7</f>
        <v>838359</v>
      </c>
      <c r="U21" s="6">
        <f>+F7</f>
        <v>1220993</v>
      </c>
      <c r="V21" s="6">
        <f>+G7</f>
        <v>1233663</v>
      </c>
    </row>
    <row r="22" spans="1:23" ht="16.5" x14ac:dyDescent="0.25">
      <c r="A22" s="1" t="s">
        <v>21</v>
      </c>
      <c r="B22" s="7">
        <f>SUM(B16:B21)</f>
        <v>2404590</v>
      </c>
      <c r="C22" s="7">
        <f t="shared" ref="C22:G22" si="18">SUM(C16:C21)</f>
        <v>2442756</v>
      </c>
      <c r="D22" s="7">
        <f t="shared" si="18"/>
        <v>2087618</v>
      </c>
      <c r="E22" s="7">
        <f t="shared" si="18"/>
        <v>2300672</v>
      </c>
      <c r="F22" s="7">
        <f t="shared" si="18"/>
        <v>3251027</v>
      </c>
      <c r="G22" s="7">
        <f t="shared" si="18"/>
        <v>4579925</v>
      </c>
      <c r="H22" s="19">
        <f t="shared" si="1"/>
        <v>0.60628077454828699</v>
      </c>
      <c r="I22" s="19">
        <f t="shared" si="2"/>
        <v>1.587214452359853E-2</v>
      </c>
      <c r="J22" s="19">
        <f t="shared" si="3"/>
        <v>-0.14538414806882061</v>
      </c>
      <c r="K22" s="19">
        <f t="shared" si="4"/>
        <v>0.10205602749161957</v>
      </c>
      <c r="L22" s="19">
        <f t="shared" si="5"/>
        <v>0.41307713572382321</v>
      </c>
      <c r="M22" s="19">
        <f t="shared" si="6"/>
        <v>0.4087625233503136</v>
      </c>
      <c r="N22" s="19">
        <f t="shared" si="7"/>
        <v>0.15887673660410687</v>
      </c>
      <c r="P22" s="13" t="s">
        <v>75</v>
      </c>
      <c r="R22" s="6">
        <f>+C36+R21-R20</f>
        <v>18096764</v>
      </c>
      <c r="S22" s="6">
        <f>+D36+S21-S20</f>
        <v>10950935</v>
      </c>
      <c r="T22" s="6">
        <f>+E36+T21-T20</f>
        <v>18116765</v>
      </c>
      <c r="U22" s="6">
        <f>+F36+U21-U20</f>
        <v>24613837</v>
      </c>
      <c r="V22" s="6">
        <f>+G36+V21-V20</f>
        <v>20987857</v>
      </c>
    </row>
    <row r="23" spans="1:23" ht="16.5" x14ac:dyDescent="0.25">
      <c r="A23" s="5" t="s">
        <v>87</v>
      </c>
      <c r="B23" s="6">
        <v>457430</v>
      </c>
      <c r="C23" s="6">
        <v>293468</v>
      </c>
      <c r="D23" s="6">
        <v>425715</v>
      </c>
      <c r="E23" s="6">
        <v>480141</v>
      </c>
      <c r="F23" s="6">
        <v>399845</v>
      </c>
      <c r="G23" s="6">
        <v>388299</v>
      </c>
      <c r="H23" s="12">
        <f t="shared" si="1"/>
        <v>5.1402199484997087E-2</v>
      </c>
      <c r="I23" s="12">
        <f t="shared" si="2"/>
        <v>-0.3584417287891043</v>
      </c>
      <c r="J23" s="12">
        <f t="shared" si="3"/>
        <v>0.45063516294791928</v>
      </c>
      <c r="K23" s="12">
        <f t="shared" si="4"/>
        <v>0.12784609421796267</v>
      </c>
      <c r="L23" s="12">
        <f t="shared" si="5"/>
        <v>-0.16723420828464974</v>
      </c>
      <c r="M23" s="12">
        <f t="shared" si="6"/>
        <v>-2.8876189523440288E-2</v>
      </c>
      <c r="N23" s="12">
        <f t="shared" si="7"/>
        <v>4.7858261137375237E-3</v>
      </c>
      <c r="P23" s="5" t="s">
        <v>76</v>
      </c>
      <c r="R23" s="6">
        <f>+AVERAGE(B18:C18)</f>
        <v>1475192.5</v>
      </c>
      <c r="S23" s="6">
        <f>+AVERAGE(C18:D18)</f>
        <v>1487972.5</v>
      </c>
      <c r="T23" s="6">
        <f>+AVERAGE(D18:E18)</f>
        <v>1597941.5</v>
      </c>
      <c r="U23" s="6">
        <f>+AVERAGE(E18:F18)</f>
        <v>1987257.5</v>
      </c>
      <c r="V23" s="6">
        <f>+AVERAGE(F18:G18)</f>
        <v>2622688.5</v>
      </c>
    </row>
    <row r="24" spans="1:23" ht="16.5" x14ac:dyDescent="0.25">
      <c r="A24" s="5" t="s">
        <v>22</v>
      </c>
      <c r="B24" s="6">
        <v>1172414</v>
      </c>
      <c r="C24" s="6">
        <v>911251</v>
      </c>
      <c r="D24" s="6">
        <v>1828456</v>
      </c>
      <c r="E24" s="6">
        <v>1152944</v>
      </c>
      <c r="F24" s="6">
        <v>1235169</v>
      </c>
      <c r="G24" s="6">
        <v>1490239</v>
      </c>
      <c r="H24" s="12">
        <f t="shared" si="1"/>
        <v>0.19727468357714692</v>
      </c>
      <c r="I24" s="12">
        <f t="shared" si="2"/>
        <v>-0.22275663716059346</v>
      </c>
      <c r="J24" s="12">
        <f t="shared" si="3"/>
        <v>1.0065338748599455</v>
      </c>
      <c r="K24" s="12">
        <f t="shared" si="4"/>
        <v>-0.3694439461491007</v>
      </c>
      <c r="L24" s="12">
        <f t="shared" si="5"/>
        <v>7.1317427385892085E-2</v>
      </c>
      <c r="M24" s="12">
        <f t="shared" si="6"/>
        <v>0.20650615421857244</v>
      </c>
      <c r="N24" s="12">
        <f t="shared" si="7"/>
        <v>0.13843137463094318</v>
      </c>
      <c r="P24" s="15" t="s">
        <v>77</v>
      </c>
      <c r="R24" s="17">
        <f>+R22/R23</f>
        <v>12.267391543815469</v>
      </c>
      <c r="S24" s="17">
        <f t="shared" ref="S24:V24" si="19">+S22/S23</f>
        <v>7.3596353427230676</v>
      </c>
      <c r="T24" s="17">
        <f t="shared" si="19"/>
        <v>11.337564610469157</v>
      </c>
      <c r="U24" s="17">
        <f t="shared" si="19"/>
        <v>12.38583173041239</v>
      </c>
      <c r="V24" s="17">
        <f t="shared" si="19"/>
        <v>8.0024207983525297</v>
      </c>
      <c r="W24" s="15" t="s">
        <v>68</v>
      </c>
    </row>
    <row r="25" spans="1:23" ht="16.5" x14ac:dyDescent="0.25">
      <c r="A25" s="1" t="s">
        <v>23</v>
      </c>
      <c r="B25" s="7">
        <f>SUM(B23:B24)</f>
        <v>1629844</v>
      </c>
      <c r="C25" s="7">
        <f t="shared" ref="C25:G25" si="20">SUM(C23:C24)</f>
        <v>1204719</v>
      </c>
      <c r="D25" s="7">
        <f t="shared" si="20"/>
        <v>2254171</v>
      </c>
      <c r="E25" s="7">
        <f t="shared" si="20"/>
        <v>1633085</v>
      </c>
      <c r="F25" s="7">
        <f t="shared" si="20"/>
        <v>1635014</v>
      </c>
      <c r="G25" s="7">
        <f t="shared" si="20"/>
        <v>1878538</v>
      </c>
      <c r="H25" s="19">
        <f t="shared" si="1"/>
        <v>0.248676883062144</v>
      </c>
      <c r="I25" s="19">
        <f t="shared" si="2"/>
        <v>-0.26083784705775526</v>
      </c>
      <c r="J25" s="19">
        <f t="shared" si="3"/>
        <v>0.87111766312310168</v>
      </c>
      <c r="K25" s="19">
        <f t="shared" si="4"/>
        <v>-0.27552745554795977</v>
      </c>
      <c r="L25" s="19">
        <f t="shared" si="5"/>
        <v>1.1811999987754174E-3</v>
      </c>
      <c r="M25" s="19">
        <f t="shared" si="6"/>
        <v>0.14894306715416494</v>
      </c>
      <c r="N25" s="19">
        <f t="shared" si="7"/>
        <v>9.6975325534065404E-2</v>
      </c>
      <c r="P25" s="15" t="s">
        <v>78</v>
      </c>
      <c r="R25" s="18">
        <f>365/R24</f>
        <v>29.753676541286605</v>
      </c>
      <c r="S25" s="18">
        <f t="shared" ref="S25" si="21">365/S24</f>
        <v>49.59484852206684</v>
      </c>
      <c r="T25" s="18">
        <f t="shared" ref="T25" si="22">365/T24</f>
        <v>32.193862839198943</v>
      </c>
      <c r="U25" s="18">
        <f t="shared" ref="U25" si="23">365/U24</f>
        <v>29.469155398242055</v>
      </c>
      <c r="V25" s="18">
        <f t="shared" ref="V25" si="24">365/V24</f>
        <v>45.611198060859671</v>
      </c>
      <c r="W25" s="15" t="s">
        <v>72</v>
      </c>
    </row>
    <row r="26" spans="1:23" ht="16.5" x14ac:dyDescent="0.25">
      <c r="A26" s="1" t="s">
        <v>24</v>
      </c>
      <c r="B26" s="7">
        <f>+B22+B25</f>
        <v>4034434</v>
      </c>
      <c r="C26" s="7">
        <f t="shared" ref="C26:G26" si="25">+C22+C25</f>
        <v>3647475</v>
      </c>
      <c r="D26" s="7">
        <f t="shared" si="25"/>
        <v>4341789</v>
      </c>
      <c r="E26" s="7">
        <f t="shared" si="25"/>
        <v>3933757</v>
      </c>
      <c r="F26" s="7">
        <f t="shared" si="25"/>
        <v>4886041</v>
      </c>
      <c r="G26" s="7">
        <f t="shared" si="25"/>
        <v>6458463</v>
      </c>
      <c r="H26" s="19">
        <f>+G26/$G$15</f>
        <v>0.85495765761043097</v>
      </c>
      <c r="I26" s="19">
        <f t="shared" si="2"/>
        <v>-9.5914073696583002E-2</v>
      </c>
      <c r="J26" s="19">
        <f t="shared" si="3"/>
        <v>0.19035469742767264</v>
      </c>
      <c r="K26" s="19">
        <f t="shared" si="4"/>
        <v>-9.3977851065540019E-2</v>
      </c>
      <c r="L26" s="19">
        <f t="shared" si="5"/>
        <v>0.24208002680389251</v>
      </c>
      <c r="M26" s="19">
        <f t="shared" si="6"/>
        <v>0.3218192397484998</v>
      </c>
      <c r="N26" s="19">
        <f t="shared" si="7"/>
        <v>0.11287240784358839</v>
      </c>
    </row>
    <row r="27" spans="1:23" ht="16.5" x14ac:dyDescent="0.25">
      <c r="A27" s="5" t="s">
        <v>25</v>
      </c>
      <c r="B27" s="6">
        <v>90000</v>
      </c>
      <c r="C27" s="6">
        <v>90000</v>
      </c>
      <c r="D27" s="6">
        <v>90000</v>
      </c>
      <c r="E27" s="6">
        <v>90000</v>
      </c>
      <c r="F27" s="6">
        <v>90000</v>
      </c>
      <c r="G27" s="6">
        <v>90000</v>
      </c>
      <c r="H27" s="12">
        <f t="shared" si="1"/>
        <v>1.1914009445426688E-2</v>
      </c>
      <c r="I27" s="12">
        <f t="shared" si="2"/>
        <v>0</v>
      </c>
      <c r="J27" s="12">
        <f t="shared" si="3"/>
        <v>0</v>
      </c>
      <c r="K27" s="12">
        <f>+E27/D27-1</f>
        <v>0</v>
      </c>
      <c r="L27" s="12">
        <f t="shared" si="5"/>
        <v>0</v>
      </c>
      <c r="M27" s="12">
        <f t="shared" si="6"/>
        <v>0</v>
      </c>
      <c r="N27" s="12">
        <f t="shared" si="7"/>
        <v>0</v>
      </c>
      <c r="P27" s="15" t="s">
        <v>79</v>
      </c>
      <c r="Q27" s="14"/>
      <c r="R27" s="18">
        <f>+R14+R18-R25</f>
        <v>17.738302787641846</v>
      </c>
      <c r="S27" s="18">
        <f t="shared" ref="S27:V27" si="26">+S14+S18-S25</f>
        <v>29.6844954346506</v>
      </c>
      <c r="T27" s="18">
        <f t="shared" si="26"/>
        <v>19.085381700506844</v>
      </c>
      <c r="U27" s="18">
        <f t="shared" si="26"/>
        <v>13.884280310012858</v>
      </c>
      <c r="V27" s="18">
        <f t="shared" si="26"/>
        <v>28.31143118043736</v>
      </c>
      <c r="W27" s="15" t="s">
        <v>72</v>
      </c>
    </row>
    <row r="28" spans="1:23" ht="16.5" x14ac:dyDescent="0.25">
      <c r="A28" s="5" t="s">
        <v>26</v>
      </c>
      <c r="B28" s="6">
        <v>247449</v>
      </c>
      <c r="C28" s="6">
        <v>247449</v>
      </c>
      <c r="D28" s="6">
        <v>247449</v>
      </c>
      <c r="E28" s="6">
        <v>247449</v>
      </c>
      <c r="F28" s="6">
        <v>247449</v>
      </c>
      <c r="G28" s="6">
        <v>247449</v>
      </c>
      <c r="H28" s="12">
        <f t="shared" si="1"/>
        <v>3.275677470290432E-2</v>
      </c>
      <c r="I28" s="12">
        <f t="shared" si="2"/>
        <v>0</v>
      </c>
      <c r="J28" s="12">
        <f t="shared" si="3"/>
        <v>0</v>
      </c>
      <c r="K28" s="12">
        <f t="shared" si="4"/>
        <v>0</v>
      </c>
      <c r="L28" s="12">
        <f t="shared" si="5"/>
        <v>0</v>
      </c>
      <c r="M28" s="12">
        <f t="shared" si="6"/>
        <v>0</v>
      </c>
      <c r="N28" s="12">
        <f t="shared" si="7"/>
        <v>0</v>
      </c>
    </row>
    <row r="29" spans="1:23" ht="16.5" x14ac:dyDescent="0.25">
      <c r="A29" s="5" t="s">
        <v>27</v>
      </c>
      <c r="B29" s="6">
        <v>50000</v>
      </c>
      <c r="C29" s="6">
        <v>50000</v>
      </c>
      <c r="D29" s="6">
        <v>50000</v>
      </c>
      <c r="E29" s="6">
        <v>50000</v>
      </c>
      <c r="F29" s="6">
        <v>50000</v>
      </c>
      <c r="G29" s="6">
        <v>50000</v>
      </c>
      <c r="H29" s="12">
        <f t="shared" si="1"/>
        <v>6.6188941363481604E-3</v>
      </c>
      <c r="I29" s="12">
        <f t="shared" si="2"/>
        <v>0</v>
      </c>
      <c r="J29" s="12">
        <f t="shared" si="3"/>
        <v>0</v>
      </c>
      <c r="K29" s="12">
        <f t="shared" si="4"/>
        <v>0</v>
      </c>
      <c r="L29" s="12">
        <f t="shared" si="5"/>
        <v>0</v>
      </c>
      <c r="M29" s="12">
        <f t="shared" si="6"/>
        <v>0</v>
      </c>
      <c r="N29" s="12">
        <f t="shared" si="7"/>
        <v>0</v>
      </c>
      <c r="P29" s="5" t="s">
        <v>80</v>
      </c>
      <c r="Q29" s="6">
        <f t="shared" ref="Q29:V29" si="27">+B5+B6+B7-B18-B19</f>
        <v>62828</v>
      </c>
      <c r="R29" s="6">
        <f t="shared" si="27"/>
        <v>343729</v>
      </c>
      <c r="S29" s="6">
        <f t="shared" si="27"/>
        <v>1271028</v>
      </c>
      <c r="T29" s="6">
        <f t="shared" si="27"/>
        <v>1033661</v>
      </c>
      <c r="U29" s="6">
        <f t="shared" si="27"/>
        <v>279966</v>
      </c>
      <c r="V29" s="6">
        <f t="shared" si="27"/>
        <v>1137878</v>
      </c>
    </row>
    <row r="30" spans="1:23" ht="16.5" x14ac:dyDescent="0.25">
      <c r="A30" s="5" t="s">
        <v>28</v>
      </c>
      <c r="B30" s="6">
        <v>265975</v>
      </c>
      <c r="C30" s="6">
        <v>506498</v>
      </c>
      <c r="D30" s="6">
        <v>399412</v>
      </c>
      <c r="E30" s="6">
        <v>635459</v>
      </c>
      <c r="F30" s="6">
        <v>534181</v>
      </c>
      <c r="G30" s="6">
        <v>708220</v>
      </c>
      <c r="H30" s="12">
        <f t="shared" si="1"/>
        <v>9.3752664104889874E-2</v>
      </c>
      <c r="I30" s="12">
        <f t="shared" si="2"/>
        <v>0.90430679575148032</v>
      </c>
      <c r="J30" s="12">
        <f t="shared" si="3"/>
        <v>-0.21142432941492362</v>
      </c>
      <c r="K30" s="12">
        <f t="shared" si="4"/>
        <v>0.59098624978718717</v>
      </c>
      <c r="L30" s="12">
        <f t="shared" si="5"/>
        <v>-0.15937770965554032</v>
      </c>
      <c r="M30" s="12">
        <f t="shared" si="6"/>
        <v>0.32580529820416682</v>
      </c>
      <c r="N30" s="12">
        <f t="shared" si="7"/>
        <v>0.29005926093447409</v>
      </c>
      <c r="P30" s="5" t="s">
        <v>81</v>
      </c>
      <c r="R30" s="6">
        <f>+AVERAGE(Q29:R29)</f>
        <v>203278.5</v>
      </c>
      <c r="S30" s="6">
        <f t="shared" ref="S30:V30" si="28">+AVERAGE(R29:S29)</f>
        <v>807378.5</v>
      </c>
      <c r="T30" s="6">
        <f t="shared" si="28"/>
        <v>1152344.5</v>
      </c>
      <c r="U30" s="6">
        <f t="shared" si="28"/>
        <v>656813.5</v>
      </c>
      <c r="V30" s="6">
        <f t="shared" si="28"/>
        <v>708922</v>
      </c>
    </row>
    <row r="31" spans="1:23" ht="16.5" x14ac:dyDescent="0.25">
      <c r="A31" s="1" t="s">
        <v>29</v>
      </c>
      <c r="B31" s="7">
        <f>SUM(B27:B30)</f>
        <v>653424</v>
      </c>
      <c r="C31" s="7">
        <f t="shared" ref="C31:G31" si="29">SUM(C27:C30)</f>
        <v>893947</v>
      </c>
      <c r="D31" s="7">
        <f t="shared" si="29"/>
        <v>786861</v>
      </c>
      <c r="E31" s="7">
        <f t="shared" si="29"/>
        <v>1022908</v>
      </c>
      <c r="F31" s="7">
        <f t="shared" si="29"/>
        <v>921630</v>
      </c>
      <c r="G31" s="7">
        <f t="shared" si="29"/>
        <v>1095669</v>
      </c>
      <c r="H31" s="19">
        <f t="shared" si="1"/>
        <v>0.14504234238956903</v>
      </c>
      <c r="I31" s="19">
        <f t="shared" si="2"/>
        <v>0.36809636621856567</v>
      </c>
      <c r="J31" s="19">
        <f t="shared" si="3"/>
        <v>-0.11979009941305241</v>
      </c>
      <c r="K31" s="19">
        <f t="shared" si="4"/>
        <v>0.29998563914083931</v>
      </c>
      <c r="L31" s="19">
        <f t="shared" si="5"/>
        <v>-9.9009881631583641E-2</v>
      </c>
      <c r="M31" s="19">
        <f t="shared" si="6"/>
        <v>0.18883825396308707</v>
      </c>
      <c r="N31" s="19">
        <f t="shared" si="7"/>
        <v>0.12762405565557119</v>
      </c>
      <c r="P31" s="15" t="s">
        <v>82</v>
      </c>
      <c r="R31" s="18">
        <f>+C36/R30</f>
        <v>89.302164272168483</v>
      </c>
      <c r="S31" s="18">
        <f>+D36/S30</f>
        <v>13.709791628090171</v>
      </c>
      <c r="T31" s="18">
        <f>+E36/T30</f>
        <v>15.457349776911332</v>
      </c>
      <c r="U31" s="18">
        <f>+F36/U30</f>
        <v>36.892059922641664</v>
      </c>
      <c r="V31" s="18">
        <f>+G36/V30</f>
        <v>29.587439802968451</v>
      </c>
    </row>
    <row r="32" spans="1:23" ht="16.5" x14ac:dyDescent="0.25">
      <c r="A32" s="1" t="s">
        <v>30</v>
      </c>
      <c r="B32" s="7">
        <f>+B26+B31</f>
        <v>4687858</v>
      </c>
      <c r="C32" s="7">
        <v>4541422</v>
      </c>
      <c r="D32" s="7">
        <v>5128650</v>
      </c>
      <c r="E32" s="7">
        <v>4956665</v>
      </c>
      <c r="F32" s="7">
        <v>5807671</v>
      </c>
      <c r="G32" s="7">
        <v>7554132</v>
      </c>
      <c r="H32" s="19">
        <f t="shared" si="1"/>
        <v>1</v>
      </c>
      <c r="I32" s="19">
        <f t="shared" si="2"/>
        <v>-3.1237294303709695E-2</v>
      </c>
      <c r="J32" s="19">
        <f t="shared" si="3"/>
        <v>0.12930487411211722</v>
      </c>
      <c r="K32" s="19">
        <f t="shared" si="4"/>
        <v>-3.353416591110725E-2</v>
      </c>
      <c r="L32" s="19">
        <f t="shared" si="5"/>
        <v>0.1716892305612745</v>
      </c>
      <c r="M32" s="19">
        <f t="shared" si="6"/>
        <v>0.3007162423629024</v>
      </c>
      <c r="N32" s="19">
        <f t="shared" si="7"/>
        <v>0.10738777736429543</v>
      </c>
    </row>
    <row r="33" spans="1:22" x14ac:dyDescent="0.25">
      <c r="B33" s="2" t="b">
        <f>+B32=B15</f>
        <v>1</v>
      </c>
      <c r="C33" s="2" t="b">
        <f t="shared" ref="C33:G33" si="30">+C32=C15</f>
        <v>1</v>
      </c>
      <c r="D33" s="2" t="b">
        <f t="shared" si="30"/>
        <v>1</v>
      </c>
      <c r="E33" s="2" t="b">
        <f t="shared" si="30"/>
        <v>1</v>
      </c>
      <c r="F33" s="2" t="b">
        <f t="shared" si="30"/>
        <v>1</v>
      </c>
      <c r="G33" s="2" t="b">
        <f t="shared" si="30"/>
        <v>1</v>
      </c>
      <c r="Q33" s="16"/>
      <c r="R33" s="16"/>
      <c r="S33" s="16"/>
      <c r="T33" s="16"/>
      <c r="U33" s="16"/>
      <c r="V33" s="16"/>
    </row>
    <row r="34" spans="1:22" ht="16.5" x14ac:dyDescent="0.25">
      <c r="B34" s="8"/>
      <c r="C34" s="8"/>
      <c r="D34" s="8"/>
      <c r="E34" s="8"/>
      <c r="F34" s="8"/>
      <c r="G34" s="8"/>
      <c r="H34"/>
      <c r="I34" s="23" t="s">
        <v>83</v>
      </c>
      <c r="J34" s="24"/>
      <c r="K34" s="24"/>
      <c r="L34" s="24"/>
      <c r="M34" s="24"/>
      <c r="N34"/>
    </row>
    <row r="35" spans="1:22" ht="16.5" x14ac:dyDescent="0.25">
      <c r="A35" s="5"/>
      <c r="B35" s="4">
        <v>2018</v>
      </c>
      <c r="C35" s="4">
        <v>2019</v>
      </c>
      <c r="D35" s="4">
        <v>2020</v>
      </c>
      <c r="E35" s="4">
        <v>2021</v>
      </c>
      <c r="F35" s="4">
        <v>2022</v>
      </c>
      <c r="G35" s="4">
        <v>2023</v>
      </c>
      <c r="H35" s="4" t="s">
        <v>84</v>
      </c>
      <c r="I35" s="4">
        <v>2019</v>
      </c>
      <c r="J35" s="4">
        <v>2020</v>
      </c>
      <c r="K35" s="4">
        <v>2021</v>
      </c>
      <c r="L35" s="4">
        <v>2022</v>
      </c>
      <c r="M35" s="4" t="s">
        <v>86</v>
      </c>
      <c r="N35" s="4" t="s">
        <v>85</v>
      </c>
    </row>
    <row r="36" spans="1:22" ht="16.5" x14ac:dyDescent="0.25">
      <c r="A36" s="5" t="s">
        <v>31</v>
      </c>
      <c r="B36" s="6">
        <v>17348296</v>
      </c>
      <c r="C36" s="6">
        <v>18153210</v>
      </c>
      <c r="D36" s="6">
        <v>11068991</v>
      </c>
      <c r="E36" s="6">
        <v>17812192</v>
      </c>
      <c r="F36" s="6">
        <v>24231203</v>
      </c>
      <c r="G36" s="6">
        <v>20975187</v>
      </c>
      <c r="H36" s="12">
        <f>+G36/$G$36</f>
        <v>1</v>
      </c>
      <c r="I36" s="12">
        <f>+C36/B36-1</f>
        <v>4.6397294581554283E-2</v>
      </c>
      <c r="J36" s="12">
        <f t="shared" ref="J36:M36" si="31">+D36/C36-1</f>
        <v>-0.39024607769094277</v>
      </c>
      <c r="K36" s="12">
        <f t="shared" si="31"/>
        <v>0.60919744175417612</v>
      </c>
      <c r="L36" s="12">
        <f t="shared" si="31"/>
        <v>0.36037176109487246</v>
      </c>
      <c r="M36" s="12">
        <f t="shared" si="31"/>
        <v>-0.13437285800461496</v>
      </c>
      <c r="N36" s="12">
        <f>+AVERAGE(I36:M36)</f>
        <v>9.8269512347009022E-2</v>
      </c>
    </row>
    <row r="37" spans="1:22" ht="16.5" x14ac:dyDescent="0.25">
      <c r="A37" s="5" t="s">
        <v>32</v>
      </c>
      <c r="B37" s="6">
        <v>9228072</v>
      </c>
      <c r="C37" s="6">
        <v>9499088</v>
      </c>
      <c r="D37" s="6">
        <v>5919821</v>
      </c>
      <c r="E37" s="6">
        <v>9221895</v>
      </c>
      <c r="F37" s="6">
        <v>13789517</v>
      </c>
      <c r="G37" s="6">
        <v>13181759</v>
      </c>
      <c r="H37" s="12">
        <f t="shared" ref="H37:H48" si="32">+G37/$G$36</f>
        <v>0.62844536260868611</v>
      </c>
      <c r="I37" s="12">
        <f t="shared" ref="I37:I48" si="33">+C37/B37-1</f>
        <v>2.9368648185666535E-2</v>
      </c>
      <c r="J37" s="12">
        <f t="shared" ref="J37:J48" si="34">+D37/C37-1</f>
        <v>-0.37680112027596757</v>
      </c>
      <c r="K37" s="12">
        <f t="shared" ref="K37:K48" si="35">+E37/D37-1</f>
        <v>0.55779963617143147</v>
      </c>
      <c r="L37" s="12">
        <f t="shared" ref="L37:L48" si="36">+F37/E37-1</f>
        <v>0.49530188751878002</v>
      </c>
      <c r="M37" s="12">
        <f t="shared" ref="M37:M48" si="37">+G37/F37-1</f>
        <v>-4.4073914989190666E-2</v>
      </c>
      <c r="N37" s="12">
        <f t="shared" ref="N37:N48" si="38">+AVERAGE(I37:M37)</f>
        <v>0.13231902732214396</v>
      </c>
    </row>
    <row r="38" spans="1:22" ht="16.5" x14ac:dyDescent="0.25">
      <c r="A38" s="1" t="s">
        <v>33</v>
      </c>
      <c r="B38" s="7">
        <f>+B36-B37</f>
        <v>8120224</v>
      </c>
      <c r="C38" s="7">
        <f t="shared" ref="C38:G38" si="39">+C36-C37</f>
        <v>8654122</v>
      </c>
      <c r="D38" s="7">
        <f t="shared" si="39"/>
        <v>5149170</v>
      </c>
      <c r="E38" s="7">
        <f t="shared" si="39"/>
        <v>8590297</v>
      </c>
      <c r="F38" s="7">
        <f t="shared" si="39"/>
        <v>10441686</v>
      </c>
      <c r="G38" s="7">
        <f t="shared" si="39"/>
        <v>7793428</v>
      </c>
      <c r="H38" s="19">
        <f t="shared" si="32"/>
        <v>0.37155463739131384</v>
      </c>
      <c r="I38" s="19">
        <f t="shared" si="33"/>
        <v>6.5749171451428001E-2</v>
      </c>
      <c r="J38" s="19">
        <f t="shared" si="34"/>
        <v>-0.40500376583551745</v>
      </c>
      <c r="K38" s="19">
        <f t="shared" si="35"/>
        <v>0.66828770462035636</v>
      </c>
      <c r="L38" s="19">
        <f t="shared" si="36"/>
        <v>0.21552095346645173</v>
      </c>
      <c r="M38" s="19">
        <f t="shared" si="37"/>
        <v>-0.25362360063307787</v>
      </c>
      <c r="N38" s="19">
        <f t="shared" si="38"/>
        <v>5.8186092613928153E-2</v>
      </c>
    </row>
    <row r="39" spans="1:22" ht="16.5" x14ac:dyDescent="0.25">
      <c r="A39" s="5" t="s">
        <v>34</v>
      </c>
      <c r="B39" s="6">
        <v>172327</v>
      </c>
      <c r="C39" s="6">
        <v>150609</v>
      </c>
      <c r="D39" s="6">
        <v>528408</v>
      </c>
      <c r="E39" s="6">
        <v>435585</v>
      </c>
      <c r="F39" s="6">
        <v>402284</v>
      </c>
      <c r="G39" s="6">
        <v>623291</v>
      </c>
      <c r="H39" s="12">
        <f t="shared" si="32"/>
        <v>2.9715634954768221E-2</v>
      </c>
      <c r="I39" s="12">
        <f t="shared" si="33"/>
        <v>-0.12602784241587217</v>
      </c>
      <c r="J39" s="12">
        <f t="shared" si="34"/>
        <v>2.5084755891082207</v>
      </c>
      <c r="K39" s="12">
        <f t="shared" si="35"/>
        <v>-0.17566539492210564</v>
      </c>
      <c r="L39" s="12">
        <f t="shared" si="36"/>
        <v>-7.6451209293249334E-2</v>
      </c>
      <c r="M39" s="12">
        <f t="shared" si="37"/>
        <v>0.54938053713297075</v>
      </c>
      <c r="N39" s="12">
        <f t="shared" si="38"/>
        <v>0.53594233592199281</v>
      </c>
    </row>
    <row r="40" spans="1:22" ht="16.5" x14ac:dyDescent="0.25">
      <c r="A40" s="5" t="s">
        <v>35</v>
      </c>
      <c r="B40" s="6">
        <v>4819044</v>
      </c>
      <c r="C40" s="6">
        <v>5119509</v>
      </c>
      <c r="D40" s="6">
        <v>3633479</v>
      </c>
      <c r="E40" s="6">
        <v>5391907</v>
      </c>
      <c r="F40" s="6">
        <v>6911513</v>
      </c>
      <c r="G40" s="6">
        <v>4210176</v>
      </c>
      <c r="H40" s="12">
        <f t="shared" si="32"/>
        <v>0.20072173849987607</v>
      </c>
      <c r="I40" s="12">
        <f t="shared" si="33"/>
        <v>6.2349503345476842E-2</v>
      </c>
      <c r="J40" s="12">
        <f t="shared" si="34"/>
        <v>-0.2902680706294295</v>
      </c>
      <c r="K40" s="12">
        <f t="shared" si="35"/>
        <v>0.48395160671081361</v>
      </c>
      <c r="L40" s="12">
        <f t="shared" si="36"/>
        <v>0.28183089953146445</v>
      </c>
      <c r="M40" s="12">
        <f t="shared" si="37"/>
        <v>-0.3908459696162041</v>
      </c>
      <c r="N40" s="12">
        <f t="shared" si="38"/>
        <v>2.9403593868424262E-2</v>
      </c>
    </row>
    <row r="41" spans="1:22" ht="16.5" x14ac:dyDescent="0.25">
      <c r="A41" s="5" t="s">
        <v>36</v>
      </c>
      <c r="B41" s="6">
        <v>2831169</v>
      </c>
      <c r="C41" s="6">
        <v>2761557</v>
      </c>
      <c r="D41" s="6">
        <v>1855375</v>
      </c>
      <c r="E41" s="6">
        <v>2640630</v>
      </c>
      <c r="F41" s="6">
        <v>3275805</v>
      </c>
      <c r="G41" s="6">
        <v>3222850</v>
      </c>
      <c r="H41" s="12">
        <f t="shared" si="32"/>
        <v>0.15365059677417894</v>
      </c>
      <c r="I41" s="12">
        <f t="shared" si="33"/>
        <v>-2.4587723304401843E-2</v>
      </c>
      <c r="J41" s="12">
        <f t="shared" si="34"/>
        <v>-0.32814169687607386</v>
      </c>
      <c r="K41" s="12">
        <f t="shared" si="35"/>
        <v>0.42323250016842962</v>
      </c>
      <c r="L41" s="12">
        <f t="shared" si="36"/>
        <v>0.24053918951159381</v>
      </c>
      <c r="M41" s="12">
        <f t="shared" si="37"/>
        <v>-1.6165492146205329E-2</v>
      </c>
      <c r="N41" s="12">
        <f t="shared" si="38"/>
        <v>5.8975355470668477E-2</v>
      </c>
    </row>
    <row r="42" spans="1:22" ht="16.5" x14ac:dyDescent="0.25">
      <c r="A42" s="5" t="s">
        <v>37</v>
      </c>
      <c r="B42" s="6">
        <v>140727</v>
      </c>
      <c r="C42" s="6">
        <v>140699</v>
      </c>
      <c r="D42" s="6">
        <v>90434</v>
      </c>
      <c r="E42" s="6">
        <v>198826</v>
      </c>
      <c r="F42" s="6">
        <v>214571</v>
      </c>
      <c r="G42" s="6">
        <v>147999</v>
      </c>
      <c r="H42" s="12">
        <f t="shared" si="32"/>
        <v>7.0559084884439889E-3</v>
      </c>
      <c r="I42" s="12">
        <f t="shared" si="33"/>
        <v>-1.9896679386333105E-4</v>
      </c>
      <c r="J42" s="12">
        <f t="shared" si="34"/>
        <v>-0.35725200605548013</v>
      </c>
      <c r="K42" s="12">
        <f t="shared" si="35"/>
        <v>1.1985757569055888</v>
      </c>
      <c r="L42" s="12">
        <f t="shared" si="36"/>
        <v>7.918984438654908E-2</v>
      </c>
      <c r="M42" s="12">
        <f t="shared" si="37"/>
        <v>-0.31025627880748097</v>
      </c>
      <c r="N42" s="12">
        <f t="shared" si="38"/>
        <v>0.12201166992706269</v>
      </c>
    </row>
    <row r="43" spans="1:22" ht="16.5" x14ac:dyDescent="0.25">
      <c r="A43" s="1" t="s">
        <v>38</v>
      </c>
      <c r="B43" s="7">
        <f>+B38+B39-B40-B41-B42</f>
        <v>501611</v>
      </c>
      <c r="C43" s="7">
        <f t="shared" ref="C43:G43" si="40">+C38+C39-C40-C41-C42</f>
        <v>782966</v>
      </c>
      <c r="D43" s="7">
        <f t="shared" si="40"/>
        <v>98290</v>
      </c>
      <c r="E43" s="7">
        <f t="shared" si="40"/>
        <v>794519</v>
      </c>
      <c r="F43" s="7">
        <f t="shared" si="40"/>
        <v>442081</v>
      </c>
      <c r="G43" s="7">
        <f t="shared" si="40"/>
        <v>835694</v>
      </c>
      <c r="H43" s="19">
        <f t="shared" si="32"/>
        <v>3.9842028583583072E-2</v>
      </c>
      <c r="I43" s="19">
        <f t="shared" si="33"/>
        <v>0.56090277127096488</v>
      </c>
      <c r="J43" s="19">
        <f t="shared" si="34"/>
        <v>-0.87446453613566866</v>
      </c>
      <c r="K43" s="19">
        <f t="shared" si="35"/>
        <v>7.0834164207956043</v>
      </c>
      <c r="L43" s="19">
        <f t="shared" si="36"/>
        <v>-0.44358662284979966</v>
      </c>
      <c r="M43" s="19">
        <f t="shared" si="37"/>
        <v>0.89036398307097575</v>
      </c>
      <c r="N43" s="19">
        <f t="shared" si="38"/>
        <v>1.4433264032304152</v>
      </c>
    </row>
    <row r="44" spans="1:22" ht="16.5" x14ac:dyDescent="0.25">
      <c r="A44" s="5" t="s">
        <v>39</v>
      </c>
      <c r="B44" s="6">
        <v>826</v>
      </c>
      <c r="C44" s="6">
        <v>985</v>
      </c>
      <c r="D44" s="6">
        <v>640</v>
      </c>
      <c r="E44" s="6">
        <v>429</v>
      </c>
      <c r="F44" s="6">
        <v>4482</v>
      </c>
      <c r="G44" s="6">
        <v>7647</v>
      </c>
      <c r="H44" s="12">
        <f t="shared" si="32"/>
        <v>3.6457362692404125E-4</v>
      </c>
      <c r="I44" s="12">
        <f t="shared" si="33"/>
        <v>0.19249394673123477</v>
      </c>
      <c r="J44" s="12">
        <f t="shared" si="34"/>
        <v>-0.35025380710659904</v>
      </c>
      <c r="K44" s="12">
        <f t="shared" si="35"/>
        <v>-0.32968750000000002</v>
      </c>
      <c r="L44" s="12">
        <f t="shared" si="36"/>
        <v>9.4475524475524484</v>
      </c>
      <c r="M44" s="12">
        <f t="shared" si="37"/>
        <v>0.70615796519410967</v>
      </c>
      <c r="N44" s="12">
        <f t="shared" si="38"/>
        <v>1.9332526104742385</v>
      </c>
    </row>
    <row r="45" spans="1:22" ht="16.5" x14ac:dyDescent="0.25">
      <c r="A45" s="5" t="s">
        <v>40</v>
      </c>
      <c r="B45" s="6">
        <v>284415</v>
      </c>
      <c r="C45" s="6">
        <v>308838</v>
      </c>
      <c r="D45" s="6">
        <v>228112</v>
      </c>
      <c r="E45" s="6">
        <v>272365</v>
      </c>
      <c r="F45" s="6">
        <v>362001</v>
      </c>
      <c r="G45" s="6">
        <v>453185</v>
      </c>
      <c r="H45" s="12">
        <f t="shared" si="32"/>
        <v>2.1605766852042844E-2</v>
      </c>
      <c r="I45" s="12">
        <f t="shared" si="33"/>
        <v>8.5870998365065176E-2</v>
      </c>
      <c r="J45" s="12">
        <f t="shared" si="34"/>
        <v>-0.26138622837863212</v>
      </c>
      <c r="K45" s="12">
        <f t="shared" si="35"/>
        <v>0.19399680858525636</v>
      </c>
      <c r="L45" s="12">
        <f t="shared" si="36"/>
        <v>0.32910249114240075</v>
      </c>
      <c r="M45" s="12">
        <f t="shared" si="37"/>
        <v>0.25188880693699733</v>
      </c>
      <c r="N45" s="12">
        <f t="shared" si="38"/>
        <v>0.1198945753302175</v>
      </c>
    </row>
    <row r="46" spans="1:22" ht="16.5" x14ac:dyDescent="0.25">
      <c r="A46" s="1" t="s">
        <v>41</v>
      </c>
      <c r="B46" s="7">
        <f>+B43+B44-B45</f>
        <v>218022</v>
      </c>
      <c r="C46" s="7">
        <f t="shared" ref="C46:G46" si="41">+C43+C44-C45</f>
        <v>475113</v>
      </c>
      <c r="D46" s="7">
        <f t="shared" si="41"/>
        <v>-129182</v>
      </c>
      <c r="E46" s="7">
        <f t="shared" si="41"/>
        <v>522583</v>
      </c>
      <c r="F46" s="7">
        <f t="shared" si="41"/>
        <v>84562</v>
      </c>
      <c r="G46" s="7">
        <f t="shared" si="41"/>
        <v>390156</v>
      </c>
      <c r="H46" s="19">
        <f t="shared" si="32"/>
        <v>1.8600835358464265E-2</v>
      </c>
      <c r="I46" s="19">
        <f t="shared" si="33"/>
        <v>1.1791975121776703</v>
      </c>
      <c r="J46" s="19">
        <f t="shared" si="34"/>
        <v>-1.2718974222974324</v>
      </c>
      <c r="K46" s="19">
        <f t="shared" si="35"/>
        <v>-5.0453236519019677</v>
      </c>
      <c r="L46" s="19">
        <f t="shared" si="36"/>
        <v>-0.83818455632885114</v>
      </c>
      <c r="M46" s="19">
        <f t="shared" si="37"/>
        <v>3.6138454625008869</v>
      </c>
      <c r="N46" s="19">
        <f t="shared" si="38"/>
        <v>-0.47247253116993893</v>
      </c>
    </row>
    <row r="47" spans="1:22" ht="16.5" x14ac:dyDescent="0.25">
      <c r="A47" s="5" t="s">
        <v>42</v>
      </c>
      <c r="B47" s="6">
        <v>113221</v>
      </c>
      <c r="C47" s="6">
        <v>154590</v>
      </c>
      <c r="D47" s="6">
        <v>-22096</v>
      </c>
      <c r="E47" s="6">
        <v>231465</v>
      </c>
      <c r="F47" s="6">
        <v>65840</v>
      </c>
      <c r="G47" s="6">
        <v>156117</v>
      </c>
      <c r="H47" s="12">
        <f t="shared" si="32"/>
        <v>7.4429372191056036E-3</v>
      </c>
      <c r="I47" s="12">
        <f t="shared" si="33"/>
        <v>0.36538274701689621</v>
      </c>
      <c r="J47" s="12">
        <f t="shared" si="34"/>
        <v>-1.1429329193350153</v>
      </c>
      <c r="K47" s="12">
        <f t="shared" si="35"/>
        <v>-11.475425416364953</v>
      </c>
      <c r="L47" s="12">
        <f t="shared" si="36"/>
        <v>-0.71555094722744261</v>
      </c>
      <c r="M47" s="12">
        <f t="shared" si="37"/>
        <v>1.3711573511543134</v>
      </c>
      <c r="N47" s="12">
        <f t="shared" si="38"/>
        <v>-2.3194738369512402</v>
      </c>
    </row>
    <row r="48" spans="1:22" ht="16.5" x14ac:dyDescent="0.25">
      <c r="A48" s="1" t="s">
        <v>43</v>
      </c>
      <c r="B48" s="7">
        <f>+B46-B47</f>
        <v>104801</v>
      </c>
      <c r="C48" s="7">
        <f t="shared" ref="C48:G48" si="42">+C46-C47</f>
        <v>320523</v>
      </c>
      <c r="D48" s="7">
        <f t="shared" si="42"/>
        <v>-107086</v>
      </c>
      <c r="E48" s="7">
        <f t="shared" si="42"/>
        <v>291118</v>
      </c>
      <c r="F48" s="7">
        <f t="shared" si="42"/>
        <v>18722</v>
      </c>
      <c r="G48" s="7">
        <f t="shared" si="42"/>
        <v>234039</v>
      </c>
      <c r="H48" s="19">
        <f t="shared" si="32"/>
        <v>1.1157898139358663E-2</v>
      </c>
      <c r="I48" s="19">
        <f t="shared" si="33"/>
        <v>2.05839638934743</v>
      </c>
      <c r="J48" s="19">
        <f t="shared" si="34"/>
        <v>-1.3340977090567603</v>
      </c>
      <c r="K48" s="19">
        <f t="shared" si="35"/>
        <v>-3.7185439740022037</v>
      </c>
      <c r="L48" s="19">
        <f t="shared" si="36"/>
        <v>-0.93568930811560946</v>
      </c>
      <c r="M48" s="19">
        <f t="shared" si="37"/>
        <v>11.500747783356479</v>
      </c>
      <c r="N48" s="19">
        <f t="shared" si="38"/>
        <v>1.5141626363058669</v>
      </c>
    </row>
    <row r="49" spans="1:15" ht="16.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</row>
    <row r="50" spans="1:15" ht="16.5" x14ac:dyDescent="0.25">
      <c r="A50" s="5" t="s">
        <v>44</v>
      </c>
      <c r="B50" s="9"/>
      <c r="C50" s="9"/>
      <c r="D50" s="6">
        <v>0</v>
      </c>
      <c r="E50" s="6">
        <v>0</v>
      </c>
      <c r="F50" s="6">
        <v>0</v>
      </c>
      <c r="G50" s="6">
        <v>2249726</v>
      </c>
      <c r="H50" s="5" t="s">
        <v>46</v>
      </c>
      <c r="I50" s="9"/>
      <c r="J50" s="9"/>
      <c r="K50" s="9"/>
      <c r="L50" s="9"/>
      <c r="M50" s="9"/>
      <c r="N50" s="9"/>
    </row>
    <row r="51" spans="1:15" ht="16.5" x14ac:dyDescent="0.25">
      <c r="A51" s="1"/>
      <c r="B51" s="9"/>
      <c r="C51" s="9"/>
      <c r="D51" s="9"/>
      <c r="E51" s="9"/>
      <c r="F51" s="9"/>
      <c r="G51" s="9"/>
      <c r="H51" s="9"/>
      <c r="I51" s="22">
        <v>2019</v>
      </c>
      <c r="J51" s="22">
        <v>2020</v>
      </c>
      <c r="K51" s="22">
        <v>2021</v>
      </c>
      <c r="L51" s="22">
        <v>2022</v>
      </c>
      <c r="M51" s="22">
        <v>2023</v>
      </c>
      <c r="N51" s="4" t="s">
        <v>85</v>
      </c>
    </row>
    <row r="52" spans="1:15" ht="16.5" x14ac:dyDescent="0.25">
      <c r="A52" s="5" t="s">
        <v>45</v>
      </c>
      <c r="B52" s="6">
        <v>337583</v>
      </c>
      <c r="C52" s="6">
        <v>243277</v>
      </c>
      <c r="D52" s="6">
        <v>248125</v>
      </c>
      <c r="E52" s="6">
        <v>240405</v>
      </c>
      <c r="F52" s="6">
        <v>271275</v>
      </c>
      <c r="G52" s="6">
        <v>360515</v>
      </c>
      <c r="H52" s="12">
        <f>+G52/$G$36</f>
        <v>1.7187689435140673E-2</v>
      </c>
      <c r="I52" s="12">
        <f t="shared" ref="I52:M53" si="43">+C52/B52-1</f>
        <v>-0.27935648418314907</v>
      </c>
      <c r="J52" s="12">
        <f t="shared" si="43"/>
        <v>1.9927901116833846E-2</v>
      </c>
      <c r="K52" s="12">
        <f t="shared" si="43"/>
        <v>-3.1113350125944628E-2</v>
      </c>
      <c r="L52" s="12">
        <f t="shared" si="43"/>
        <v>0.1284083109752292</v>
      </c>
      <c r="M52" s="12">
        <f t="shared" si="43"/>
        <v>0.32896507234356287</v>
      </c>
      <c r="N52" s="12">
        <f t="shared" ref="N52:N53" si="44">+AVERAGE(I52:M52)</f>
        <v>3.3366290025306444E-2</v>
      </c>
      <c r="O52" s="5"/>
    </row>
    <row r="53" spans="1:15" ht="16.5" x14ac:dyDescent="0.25">
      <c r="A53" s="10" t="s">
        <v>48</v>
      </c>
      <c r="B53" s="7">
        <f>+B43+B52</f>
        <v>839194</v>
      </c>
      <c r="C53" s="7">
        <f t="shared" ref="C53:G53" si="45">+C43+C52</f>
        <v>1026243</v>
      </c>
      <c r="D53" s="7">
        <f t="shared" si="45"/>
        <v>346415</v>
      </c>
      <c r="E53" s="7">
        <f t="shared" si="45"/>
        <v>1034924</v>
      </c>
      <c r="F53" s="7">
        <f t="shared" si="45"/>
        <v>713356</v>
      </c>
      <c r="G53" s="7">
        <f t="shared" si="45"/>
        <v>1196209</v>
      </c>
      <c r="H53" s="19">
        <f>+G53/$G$36</f>
        <v>5.7029718018723745E-2</v>
      </c>
      <c r="I53" s="19">
        <f t="shared" si="43"/>
        <v>0.22289125041408786</v>
      </c>
      <c r="J53" s="19">
        <f t="shared" si="43"/>
        <v>-0.66244349535149083</v>
      </c>
      <c r="K53" s="19">
        <f t="shared" si="43"/>
        <v>1.9875265216575495</v>
      </c>
      <c r="L53" s="19">
        <f t="shared" si="43"/>
        <v>-0.31071653570696978</v>
      </c>
      <c r="M53" s="19">
        <f t="shared" si="43"/>
        <v>0.67687522078737694</v>
      </c>
      <c r="N53" s="19">
        <f t="shared" si="44"/>
        <v>0.38282659236011074</v>
      </c>
    </row>
    <row r="54" spans="1:15" x14ac:dyDescent="0.25"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</row>
    <row r="55" spans="1:15" ht="16.5" x14ac:dyDescent="0.25">
      <c r="A55" s="13" t="s">
        <v>47</v>
      </c>
      <c r="B55" s="6"/>
      <c r="C55" s="6">
        <f t="shared" ref="C55:F55" si="46">+B30+C48-C30</f>
        <v>80000</v>
      </c>
      <c r="D55" s="6">
        <f t="shared" si="46"/>
        <v>0</v>
      </c>
      <c r="E55" s="6">
        <f t="shared" si="46"/>
        <v>55071</v>
      </c>
      <c r="F55" s="6">
        <f t="shared" si="46"/>
        <v>120000</v>
      </c>
      <c r="G55" s="6">
        <f>+F30+G48-G30</f>
        <v>60000</v>
      </c>
      <c r="H55" s="8"/>
      <c r="I55" s="8"/>
      <c r="J55" s="8"/>
      <c r="K55" s="8"/>
      <c r="L55" s="8"/>
      <c r="M55" s="8"/>
      <c r="N55" s="8"/>
    </row>
    <row r="56" spans="1:15" ht="16.5" x14ac:dyDescent="0.25">
      <c r="B56"/>
      <c r="C56"/>
      <c r="D56"/>
      <c r="E56"/>
      <c r="F56"/>
      <c r="G56"/>
      <c r="H56" s="21"/>
      <c r="I56" s="22">
        <v>2019</v>
      </c>
      <c r="J56" s="22">
        <v>2020</v>
      </c>
      <c r="K56" s="22">
        <v>2021</v>
      </c>
      <c r="L56" s="22">
        <v>2022</v>
      </c>
      <c r="M56" s="22">
        <v>2023</v>
      </c>
      <c r="N56" s="4" t="s">
        <v>85</v>
      </c>
    </row>
    <row r="57" spans="1:15" ht="16.5" x14ac:dyDescent="0.25">
      <c r="A57" s="5" t="s">
        <v>49</v>
      </c>
      <c r="B57" s="12">
        <f>+B38/B36</f>
        <v>0.46807040875945394</v>
      </c>
      <c r="C57" s="12">
        <f t="shared" ref="C57:G57" si="47">+C38/C36</f>
        <v>0.47672681580833365</v>
      </c>
      <c r="D57" s="12">
        <f t="shared" si="47"/>
        <v>0.46518874213557498</v>
      </c>
      <c r="E57" s="12">
        <f t="shared" si="47"/>
        <v>0.48227062677069726</v>
      </c>
      <c r="F57" s="12">
        <f t="shared" si="47"/>
        <v>0.43091900967525221</v>
      </c>
      <c r="G57" s="12">
        <f t="shared" si="47"/>
        <v>0.37155463739131384</v>
      </c>
      <c r="H57" s="21"/>
      <c r="I57" s="12">
        <f>+C57/B57-1</f>
        <v>1.8493813936715453E-2</v>
      </c>
      <c r="J57" s="12">
        <f t="shared" ref="J57:M60" si="48">+D57/C57-1</f>
        <v>-2.420269489811433E-2</v>
      </c>
      <c r="K57" s="12">
        <f t="shared" si="48"/>
        <v>3.6720331099809655E-2</v>
      </c>
      <c r="L57" s="12">
        <f t="shared" si="48"/>
        <v>-0.10647884039568711</v>
      </c>
      <c r="M57" s="12">
        <f t="shared" si="48"/>
        <v>-0.13776224986842966</v>
      </c>
      <c r="N57" s="19">
        <f t="shared" ref="N57:N60" si="49">+AVERAGE(I57:M57)</f>
        <v>-4.2645928025141201E-2</v>
      </c>
    </row>
    <row r="58" spans="1:15" ht="16.5" x14ac:dyDescent="0.25">
      <c r="A58" s="5" t="s">
        <v>50</v>
      </c>
      <c r="B58" s="12">
        <f>+B43/B36</f>
        <v>2.8914136581483278E-2</v>
      </c>
      <c r="C58" s="12">
        <f t="shared" ref="C58:G58" si="50">+C43/C36</f>
        <v>4.3130994463238183E-2</v>
      </c>
      <c r="D58" s="12">
        <f t="shared" si="50"/>
        <v>8.8797614886487845E-3</v>
      </c>
      <c r="E58" s="12">
        <f t="shared" si="50"/>
        <v>4.460534671981977E-2</v>
      </c>
      <c r="F58" s="12">
        <f t="shared" si="50"/>
        <v>1.8244286096732381E-2</v>
      </c>
      <c r="G58" s="12">
        <f t="shared" si="50"/>
        <v>3.9842028583583072E-2</v>
      </c>
      <c r="H58" s="21"/>
      <c r="I58" s="12">
        <f t="shared" ref="I58:I60" si="51">+C58/B58-1</f>
        <v>0.49169228490327588</v>
      </c>
      <c r="J58" s="12">
        <f t="shared" si="48"/>
        <v>-0.79412110480741949</v>
      </c>
      <c r="K58" s="12">
        <f t="shared" si="48"/>
        <v>4.0232595522796277</v>
      </c>
      <c r="L58" s="12">
        <f>+F58/E58-1</f>
        <v>-0.59098432276896107</v>
      </c>
      <c r="M58" s="12">
        <f>+G58/F58-1</f>
        <v>1.18380858381293</v>
      </c>
      <c r="N58" s="19">
        <f t="shared" si="49"/>
        <v>0.86273099868389058</v>
      </c>
    </row>
    <row r="59" spans="1:15" ht="16.5" x14ac:dyDescent="0.25">
      <c r="A59" s="5" t="s">
        <v>51</v>
      </c>
      <c r="B59" s="12">
        <f>+B53/B36</f>
        <v>4.8373281156835229E-2</v>
      </c>
      <c r="C59" s="12">
        <f t="shared" ref="C59:G59" si="52">+C53/C36</f>
        <v>5.6532315772251852E-2</v>
      </c>
      <c r="D59" s="12">
        <f t="shared" si="52"/>
        <v>3.1295987141014024E-2</v>
      </c>
      <c r="E59" s="12">
        <f t="shared" si="52"/>
        <v>5.810200114618122E-2</v>
      </c>
      <c r="F59" s="12">
        <f t="shared" si="52"/>
        <v>2.9439561874001881E-2</v>
      </c>
      <c r="G59" s="12">
        <f t="shared" si="52"/>
        <v>5.7029718018723745E-2</v>
      </c>
      <c r="H59" s="21"/>
      <c r="I59" s="12"/>
      <c r="J59" s="12">
        <f t="shared" si="48"/>
        <v>-0.44640535747563959</v>
      </c>
      <c r="K59" s="12">
        <f t="shared" si="48"/>
        <v>0.85653198553489229</v>
      </c>
      <c r="L59" s="12">
        <f t="shared" si="48"/>
        <v>-0.49331242825985167</v>
      </c>
      <c r="M59" s="12">
        <f t="shared" si="48"/>
        <v>0.93717957701968291</v>
      </c>
      <c r="N59" s="19">
        <f t="shared" si="49"/>
        <v>0.21349844420477099</v>
      </c>
    </row>
    <row r="60" spans="1:15" ht="16.5" x14ac:dyDescent="0.25">
      <c r="A60" s="5" t="s">
        <v>52</v>
      </c>
      <c r="B60" s="12">
        <f>+B48/B36</f>
        <v>6.0409967641778762E-3</v>
      </c>
      <c r="C60" s="12">
        <f t="shared" ref="C60:G60" si="53">+C48/C36</f>
        <v>1.7656546693394722E-2</v>
      </c>
      <c r="D60" s="12">
        <f t="shared" si="53"/>
        <v>-9.6744138648229092E-3</v>
      </c>
      <c r="E60" s="12">
        <f t="shared" si="53"/>
        <v>1.634374927016282E-2</v>
      </c>
      <c r="F60" s="12">
        <f t="shared" si="53"/>
        <v>7.7264013676910722E-4</v>
      </c>
      <c r="G60" s="12">
        <f t="shared" si="53"/>
        <v>1.1157898139358663E-2</v>
      </c>
      <c r="H60" s="21"/>
      <c r="I60" s="12">
        <f t="shared" si="51"/>
        <v>1.9227869808001157</v>
      </c>
      <c r="J60" s="12">
        <f t="shared" si="48"/>
        <v>-1.5479221975179374</v>
      </c>
      <c r="K60" s="12">
        <f t="shared" si="48"/>
        <v>-2.6893787570521717</v>
      </c>
      <c r="L60" s="12">
        <f t="shared" si="48"/>
        <v>-0.95272564917649338</v>
      </c>
      <c r="M60" s="12">
        <f t="shared" si="48"/>
        <v>13.441261343239079</v>
      </c>
      <c r="N60" s="19">
        <f t="shared" si="49"/>
        <v>2.0348043440585184</v>
      </c>
    </row>
    <row r="61" spans="1:15" ht="16.5" x14ac:dyDescent="0.25">
      <c r="A61" s="5"/>
      <c r="B61" s="6"/>
      <c r="C61" s="6"/>
      <c r="D61" s="6"/>
      <c r="E61" s="6"/>
      <c r="F61" s="6"/>
      <c r="G61" s="6"/>
      <c r="H61" s="14"/>
      <c r="I61" s="14"/>
      <c r="J61" s="14"/>
      <c r="K61" s="14"/>
      <c r="L61" s="14"/>
      <c r="M61" s="14"/>
      <c r="N61" s="14"/>
    </row>
    <row r="62" spans="1:15" ht="16.5" x14ac:dyDescent="0.25">
      <c r="A62" s="5" t="s">
        <v>53</v>
      </c>
      <c r="B62" s="6">
        <f>+B9-B22</f>
        <v>-423689</v>
      </c>
      <c r="C62" s="6">
        <f t="shared" ref="C62:G62" si="54">+C9-C22</f>
        <v>-209619</v>
      </c>
      <c r="D62" s="6">
        <f t="shared" si="54"/>
        <v>749641</v>
      </c>
      <c r="E62" s="6">
        <f t="shared" si="54"/>
        <v>579580</v>
      </c>
      <c r="F62" s="6">
        <f t="shared" si="54"/>
        <v>-156998</v>
      </c>
      <c r="G62" s="6">
        <f t="shared" si="54"/>
        <v>335784</v>
      </c>
      <c r="H62" s="14"/>
      <c r="I62" s="14"/>
      <c r="J62" s="14"/>
      <c r="K62" s="14"/>
      <c r="L62" s="14"/>
      <c r="M62" s="14"/>
      <c r="N62" s="14"/>
    </row>
    <row r="63" spans="1:15" ht="16.5" x14ac:dyDescent="0.25">
      <c r="A63" s="5" t="s">
        <v>54</v>
      </c>
      <c r="B63" s="6">
        <f>+B5+B6+B7-B18</f>
        <v>463290</v>
      </c>
      <c r="C63" s="6">
        <f t="shared" ref="C63:G63" si="55">+C5+C6+C7-C18</f>
        <v>755240</v>
      </c>
      <c r="D63" s="6">
        <f t="shared" si="55"/>
        <v>1272009</v>
      </c>
      <c r="E63" s="6">
        <f t="shared" si="55"/>
        <v>1147080</v>
      </c>
      <c r="F63" s="6">
        <f t="shared" si="55"/>
        <v>744818</v>
      </c>
      <c r="G63" s="6">
        <f t="shared" si="55"/>
        <v>1932752</v>
      </c>
      <c r="H63" s="14"/>
      <c r="I63" s="14"/>
      <c r="J63" s="14"/>
      <c r="K63" s="14"/>
      <c r="L63" s="14"/>
      <c r="M63" s="14"/>
      <c r="N63" s="14"/>
    </row>
    <row r="64" spans="1:15" ht="16.5" x14ac:dyDescent="0.25">
      <c r="A64" s="5"/>
      <c r="H64" s="14"/>
      <c r="I64" s="14"/>
      <c r="J64" s="14"/>
      <c r="K64" s="14"/>
      <c r="L64" s="14"/>
      <c r="M64" s="14"/>
      <c r="N64" s="14"/>
    </row>
    <row r="65" spans="1:14" ht="16.5" x14ac:dyDescent="0.25">
      <c r="A65" s="5" t="s">
        <v>55</v>
      </c>
      <c r="B65" s="6">
        <f>+B20</f>
        <v>154118</v>
      </c>
      <c r="C65" s="6">
        <f t="shared" ref="C65:G65" si="56">+C20</f>
        <v>198984</v>
      </c>
      <c r="D65" s="6">
        <f t="shared" si="56"/>
        <v>252951</v>
      </c>
      <c r="E65" s="6">
        <f t="shared" si="56"/>
        <v>75927</v>
      </c>
      <c r="F65" s="6">
        <f t="shared" si="56"/>
        <v>102172</v>
      </c>
      <c r="G65" s="6">
        <f t="shared" si="56"/>
        <v>334073</v>
      </c>
      <c r="H65" s="12">
        <f>+G65/$G$36</f>
        <v>1.5927057050790536E-2</v>
      </c>
      <c r="I65" s="12">
        <f t="shared" ref="I65:M68" si="57">+C65/B65-1</f>
        <v>0.29111460050091487</v>
      </c>
      <c r="J65" s="12">
        <f t="shared" si="57"/>
        <v>0.27121276082499102</v>
      </c>
      <c r="K65" s="12">
        <f t="shared" si="57"/>
        <v>-0.69983514593735552</v>
      </c>
      <c r="L65" s="12">
        <f t="shared" si="57"/>
        <v>0.3456609638205117</v>
      </c>
      <c r="M65" s="12">
        <f t="shared" si="57"/>
        <v>2.2697118584347962</v>
      </c>
      <c r="N65" s="19">
        <f t="shared" ref="N65:N68" si="58">+AVERAGE(I65:M65)</f>
        <v>0.49557300752877165</v>
      </c>
    </row>
    <row r="66" spans="1:14" ht="16.5" x14ac:dyDescent="0.25">
      <c r="A66" s="5" t="s">
        <v>56</v>
      </c>
      <c r="B66" s="6">
        <f>+B24</f>
        <v>1172414</v>
      </c>
      <c r="C66" s="6">
        <f t="shared" ref="C66:G66" si="59">+C24</f>
        <v>911251</v>
      </c>
      <c r="D66" s="6">
        <f t="shared" si="59"/>
        <v>1828456</v>
      </c>
      <c r="E66" s="6">
        <f t="shared" si="59"/>
        <v>1152944</v>
      </c>
      <c r="F66" s="6">
        <f t="shared" si="59"/>
        <v>1235169</v>
      </c>
      <c r="G66" s="6">
        <f t="shared" si="59"/>
        <v>1490239</v>
      </c>
      <c r="H66" s="12">
        <f>+G66/$G$36</f>
        <v>7.1047709848784668E-2</v>
      </c>
      <c r="I66" s="12">
        <f t="shared" si="57"/>
        <v>-0.22275663716059346</v>
      </c>
      <c r="J66" s="12">
        <f t="shared" si="57"/>
        <v>1.0065338748599455</v>
      </c>
      <c r="K66" s="12">
        <f t="shared" si="57"/>
        <v>-0.3694439461491007</v>
      </c>
      <c r="L66" s="12">
        <f t="shared" si="57"/>
        <v>7.1317427385892085E-2</v>
      </c>
      <c r="M66" s="12">
        <f t="shared" si="57"/>
        <v>0.20650615421857244</v>
      </c>
      <c r="N66" s="19">
        <f t="shared" si="58"/>
        <v>0.13843137463094318</v>
      </c>
    </row>
    <row r="67" spans="1:14" ht="16.5" x14ac:dyDescent="0.25">
      <c r="A67" s="10" t="s">
        <v>57</v>
      </c>
      <c r="B67" s="7">
        <f>SUM(B65:B66)</f>
        <v>1326532</v>
      </c>
      <c r="C67" s="7">
        <f t="shared" ref="C67:G67" si="60">SUM(C65:C66)</f>
        <v>1110235</v>
      </c>
      <c r="D67" s="7">
        <f t="shared" si="60"/>
        <v>2081407</v>
      </c>
      <c r="E67" s="7">
        <f t="shared" si="60"/>
        <v>1228871</v>
      </c>
      <c r="F67" s="7">
        <f t="shared" si="60"/>
        <v>1337341</v>
      </c>
      <c r="G67" s="7">
        <f t="shared" si="60"/>
        <v>1824312</v>
      </c>
      <c r="H67" s="19">
        <f>+G67/$G$36</f>
        <v>8.6974766899575201E-2</v>
      </c>
      <c r="I67" s="19">
        <f t="shared" si="57"/>
        <v>-0.16305449095837865</v>
      </c>
      <c r="J67" s="19">
        <f t="shared" si="57"/>
        <v>0.87474453606668856</v>
      </c>
      <c r="K67" s="19">
        <f t="shared" si="57"/>
        <v>-0.40959600885362646</v>
      </c>
      <c r="L67" s="19">
        <f t="shared" si="57"/>
        <v>8.8268011858038786E-2</v>
      </c>
      <c r="M67" s="19">
        <f t="shared" si="57"/>
        <v>0.36413375496601086</v>
      </c>
      <c r="N67" s="19">
        <f t="shared" si="58"/>
        <v>0.15089916061574662</v>
      </c>
    </row>
    <row r="68" spans="1:14" ht="16.5" x14ac:dyDescent="0.25">
      <c r="A68" s="13" t="s">
        <v>58</v>
      </c>
      <c r="B68" s="6">
        <f>+B45</f>
        <v>284415</v>
      </c>
      <c r="C68" s="6">
        <f t="shared" ref="C68:G68" si="61">+C45</f>
        <v>308838</v>
      </c>
      <c r="D68" s="6">
        <f t="shared" si="61"/>
        <v>228112</v>
      </c>
      <c r="E68" s="6">
        <f t="shared" si="61"/>
        <v>272365</v>
      </c>
      <c r="F68" s="6">
        <f t="shared" si="61"/>
        <v>362001</v>
      </c>
      <c r="G68" s="6">
        <f t="shared" si="61"/>
        <v>453185</v>
      </c>
      <c r="H68" s="12">
        <f>+G68/$G$36</f>
        <v>2.1605766852042844E-2</v>
      </c>
      <c r="I68" s="12">
        <f t="shared" si="57"/>
        <v>8.5870998365065176E-2</v>
      </c>
      <c r="J68" s="12">
        <f t="shared" si="57"/>
        <v>-0.26138622837863212</v>
      </c>
      <c r="K68" s="12">
        <f t="shared" si="57"/>
        <v>0.19399680858525636</v>
      </c>
      <c r="L68" s="12">
        <f t="shared" si="57"/>
        <v>0.32910249114240075</v>
      </c>
      <c r="M68" s="12">
        <f t="shared" si="57"/>
        <v>0.25188880693699733</v>
      </c>
      <c r="N68" s="19">
        <f t="shared" si="58"/>
        <v>0.1198945753302175</v>
      </c>
    </row>
    <row r="69" spans="1:14" x14ac:dyDescent="0.25">
      <c r="B69" s="11"/>
      <c r="C69" s="11"/>
      <c r="D69" s="11"/>
      <c r="E69" s="11"/>
      <c r="F69" s="11"/>
      <c r="G69" s="11"/>
      <c r="H69" s="20"/>
      <c r="I69" s="14"/>
      <c r="J69" s="14"/>
      <c r="K69" s="14"/>
      <c r="L69" s="14"/>
      <c r="M69" s="14"/>
      <c r="N69" s="14"/>
    </row>
    <row r="70" spans="1:14" ht="16.5" x14ac:dyDescent="0.25">
      <c r="A70" s="13" t="s">
        <v>59</v>
      </c>
      <c r="B70" s="6">
        <f>+B10+B11</f>
        <v>2397588</v>
      </c>
      <c r="C70" s="6">
        <f t="shared" ref="C70:G70" si="62">+C10+C11</f>
        <v>2198191</v>
      </c>
      <c r="D70" s="6">
        <f t="shared" si="62"/>
        <v>2026474</v>
      </c>
      <c r="E70" s="6">
        <f t="shared" si="62"/>
        <v>1941842</v>
      </c>
      <c r="F70" s="6">
        <f t="shared" si="62"/>
        <v>2661960</v>
      </c>
      <c r="G70" s="6">
        <f t="shared" si="62"/>
        <v>2570100</v>
      </c>
      <c r="H70" s="12">
        <f>+G70/$G$36</f>
        <v>0.12253049281515345</v>
      </c>
      <c r="I70" s="12">
        <f t="shared" ref="I70:M70" si="63">+C70/B70-1</f>
        <v>-8.3165664826483909E-2</v>
      </c>
      <c r="J70" s="12">
        <f t="shared" si="63"/>
        <v>-7.8117415638586429E-2</v>
      </c>
      <c r="K70" s="12">
        <f t="shared" si="63"/>
        <v>-4.1763180776067221E-2</v>
      </c>
      <c r="L70" s="12">
        <f t="shared" si="63"/>
        <v>0.37084273591775241</v>
      </c>
      <c r="M70" s="12">
        <f t="shared" si="63"/>
        <v>-3.4508407338953218E-2</v>
      </c>
      <c r="N70" s="19">
        <f t="shared" ref="N70" si="64">+AVERAGE(I70:M70)</f>
        <v>2.6657613467532325E-2</v>
      </c>
    </row>
    <row r="71" spans="1:14" x14ac:dyDescent="0.25">
      <c r="H71" s="14"/>
      <c r="I71" s="14"/>
      <c r="J71" s="14"/>
      <c r="K71" s="14"/>
      <c r="L71" s="14"/>
      <c r="M71" s="14"/>
      <c r="N71" s="14"/>
    </row>
  </sheetData>
  <mergeCells count="2">
    <mergeCell ref="I3:M3"/>
    <mergeCell ref="I34:M34"/>
  </mergeCells>
  <pageMargins left="0.7" right="0.7" top="0.75" bottom="0.75" header="0.3" footer="0.3"/>
  <ignoredErrors>
    <ignoredError sqref="B9:G9 R12 S12:V12 R16:V16 R23:V23" formulaRange="1"/>
    <ignoredError sqref="M35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JIMÉNEZ</dc:creator>
  <cp:lastModifiedBy>MIGUEL JIMÉNEZ</cp:lastModifiedBy>
  <dcterms:created xsi:type="dcterms:W3CDTF">2025-02-25T05:02:13Z</dcterms:created>
  <dcterms:modified xsi:type="dcterms:W3CDTF">2025-06-04T03:10:58Z</dcterms:modified>
</cp:coreProperties>
</file>