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igue\Dropbox\UNAL\ADMINISTRACIÓN FINANCIERA\"/>
    </mc:Choice>
  </mc:AlternateContent>
  <xr:revisionPtr revIDLastSave="0" documentId="13_ncr:1_{635AB967-6D13-4E0B-BC3C-4AF8CB1DE8C3}" xr6:coauthVersionLast="47" xr6:coauthVersionMax="47" xr10:uidLastSave="{00000000-0000-0000-0000-000000000000}"/>
  <bookViews>
    <workbookView xWindow="-120" yWindow="-120" windowWidth="29040" windowHeight="15840" xr2:uid="{DC475F3F-53B6-4E41-8C8F-61D586B4C604}"/>
  </bookViews>
  <sheets>
    <sheet name="Cap. 3 Blank y Tarquin" sheetId="1" r:id="rId1"/>
    <sheet name="Cap. 4 Blank y Tarqui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7" i="2" l="1"/>
  <c r="B413" i="2"/>
  <c r="B412" i="2"/>
  <c r="B418" i="2" s="1"/>
  <c r="B378" i="2"/>
  <c r="B368" i="2"/>
  <c r="B337" i="2"/>
  <c r="B347" i="2" s="1"/>
  <c r="B323" i="2"/>
  <c r="B322" i="2"/>
  <c r="B324" i="2" s="1"/>
  <c r="B298" i="2"/>
  <c r="B303" i="2" s="1"/>
  <c r="B305" i="2" s="1"/>
  <c r="B280" i="2"/>
  <c r="B281" i="2" s="1"/>
  <c r="B279" i="2"/>
  <c r="B264" i="2"/>
  <c r="B263" i="2"/>
  <c r="B265" i="2" s="1"/>
  <c r="B245" i="2"/>
  <c r="B248" i="2" s="1"/>
  <c r="B229" i="2"/>
  <c r="B228" i="2"/>
  <c r="B230" i="2" s="1"/>
  <c r="B212" i="2"/>
  <c r="B214" i="2" s="1"/>
  <c r="B208" i="2"/>
  <c r="B198" i="2"/>
  <c r="B199" i="2" s="1"/>
  <c r="B197" i="2"/>
  <c r="B192" i="2"/>
  <c r="B182" i="2"/>
  <c r="B183" i="2" s="1"/>
  <c r="B158" i="2"/>
  <c r="B159" i="2" s="1"/>
  <c r="B164" i="2" s="1"/>
  <c r="B155" i="2"/>
  <c r="B154" i="2"/>
  <c r="B135" i="2"/>
  <c r="B137" i="2" s="1"/>
  <c r="B115" i="2"/>
  <c r="B114" i="2"/>
  <c r="B116" i="2" s="1"/>
  <c r="B97" i="2"/>
  <c r="B101" i="2" s="1"/>
  <c r="B81" i="2"/>
  <c r="B80" i="2"/>
  <c r="B82" i="2" s="1"/>
  <c r="B64" i="2"/>
  <c r="B55" i="2"/>
  <c r="B54" i="2"/>
  <c r="B47" i="2"/>
  <c r="B40" i="2"/>
  <c r="B39" i="2"/>
  <c r="B32" i="2"/>
  <c r="B31" i="2"/>
  <c r="B30" i="2"/>
  <c r="B22" i="2"/>
  <c r="B21" i="2"/>
  <c r="B20" i="2"/>
  <c r="C329" i="1"/>
  <c r="B329" i="1"/>
  <c r="B328" i="1"/>
  <c r="C328" i="1" s="1"/>
  <c r="B327" i="1"/>
  <c r="C327" i="1" s="1"/>
  <c r="B326" i="1"/>
  <c r="C326" i="1" s="1"/>
  <c r="B325" i="1"/>
  <c r="C325" i="1" s="1"/>
  <c r="B324" i="1"/>
  <c r="C324" i="1" s="1"/>
  <c r="C323" i="1"/>
  <c r="B323" i="1"/>
  <c r="B322" i="1"/>
  <c r="C322" i="1" s="1"/>
  <c r="B321" i="1"/>
  <c r="C321" i="1" s="1"/>
  <c r="B320" i="1"/>
  <c r="C320" i="1" s="1"/>
  <c r="B319" i="1"/>
  <c r="C319" i="1" s="1"/>
  <c r="B318" i="1"/>
  <c r="C318" i="1" s="1"/>
  <c r="C330" i="1" s="1"/>
  <c r="C331" i="1" s="1"/>
  <c r="B297" i="1"/>
  <c r="B306" i="1" s="1"/>
  <c r="B314" i="1" s="1"/>
  <c r="B296" i="1"/>
  <c r="B301" i="1" s="1"/>
  <c r="B295" i="1"/>
  <c r="B311" i="1" s="1"/>
  <c r="B281" i="1"/>
  <c r="B280" i="1"/>
  <c r="B282" i="1" s="1"/>
  <c r="B264" i="1"/>
  <c r="B242" i="1"/>
  <c r="B246" i="1" s="1"/>
  <c r="B237" i="1"/>
  <c r="B218" i="1"/>
  <c r="B222" i="1" s="1"/>
  <c r="B196" i="1"/>
  <c r="B200" i="1" s="1"/>
  <c r="B167" i="1"/>
  <c r="B178" i="1" s="1"/>
  <c r="B183" i="1" s="1"/>
  <c r="B147" i="1"/>
  <c r="B143" i="1"/>
  <c r="B149" i="1" s="1"/>
  <c r="B138" i="1"/>
  <c r="B117" i="1"/>
  <c r="B119" i="1" s="1"/>
  <c r="B100" i="1"/>
  <c r="B91" i="1"/>
  <c r="B96" i="1" s="1"/>
  <c r="B102" i="1" s="1"/>
  <c r="B73" i="1"/>
  <c r="B58" i="1"/>
  <c r="B64" i="1" s="1"/>
  <c r="B69" i="1" s="1"/>
  <c r="B75" i="1" s="1"/>
  <c r="B57" i="1"/>
  <c r="B37" i="1"/>
  <c r="B42" i="1" s="1"/>
  <c r="B47" i="1" s="1"/>
  <c r="B14" i="1"/>
  <c r="B21" i="1" s="1"/>
  <c r="B26" i="1" s="1"/>
  <c r="B383" i="2" l="1"/>
  <c r="B246" i="2"/>
  <c r="B388" i="2"/>
  <c r="B393" i="2" s="1"/>
  <c r="B247" i="2"/>
  <c r="B373" i="2"/>
  <c r="B342" i="2"/>
  <c r="B350" i="2" s="1"/>
  <c r="B172" i="1"/>
  <c r="B395" i="2" l="1"/>
  <c r="B399" i="2" s="1"/>
  <c r="B249" i="2"/>
</calcChain>
</file>

<file path=xl/sharedStrings.xml><?xml version="1.0" encoding="utf-8"?>
<sst xmlns="http://schemas.openxmlformats.org/spreadsheetml/2006/main" count="721" uniqueCount="179">
  <si>
    <t>Valor presente Anualidades</t>
  </si>
  <si>
    <t>3.1 Debido a que el 43% de todas las fatalidades que ocurren en las autopistas se deben a cambios de carril no intencionados que efectúan los conductores distraídos, Ford Motor Company y Volvo lanzaron un programa para desarrollar tecnologías para impedir los accidentes ocasionados por conductores somnolientos. Un dispositivo que cuesta $260 detecta las marcas de los carriles y hace sonar una alarma cuando un automóvil pasa de uno a otro. Si estos dispositivos se instalaran en 100 000 autos nuevos por año, comenzando dentro de tres años, ¿cuál sería el valor presente de su costo durante un periodo de diez años, con una tasa de interés de 10% anual?</t>
  </si>
  <si>
    <t>A</t>
  </si>
  <si>
    <t>Cada año</t>
  </si>
  <si>
    <t>Empezando en tres años</t>
  </si>
  <si>
    <t>N</t>
  </si>
  <si>
    <t>años</t>
  </si>
  <si>
    <t>(P/F, i, N)</t>
  </si>
  <si>
    <t>(P/A, i, N)</t>
  </si>
  <si>
    <t>i</t>
  </si>
  <si>
    <t>anual</t>
  </si>
  <si>
    <t>P = ?</t>
  </si>
  <si>
    <t>Valor Presente (P) dado una Anualidad (A):</t>
  </si>
  <si>
    <t>P</t>
  </si>
  <si>
    <t>=VA(tasa; nper; -pago)</t>
  </si>
  <si>
    <t>Este valor está ubicado en el año 2</t>
  </si>
  <si>
    <t>Valor Presente:</t>
  </si>
  <si>
    <t>=VA(tasa; nper; ; [-vf])</t>
  </si>
  <si>
    <t>3.2 Un plan para obtener fondos en beneficio de las escuelas de Texas involucra un impuesto sobre la riqueza que podría recabar $56 para cada estudiante de cierto distrito escolar. Si hay 50 000 estudiantes en el distrito, y el flujo de efectivo comienza dentro de dos años, ¿cuál es el valor presente del plan para gravar la riqueza durante un horizonte de planeación de cinco años, con una tasa de interés de 8% anual?</t>
  </si>
  <si>
    <t>Este valor está ubicado en el año 1</t>
  </si>
  <si>
    <t xml:space="preserve">3.3 La empresa Amalgamated Iron and Steel compró una máquina nueva para doblar trabes grandes tipo I por medio de un pistón. La compañía espera doblar 80 trabes a $2 000 por unidad, durante cada uno de los primeros tres años, después de lo cual la empresa espera doblar 100 trabes por año a $2 500 por unidad hasta el año 8. Si la tasa mínima atractiva de rendimiento es de 18% anual, ¿cuál es el valor presente del ingreso esperado? </t>
  </si>
  <si>
    <t>A1</t>
  </si>
  <si>
    <t>Hasta el año 3</t>
  </si>
  <si>
    <t>A2</t>
  </si>
  <si>
    <t>Desde el 4 hasta el 8</t>
  </si>
  <si>
    <t>(P/A1, i, N)</t>
  </si>
  <si>
    <t>(P/A2, i, N)</t>
  </si>
  <si>
    <t>Valor Presente (P) dado una Anualidad (A2):</t>
  </si>
  <si>
    <t>Este valor está ubicado en el año 3</t>
  </si>
  <si>
    <t>Valor Presente de A2:</t>
  </si>
  <si>
    <t>Valor Presente (P) dado una Anualidad (A1):</t>
  </si>
  <si>
    <t>3.4 Rubbermaid Plastics planea adquirir un robot lineal para empujar partes hacia una máquina de moldeo por inyección. Debido a la velocidad del robot, la compañía espera que los costos de producción disminuyan $100 000 por año en cada uno de los próximos tres, y $200 000 anuales en los siguientes dos. ¿Cuál es el valor presente neto del ahorro en los costos si la empresa usa una tasa de interés de 15% anual sobre dichas inversiones?</t>
  </si>
  <si>
    <t>Del 1 al 3</t>
  </si>
  <si>
    <t>Del 4 al 5</t>
  </si>
  <si>
    <t>3.5 Toyco Watercraft y un proveedor de refacciones tienen un contrato que involucra compras por $150 000 anuales, la primera compra se haría hoy y le seguirían otras similares durante los próximos cinco años. Determine el valor presente del contrato, con una tasa de interés de 10% anual.</t>
  </si>
  <si>
    <t>Desde 0 hasta 5</t>
  </si>
  <si>
    <t>A*</t>
  </si>
  <si>
    <t>3.6 Calcule el valor presente neto en el año 0, de la serie de pagos siguiente. 
Suponga que i = 10% anual.</t>
  </si>
  <si>
    <t>Del 4 al 10</t>
  </si>
  <si>
    <t>Cálculo del valor anual (cuota)</t>
  </si>
  <si>
    <t>3.9 Un ingeniero metalúrgico decide reservar cierta cantidad de dinero para la educación universitaria de su hija recién nacida. Estima que sus necesidades serán de $20 000 en los cumpleaños números 17, 18, 19 y 20. Si planea hacer depósitos uniformes que comenzarán dentro de tres años y continúa así hasta el año 16, ¿cuál debe ser el monto de cada depósito si la cuenta gana un interés de 8% anual?</t>
  </si>
  <si>
    <t>Del 17 al 20</t>
  </si>
  <si>
    <t>A = ?</t>
  </si>
  <si>
    <t>…</t>
  </si>
  <si>
    <t>(A/F, i, N)</t>
  </si>
  <si>
    <t>Este valor está ubicado en el año 16</t>
  </si>
  <si>
    <t>(A/P, i, N)</t>
  </si>
  <si>
    <t>Anualidad (A) dado un Valor Futuro (F):</t>
  </si>
  <si>
    <t>=PAGO(tasa; nper; ; [-vf])</t>
  </si>
  <si>
    <t>Cuota a partir del año 3</t>
  </si>
  <si>
    <t>Otra forma:</t>
  </si>
  <si>
    <t>Valor Presente de A:</t>
  </si>
  <si>
    <t>Anualidad (A) dado un Valor Presente (P):</t>
  </si>
  <si>
    <t>=PAGO(tasa; nper; -va)</t>
  </si>
  <si>
    <t>3.11 ¿Cuánto dinero tendría usted que pagar cada año, en ocho pagos iguales, si comienza dentro de dos años, para saldar un préstamo de $20 000 otorgado hoy por un familiar, si la tasa de interés fuera de 8% anual?</t>
  </si>
  <si>
    <t>(F/P, i, N)</t>
  </si>
  <si>
    <t>Valor Futuro:</t>
  </si>
  <si>
    <t>F</t>
  </si>
  <si>
    <t>=VF(tasa; nper; ; [-va])</t>
  </si>
  <si>
    <t>3.12 Un ingeniero industrial planea su jubilación temprana dentro de 25 años. Él considera que puede reservar cómodamente $10 000 cada año a partir de hoy. Si planea comenzar a retirar dinero un año después de que haga su último depósito (es decir, en el año 26), ¿qué cantidad uniforme podría retirar cada año durante 30 años, si la cuenta obtiene una tasa de interés de 8% anual?</t>
  </si>
  <si>
    <t>Del 0 hasta el 25</t>
  </si>
  <si>
    <t>?</t>
  </si>
  <si>
    <t>Desde el 26 + 30 años</t>
  </si>
  <si>
    <t>(F/A1, i, N)</t>
  </si>
  <si>
    <t>(A2/P, i, N)</t>
  </si>
  <si>
    <t>Valor Futuro (F) dado una Anualidad (A1):</t>
  </si>
  <si>
    <t>=VF(tasa; nper; -pago)</t>
  </si>
  <si>
    <t xml:space="preserve">3.13 Una compañía de instalaciones rurales proporciona energía a estaciones de bombeo por medio de generadores que usan diesel. Surgió una alternativa con la que la instalación podría usar gas natural para mover los generadores, pero pasarán algunos años antes de que se disponga de gas en sitios remotos. La empresa estima que el cambio a gas comenzaría dentro de dos años y ahorraría $15 000 por año. Con una tasa de interés de 8% anual, determine el valor por año equivalente(años 1 a 10) de los ahorros proyectados. </t>
  </si>
  <si>
    <t>Del 2 al 10</t>
  </si>
  <si>
    <t>Valor futuro Anualidades</t>
  </si>
  <si>
    <t>3.18 Las cuentas de ahorro para toda la vida, conocidas como LSA, permitirían que la gente invirtiera dinero después de impuestos sin que se gravara ninguna de las ganancias. Si un ingeniero invierte $10 000 ahora y $10 000 por cada uno de los 20 próximos años, ¿cuánto habría en la cuenta inmediatamente después de hacer el último depósito, si la cuenta crece 15% por año?</t>
  </si>
  <si>
    <t>Del 0 al 20</t>
  </si>
  <si>
    <t>Valor Futuro (F) dado una Anualidad (A):</t>
  </si>
  <si>
    <t>3.19 ¿Cuánto dinero se depositó anualmente, durante cinco años, si una cuenta tiene hoy un valor de $100 000 y el último depósito se hizo hace diez años? Suponga que el interés que ganó la cuenta fue de 7% anual.</t>
  </si>
  <si>
    <t>(F/A, i, N)</t>
  </si>
  <si>
    <t>Factores multiplicadores</t>
  </si>
  <si>
    <t>3.20 Calcule el valor futuro (en el año 11) de los ingresos y egresos siguientes, si la tasa de interés es de 8% anual.</t>
  </si>
  <si>
    <t>año 0</t>
  </si>
  <si>
    <t>del 1 al 6</t>
  </si>
  <si>
    <t>del 7 al 11</t>
  </si>
  <si>
    <t>Este valor está ubicado en el año 0</t>
  </si>
  <si>
    <t>Valor Futuro (F) dado una Anualidad (A2):</t>
  </si>
  <si>
    <t>Este valor está ubicado en el año 11</t>
  </si>
  <si>
    <t>Valor Futuro de P y A1:</t>
  </si>
  <si>
    <t>TOTAL</t>
  </si>
  <si>
    <t>Prueba</t>
  </si>
  <si>
    <t>Tasas nominal y efectivas</t>
  </si>
  <si>
    <t>4.4 Para una tasa de interés de 10% anual compuesta trimestralmente, determine el número de veces que se capitalizaría el interés: a) por trimestre, b) por año y c) en tres años.</t>
  </si>
  <si>
    <t>j</t>
  </si>
  <si>
    <t>anual compuesta trimestralmente</t>
  </si>
  <si>
    <t>n</t>
  </si>
  <si>
    <t>4.5 Para una tasa de interés de 0.50% trimestral, determine la tasa de interés nominal para: a) en un semestre, b) anual y c) en dos años.</t>
  </si>
  <si>
    <t>trimestral</t>
  </si>
  <si>
    <t>nominal por semestre</t>
  </si>
  <si>
    <t>nominal anual</t>
  </si>
  <si>
    <t>nominal por dos años</t>
  </si>
  <si>
    <t>4.6 Para una tasa de interés de 12% anual capitalizable cada 2 meses, determine la tasa de interés nominal para: a) 4 meses, b) 6 meses y c) 2 años.</t>
  </si>
  <si>
    <t>anual compuesta bimestralmente</t>
  </si>
  <si>
    <t>nominal por 4 meses</t>
  </si>
  <si>
    <t>nominal por 6 meses</t>
  </si>
  <si>
    <t>nominal por 2 años</t>
  </si>
  <si>
    <t>4.10 Una tasa de interés de 16% anual, compuesto trimestralmente, ¿a qué tasa anual de interés efectivo equivale?</t>
  </si>
  <si>
    <t>anual, compuesto trimestralmente</t>
  </si>
  <si>
    <t>E.A.</t>
  </si>
  <si>
    <t>4.14 Una tasa de interés de 1% mensual, ¿a qué tasa efectiva por dos meses equivale?</t>
  </si>
  <si>
    <t>mensual</t>
  </si>
  <si>
    <t>Bimestral</t>
  </si>
  <si>
    <t>4.15 Un interés de 12% anual compuesto mensualmente, ¿a cuáles tasas nominal y efectiva por 6 meses equivale?</t>
  </si>
  <si>
    <t>anual compuesto mensualmente</t>
  </si>
  <si>
    <t>Semestral</t>
  </si>
  <si>
    <t>4.16 a) Una tasa de interés de 6.8% por periodo semestral, compuesto semanalmente, ¿a
qué tasa de interés semanal es equivalente?
b) ¿La tasa semanal es nominal o efectiva?
Suponga 26 semanas por semestre.</t>
  </si>
  <si>
    <t>por periodo semestral, compuesto semanalmente</t>
  </si>
  <si>
    <t>Semanal</t>
  </si>
  <si>
    <t>Efectiva</t>
  </si>
  <si>
    <t>Equivalencias para series y cantidades únicas</t>
  </si>
  <si>
    <t>4.21 Un compañía que se especializa en el desarrollo de software para seguridad en línea, quiere tener disponibles $85 millones para dentro de 3 años pagar dividendos accionarios. ¿Cuánto dinero debe reservar ahora en una cuenta que gana una tasa de interés de 8% anual, compuesto trimestralmente?</t>
  </si>
  <si>
    <t>en el año 3</t>
  </si>
  <si>
    <t>Valor presente:</t>
  </si>
  <si>
    <t>4.22 Debido a que las pruebas con bombas nucleares se detuvieron en 1992, el Departamento de Energía de los Estados Unidos ha estado desarrollando un proyecto de láser que permitirá a los ingenieros simular en el laboratorio las condiciones de una reacción termonuclear. Como los costos se dispararon en exceso, un comité de congresistas emprendió una investigación y descubrió que el costo estimado por el desarrollo del proyecto se incrementó a una tasa promedio de 3% mensual durante un periodo de 5 años. Si la estimación del costo originalmente fue de $2.7 mil millones hace 5 años, ¿cuál es el costo que se espera hoy?</t>
  </si>
  <si>
    <t>F = ?</t>
  </si>
  <si>
    <t>meses</t>
  </si>
  <si>
    <t>hace 5 años</t>
  </si>
  <si>
    <t>4.23 Hoy, una suma de $5 000 con tasa de interés de 8% anual compuesto semestralmente, ¿a cuánto dinero equivalía hace 8 años?</t>
  </si>
  <si>
    <t>anual compuesto semestralmente</t>
  </si>
  <si>
    <t>semestral</t>
  </si>
  <si>
    <t>semestres</t>
  </si>
  <si>
    <t>4.24 En un esfuerzo por garantizar la seguridad de los usuarios de teléfonos celulares, la Comisión Federal de Comunicaciones de los Estados Unidos (FCC) exige que los aparatos tengan un número de radiación específica absorbida (REA) de 1.6 watts por kilogramo (W/kg) de tejido, o menos. Una compañía nueva de teléfonos celulares considera que si hace publicidad a su cantidad favorable de 1.2 REA, incrementará sus ventas en $1.2 millones dentro de tres meses, cuando salgan a la venta sus equipos. Con una tasa de interés de 20% anual, compuesto trimestralmente, ¿cuál es la cantidad máxima que ahora debe gastar la compañía en publicidad, con el fin de mantenerse en equilibrio?</t>
  </si>
  <si>
    <t>Trimestral</t>
  </si>
  <si>
    <t>trimestre</t>
  </si>
  <si>
    <t>4.25 La Identificación por Radio Frecuencia (IDRF) es la tecnología que se usa para que los conductores crucen rápido las casetas de cobro, y también con la que los rancheros rastrean el ganado de la granja al tenedor. Wal-Mart espera comenzar a usarla para dar seguimiento a los productos dentro de sus tiendas. Si los productos con etiquetas de IDRF dan lugar a un mejor control de los inventarios, la compañía ahorraría $1.3 millones mensuales a partir de tres meses después de hoy, ¿cuánto podría desembolsar la empresa para implantar la tecnología, con una tasa de interés de 12% anual, compuesto mensualmente, si desea recuperar su inversión en 2 1/2 años?</t>
  </si>
  <si>
    <t>Desde 3 meses hasta 2,5 años</t>
  </si>
  <si>
    <t>anual, compuesto mensualmente</t>
  </si>
  <si>
    <t>28 anualidades</t>
  </si>
  <si>
    <t>4.26 El misil Patriot, desarrollado por Lockheed Martin para el ejército estadounidense, se
diseñó para derribar aeronaves y a otros misiles. El costo original del Patriot Avanzado
con Capacidad-3, estaba planeado para costar $3.9 mil millones, pero debido al tiempo adicional requerido para crear el código de computación y a las pruebas fallidas ocasionadas por vientos fuertes en la instalación de White Sands Missile Range, el costo real fue mucho más elevado. Si el tiempo total de desarrollo del proyecto fue de 10 años y los costos aumentaron a una tasa de 0.5% mensual, ¿a cuánto ascendió el costo final?</t>
  </si>
  <si>
    <t>4.27 Es común que las tarjetas de video basadas en el procesador GTS GeForce de Nvidia cuesten $250, pero esta compañía lanzó una versión ligera del chip que cuesta $150. Si cierto fabricante de juegos de video compraba 3 000 chips por trimestre, ¿cuál fue el valor presente de los ahorros asociados con el chip más barato, durante un periodo de 2 años con una tasa de interés de 16% anual, compuesto trimestralmente?</t>
  </si>
  <si>
    <t>trimestal</t>
  </si>
  <si>
    <t>trimestres</t>
  </si>
  <si>
    <t>4.28 A fines del primer trimestre del año 2000, una huelga de 40 días en Boeing dio como resultado una reducción en 50 entregas de aviones jet. Con un costo de 20 millones por avión ¿cuál fue el costo equivalente a final del año de la huelga (por ejemplo del último trimestre) con una tasa de interés de 18% anual compuesto mensualmente?</t>
  </si>
  <si>
    <t>En el mes tres</t>
  </si>
  <si>
    <t>4.29 La división de productos ópticos de Panasonic planea una expansión de su edificio que tendrá un costo de $3.5 millones, para fabricar su poderosa cámara digital Lumix DMC. Si la compañía usa para todas las inversiones nuevas una tasa de interés de 20% anual, compuesto trimestralmente, ¿cuál es la cantidad uniforme por trimestre que debe obtener para recuperar su inversión en 3 años?</t>
  </si>
  <si>
    <t xml:space="preserve"> anual, compuesto trimestralmente</t>
  </si>
  <si>
    <t>4.30 Thermal Systems, compañía que se especializa en el control de olores, deposita hoy $10 000, $25 000 al final del sexto mes, y $30 000 al final del noveno mes. Calcule el valor futuro (al final del año 1) de los depósitos, con una tasa de interés de 16% anual, compuesto trimestralmente.</t>
  </si>
  <si>
    <t>Hoy</t>
  </si>
  <si>
    <t>En el mes 6</t>
  </si>
  <si>
    <t>En el mes 9</t>
  </si>
  <si>
    <t>4.31 Lotus Development tiene un plan de renta de software denominado SmartSuite, disponible en web. Puede disponerse de cierto número de programas a $2.99 por 48 horas. Si una compañía constructora usa el servicio 48 horas en promedio por semana, ¿cuál es el valor presente de los costos por rentar durante 10 meses con una tasa de 1% de interés mensual, compuesto semanalmente? (Suponga 4 semanas por mes.)</t>
  </si>
  <si>
    <t>por semana</t>
  </si>
  <si>
    <t>mensual, compuesto semanalmente</t>
  </si>
  <si>
    <t>semanal</t>
  </si>
  <si>
    <t>semanas</t>
  </si>
  <si>
    <t>4.32 Northwest Iron and Steel analiza si incursiona en el comercio electrónico. Un paquete modesto de esta modalidad se encuentra disponible por $20 000. Si la compañía desea recuperar el costo en 2 años, ¿cuál es la cantidad equivalente del ingreso nuevo que debe obtenerse cada 6 meses, si la tasa de interés es de 3% trimestral?</t>
  </si>
  <si>
    <t>4.33 Metropolitan Water Utilities compró una superficie acuática del distrito de riego Elephant Butte, con un costo de $100 000 por mes, para los meses de febrero a septiembre. En lugar de hacer un pago mensual, la empresa hará un solo pago de $800 000 al final del año (es decir, al final de diciembre) por el agua utilizada. El retraso del pago representa en esencia un subsidio de parte de la empresa al distrito de riego. Con una tasa de interés de 0.25% mensual, ¿cuál es el monto del subsidio?</t>
  </si>
  <si>
    <t>por mes</t>
  </si>
  <si>
    <t>Feb</t>
  </si>
  <si>
    <t>Mar</t>
  </si>
  <si>
    <t>Abril</t>
  </si>
  <si>
    <t>Mayo</t>
  </si>
  <si>
    <t>Jun</t>
  </si>
  <si>
    <t>Jul</t>
  </si>
  <si>
    <t>Agos</t>
  </si>
  <si>
    <t>Sep</t>
  </si>
  <si>
    <t>Oct</t>
  </si>
  <si>
    <t>Nov</t>
  </si>
  <si>
    <t>Dic</t>
  </si>
  <si>
    <t>Este valor está ubicado en el mes 8</t>
  </si>
  <si>
    <t>Subsidio</t>
  </si>
  <si>
    <t>4.34 Scott Specialty Manufacturing analiza consolidar todos sus servicios electrónicos con una compañía. Si compra un teléfono digital de AT&amp;T Wireless la compañía podría comprar, por $6.99 al mes, servicios inalámbricos de correo electrónico y fax. Por $14.99 mensuales obtendría acceso ilimitado a la web y funciones de organización de personal. Para un periodo de contratación de 2 años, ¿cuál es el valor presente de la diferencia entre los servicios, con una tasa de 12% de interés anual compuesto mensualmente?</t>
  </si>
  <si>
    <t>4.38 Para los flujos de efectivo que se muestran a continuación, determine el valor presente (tiempo 0), usando una tasa de 18% de interés anual, compuesto mensualmente.</t>
  </si>
  <si>
    <t>Este valor está ubicado en el mes 12</t>
  </si>
  <si>
    <t>4.39 A continuación se presentan los flujos de efectivo (en miles) asociados con el sistema de aprendizaje Touch, de Fisher Price. Calcule la serie uniforme trimestral, en los trimestres 0 a 8, que sería equivalente a los flujos de efectivo mostrados, con una tasa de interés de 16% anual, compuesto trimestralmente.</t>
  </si>
  <si>
    <t>Primero descontar todos los flujos al trimestre -1</t>
  </si>
  <si>
    <t>Con el P calcular la Anualidad que empieza en 0</t>
  </si>
  <si>
    <t>Se debe llegar a -1</t>
  </si>
  <si>
    <t>Este valor está ubicado en el trimestre 1</t>
  </si>
  <si>
    <t>Este valor está ubicado en el trimestre 4</t>
  </si>
  <si>
    <r>
      <t>P</t>
    </r>
    <r>
      <rPr>
        <vertAlign val="subscript"/>
        <sz val="12"/>
        <rFont val="Franklin Gothic Book"/>
        <family val="2"/>
      </rPr>
      <t>-1</t>
    </r>
  </si>
  <si>
    <t>4.40 Un ingeniero deposita $300 por mes en una cuenta de ahorros con una tasa de interés de 6% anual, compuesto semestralmente. ¿Cuánto habrá en la cuenta al final de 15 años? Suponga que no hay ningún periodo intermedio de capitalización.</t>
  </si>
  <si>
    <t>anual, compuesto semestralmente</t>
  </si>
  <si>
    <t>no hay periódos de capitalización intermedios que los semestrales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</si>
</sst>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 #,##0;[Red]\-&quot;$&quot;\ #,##0"/>
    <numFmt numFmtId="8" formatCode="&quot;$&quot;\ #,##0.00;[Red]\-&quot;$&quot;\ #,##0.00"/>
    <numFmt numFmtId="164" formatCode="_(* #,##0.00_);_(* \(#,##0.00\);_(* &quot;-&quot;??_);_(@_)"/>
    <numFmt numFmtId="165" formatCode="_(* #,##0_);_(* \(#,##0\);_(* &quot;-&quot;??_);_(@_)"/>
    <numFmt numFmtId="166" formatCode="0.000"/>
    <numFmt numFmtId="167" formatCode="0.0%"/>
    <numFmt numFmtId="168" formatCode="0.000%"/>
    <numFmt numFmtId="169" formatCode="&quot;$&quot;\ #,##0.0;[Red]\-&quot;$&quot;\ #,##0.0"/>
    <numFmt numFmtId="170" formatCode="&quot;$&quot;\ #,##0.000;[Red]\-&quot;$&quot;\ #,##0.000"/>
    <numFmt numFmtId="171" formatCode="&quot;$&quot;\ #,##0.00000;[Red]\-&quot;$&quot;\ #,##0.00000"/>
    <numFmt numFmtId="172" formatCode="0.0"/>
    <numFmt numFmtId="173" formatCode="&quot;$&quot;\ #,##0.000000;[Red]\-&quot;$&quot;\ #,##0.000000"/>
  </numFmts>
  <fonts count="10" x14ac:knownFonts="1">
    <font>
      <sz val="11"/>
      <color theme="1"/>
      <name val="Calibri"/>
      <family val="2"/>
      <scheme val="minor"/>
    </font>
    <font>
      <sz val="11"/>
      <color theme="1"/>
      <name val="Calibri"/>
      <family val="2"/>
      <scheme val="minor"/>
    </font>
    <font>
      <b/>
      <sz val="11"/>
      <color theme="1"/>
      <name val="Franklin Gothic Book"/>
      <family val="2"/>
    </font>
    <font>
      <sz val="11"/>
      <color theme="1"/>
      <name val="Franklin Gothic Book"/>
      <family val="2"/>
    </font>
    <font>
      <sz val="8"/>
      <color indexed="8"/>
      <name val="Arial"/>
      <family val="2"/>
    </font>
    <font>
      <sz val="12"/>
      <name val="Franklin Gothic Book"/>
      <family val="2"/>
    </font>
    <font>
      <sz val="12"/>
      <color theme="1"/>
      <name val="Franklin Gothic Book"/>
      <family val="2"/>
    </font>
    <font>
      <sz val="11"/>
      <color theme="1"/>
      <name val="Tahoma"/>
      <family val="2"/>
    </font>
    <font>
      <b/>
      <sz val="12"/>
      <color theme="1"/>
      <name val="Franklin Gothic Book"/>
      <family val="2"/>
    </font>
    <font>
      <vertAlign val="subscript"/>
      <sz val="12"/>
      <name val="Franklin Gothic Book"/>
      <family val="2"/>
    </font>
  </fonts>
  <fills count="3">
    <fill>
      <patternFill patternType="none"/>
    </fill>
    <fill>
      <patternFill patternType="gray125"/>
    </fill>
    <fill>
      <patternFill patternType="solid">
        <fgColor theme="9" tint="0.7999816888943144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164" fontId="4" fillId="0" borderId="0" applyFont="0" applyFill="0" applyBorder="0" applyAlignment="0" applyProtection="0"/>
  </cellStyleXfs>
  <cellXfs count="48">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165" fontId="5" fillId="0" borderId="0" xfId="2" applyNumberFormat="1" applyFont="1" applyBorder="1" applyAlignment="1">
      <alignment horizontal="center" vertical="center"/>
    </xf>
    <xf numFmtId="6" fontId="6" fillId="0" borderId="0" xfId="0" applyNumberFormat="1" applyFont="1" applyAlignment="1">
      <alignment horizontal="center" vertical="center"/>
    </xf>
    <xf numFmtId="165" fontId="5" fillId="0" borderId="0" xfId="2" applyNumberFormat="1" applyFont="1" applyBorder="1" applyAlignment="1">
      <alignment vertical="center"/>
    </xf>
    <xf numFmtId="1" fontId="6" fillId="0" borderId="0" xfId="0" applyNumberFormat="1" applyFont="1" applyAlignment="1">
      <alignment horizontal="center" vertical="center"/>
    </xf>
    <xf numFmtId="165" fontId="5" fillId="0" borderId="0" xfId="2" applyNumberFormat="1" applyFont="1" applyBorder="1" applyAlignment="1">
      <alignment horizontal="left" vertical="center"/>
    </xf>
    <xf numFmtId="1" fontId="6" fillId="0" borderId="1" xfId="0" applyNumberFormat="1" applyFont="1" applyBorder="1" applyAlignment="1">
      <alignment horizontal="center" vertical="center"/>
    </xf>
    <xf numFmtId="1" fontId="6" fillId="0" borderId="2" xfId="0" applyNumberFormat="1" applyFont="1" applyBorder="1" applyAlignment="1">
      <alignment horizontal="center" vertical="center"/>
    </xf>
    <xf numFmtId="1" fontId="6" fillId="0" borderId="3" xfId="0" applyNumberFormat="1" applyFont="1" applyBorder="1" applyAlignment="1">
      <alignment horizontal="center" vertical="center"/>
    </xf>
    <xf numFmtId="9" fontId="6" fillId="0" borderId="0" xfId="1" applyFont="1" applyAlignment="1">
      <alignment horizontal="center" vertical="center"/>
    </xf>
    <xf numFmtId="165" fontId="5" fillId="0" borderId="0" xfId="2" applyNumberFormat="1" applyFont="1" applyFill="1" applyBorder="1" applyAlignment="1">
      <alignment vertical="center"/>
    </xf>
    <xf numFmtId="165" fontId="5" fillId="2" borderId="4" xfId="2" applyNumberFormat="1" applyFont="1" applyFill="1" applyBorder="1" applyAlignment="1">
      <alignment horizontal="center" vertical="center"/>
    </xf>
    <xf numFmtId="6" fontId="6" fillId="2" borderId="4" xfId="0" applyNumberFormat="1" applyFont="1" applyFill="1" applyBorder="1" applyAlignment="1">
      <alignment horizontal="center" vertical="center"/>
    </xf>
    <xf numFmtId="49" fontId="7" fillId="0" borderId="0" xfId="0" applyNumberFormat="1" applyFont="1" applyAlignment="1">
      <alignment vertical="center"/>
    </xf>
    <xf numFmtId="0" fontId="3" fillId="0" borderId="0" xfId="0" applyFont="1" applyAlignment="1">
      <alignment vertical="center" wrapText="1"/>
    </xf>
    <xf numFmtId="0" fontId="7" fillId="0" borderId="0" xfId="0" applyFont="1" applyAlignment="1">
      <alignment horizontal="center" vertical="center"/>
    </xf>
    <xf numFmtId="6" fontId="7" fillId="0" borderId="0" xfId="0" applyNumberFormat="1" applyFont="1" applyAlignment="1">
      <alignment horizontal="center" vertical="center"/>
    </xf>
    <xf numFmtId="166" fontId="6" fillId="0" borderId="0" xfId="0" applyNumberFormat="1" applyFont="1" applyAlignment="1">
      <alignment horizontal="center" vertical="center"/>
    </xf>
    <xf numFmtId="165" fontId="5" fillId="0" borderId="0" xfId="2" applyNumberFormat="1" applyFont="1" applyFill="1" applyBorder="1" applyAlignment="1">
      <alignment horizontal="center" vertical="center"/>
    </xf>
    <xf numFmtId="6" fontId="8" fillId="0" borderId="0" xfId="0" applyNumberFormat="1" applyFont="1" applyAlignment="1">
      <alignment horizontal="center" vertical="center"/>
    </xf>
    <xf numFmtId="165" fontId="5" fillId="2" borderId="0" xfId="2" applyNumberFormat="1" applyFont="1" applyFill="1" applyBorder="1" applyAlignment="1">
      <alignment horizontal="center" vertical="center"/>
    </xf>
    <xf numFmtId="1" fontId="6" fillId="2" borderId="0" xfId="0" applyNumberFormat="1" applyFont="1" applyFill="1" applyAlignment="1">
      <alignment horizontal="center" vertical="center"/>
    </xf>
    <xf numFmtId="167" fontId="6" fillId="0" borderId="0" xfId="1" applyNumberFormat="1" applyFont="1" applyAlignment="1">
      <alignment horizontal="center" vertical="center"/>
    </xf>
    <xf numFmtId="167" fontId="6" fillId="2" borderId="0" xfId="1" applyNumberFormat="1" applyFont="1" applyFill="1" applyAlignment="1">
      <alignment horizontal="center" vertical="center"/>
    </xf>
    <xf numFmtId="165" fontId="5" fillId="2" borderId="0" xfId="2" applyNumberFormat="1" applyFont="1" applyFill="1" applyBorder="1" applyAlignment="1">
      <alignment vertical="center"/>
    </xf>
    <xf numFmtId="9" fontId="6" fillId="2" borderId="0" xfId="1" applyFont="1" applyFill="1" applyAlignment="1">
      <alignment horizontal="center" vertical="center"/>
    </xf>
    <xf numFmtId="9" fontId="6" fillId="0" borderId="0" xfId="1" applyFont="1" applyAlignment="1">
      <alignment horizontal="left" vertical="center"/>
    </xf>
    <xf numFmtId="10" fontId="6" fillId="2" borderId="0" xfId="1" applyNumberFormat="1" applyFont="1" applyFill="1" applyAlignment="1">
      <alignment horizontal="center" vertical="center"/>
    </xf>
    <xf numFmtId="9" fontId="6" fillId="2" borderId="0" xfId="1" applyFont="1" applyFill="1" applyAlignment="1">
      <alignment horizontal="left" vertical="center"/>
    </xf>
    <xf numFmtId="10" fontId="6" fillId="0" borderId="0" xfId="1" applyNumberFormat="1" applyFont="1" applyAlignment="1">
      <alignment horizontal="center" vertical="center"/>
    </xf>
    <xf numFmtId="168" fontId="6" fillId="2" borderId="0" xfId="1" applyNumberFormat="1" applyFont="1" applyFill="1" applyAlignment="1">
      <alignment horizontal="center" vertical="center"/>
    </xf>
    <xf numFmtId="169" fontId="6" fillId="0" borderId="0" xfId="0" applyNumberFormat="1" applyFont="1" applyAlignment="1">
      <alignment horizontal="center" vertical="center"/>
    </xf>
    <xf numFmtId="170" fontId="6" fillId="2" borderId="4" xfId="0" applyNumberFormat="1" applyFont="1" applyFill="1" applyBorder="1" applyAlignment="1">
      <alignment horizontal="center" vertical="center"/>
    </xf>
    <xf numFmtId="8" fontId="6" fillId="2" borderId="4" xfId="0" applyNumberFormat="1" applyFont="1" applyFill="1" applyBorder="1" applyAlignment="1">
      <alignment horizontal="center" vertical="center"/>
    </xf>
    <xf numFmtId="171" fontId="6" fillId="2" borderId="4" xfId="0" applyNumberFormat="1" applyFont="1" applyFill="1" applyBorder="1" applyAlignment="1">
      <alignment horizontal="center" vertical="center"/>
    </xf>
    <xf numFmtId="172" fontId="6" fillId="0" borderId="0" xfId="0" applyNumberFormat="1" applyFont="1" applyAlignment="1">
      <alignment horizontal="center" vertical="center"/>
    </xf>
    <xf numFmtId="8" fontId="6" fillId="0" borderId="0" xfId="0" applyNumberFormat="1" applyFont="1" applyAlignment="1">
      <alignment horizontal="center" vertical="center"/>
    </xf>
    <xf numFmtId="169" fontId="6" fillId="2" borderId="4" xfId="0" applyNumberFormat="1" applyFont="1" applyFill="1" applyBorder="1" applyAlignment="1">
      <alignment horizontal="center" vertical="center"/>
    </xf>
    <xf numFmtId="173" fontId="6" fillId="2" borderId="4" xfId="0" applyNumberFormat="1" applyFont="1" applyFill="1" applyBorder="1" applyAlignment="1">
      <alignment horizontal="center" vertical="center"/>
    </xf>
    <xf numFmtId="165" fontId="5" fillId="0" borderId="4" xfId="2" applyNumberFormat="1" applyFont="1" applyFill="1" applyBorder="1" applyAlignment="1">
      <alignment horizontal="center" vertical="center"/>
    </xf>
    <xf numFmtId="6" fontId="6" fillId="0" borderId="4" xfId="0" applyNumberFormat="1" applyFont="1" applyBorder="1" applyAlignment="1">
      <alignment horizontal="center" vertical="center"/>
    </xf>
    <xf numFmtId="165" fontId="5" fillId="0" borderId="0" xfId="2" applyNumberFormat="1" applyFont="1" applyFill="1" applyBorder="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49" fontId="7" fillId="0" borderId="0" xfId="0" applyNumberFormat="1" applyFont="1" applyAlignment="1">
      <alignment horizontal="center" vertical="center"/>
    </xf>
    <xf numFmtId="165" fontId="5" fillId="0" borderId="5" xfId="2" applyNumberFormat="1" applyFont="1" applyBorder="1" applyAlignment="1">
      <alignment horizontal="center" vertical="center"/>
    </xf>
  </cellXfs>
  <cellStyles count="3">
    <cellStyle name="Comma 28" xfId="2" xr:uid="{AA568F9E-B6D6-49A8-952D-343E5BBE4C9F}"/>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123</xdr:row>
      <xdr:rowOff>5443</xdr:rowOff>
    </xdr:from>
    <xdr:to>
      <xdr:col>4</xdr:col>
      <xdr:colOff>474857</xdr:colOff>
      <xdr:row>130</xdr:row>
      <xdr:rowOff>104481</xdr:rowOff>
    </xdr:to>
    <xdr:pic>
      <xdr:nvPicPr>
        <xdr:cNvPr id="2" name="Imagen 1">
          <a:extLst>
            <a:ext uri="{FF2B5EF4-FFF2-40B4-BE49-F238E27FC236}">
              <a16:creationId xmlns:a16="http://schemas.microsoft.com/office/drawing/2014/main" id="{D338C01B-C41C-4181-9AD5-AEA0E8464723}"/>
            </a:ext>
          </a:extLst>
        </xdr:cNvPr>
        <xdr:cNvPicPr>
          <a:picLocks noChangeAspect="1"/>
        </xdr:cNvPicPr>
      </xdr:nvPicPr>
      <xdr:blipFill>
        <a:blip xmlns:r="http://schemas.openxmlformats.org/officeDocument/2006/relationships" r:embed="rId1"/>
        <a:stretch>
          <a:fillRect/>
        </a:stretch>
      </xdr:blipFill>
      <xdr:spPr>
        <a:xfrm>
          <a:off x="685800" y="24732343"/>
          <a:ext cx="3294257" cy="1432538"/>
        </a:xfrm>
        <a:prstGeom prst="rect">
          <a:avLst/>
        </a:prstGeom>
      </xdr:spPr>
    </xdr:pic>
    <xdr:clientData/>
  </xdr:twoCellAnchor>
  <xdr:twoCellAnchor>
    <xdr:from>
      <xdr:col>0</xdr:col>
      <xdr:colOff>43541</xdr:colOff>
      <xdr:row>273</xdr:row>
      <xdr:rowOff>168728</xdr:rowOff>
    </xdr:from>
    <xdr:to>
      <xdr:col>3</xdr:col>
      <xdr:colOff>669470</xdr:colOff>
      <xdr:row>277</xdr:row>
      <xdr:rowOff>92528</xdr:rowOff>
    </xdr:to>
    <xdr:sp macro="" textlink="">
      <xdr:nvSpPr>
        <xdr:cNvPr id="3" name="CuadroTexto 2">
          <a:extLst>
            <a:ext uri="{FF2B5EF4-FFF2-40B4-BE49-F238E27FC236}">
              <a16:creationId xmlns:a16="http://schemas.microsoft.com/office/drawing/2014/main" id="{4674872E-D5F7-4858-A004-EA07CB2240AC}"/>
            </a:ext>
          </a:extLst>
        </xdr:cNvPr>
        <xdr:cNvSpPr txBox="1"/>
      </xdr:nvSpPr>
      <xdr:spPr>
        <a:xfrm>
          <a:off x="43541" y="54937478"/>
          <a:ext cx="3369129"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r>
            <a:rPr lang="en-US" sz="1100">
              <a:solidFill>
                <a:schemeClr val="dk1"/>
              </a:solidFill>
              <a:effectLst/>
              <a:latin typeface="+mn-lt"/>
              <a:ea typeface="+mn-ea"/>
              <a:cs typeface="+mn-cs"/>
            </a:rPr>
            <a:t>100,000 = A(F/A,7%,5)(F/P,7%,10)</a:t>
          </a:r>
          <a:endParaRPr lang="es-CO" sz="1100">
            <a:solidFill>
              <a:schemeClr val="dk1"/>
            </a:solidFill>
            <a:effectLst/>
            <a:latin typeface="+mn-lt"/>
            <a:ea typeface="+mn-ea"/>
            <a:cs typeface="+mn-cs"/>
          </a:endParaRPr>
        </a:p>
        <a:p>
          <a:pPr lvl="1"/>
          <a:r>
            <a:rPr lang="en-US" sz="1100">
              <a:solidFill>
                <a:schemeClr val="dk1"/>
              </a:solidFill>
              <a:effectLst/>
              <a:latin typeface="+mn-lt"/>
              <a:ea typeface="+mn-ea"/>
              <a:cs typeface="+mn-cs"/>
            </a:rPr>
            <a:t>100,000 = A(5.7507)(1.9672) </a:t>
          </a:r>
          <a:endParaRPr lang="es-CO" sz="1100">
            <a:solidFill>
              <a:schemeClr val="dk1"/>
            </a:solidFill>
            <a:effectLst/>
            <a:latin typeface="+mn-lt"/>
            <a:ea typeface="+mn-ea"/>
            <a:cs typeface="+mn-cs"/>
          </a:endParaRPr>
        </a:p>
        <a:p>
          <a:pPr lvl="1"/>
          <a:r>
            <a:rPr lang="en-US" sz="1100">
              <a:solidFill>
                <a:schemeClr val="dk1"/>
              </a:solidFill>
              <a:effectLst/>
              <a:latin typeface="+mn-lt"/>
              <a:ea typeface="+mn-ea"/>
              <a:cs typeface="+mn-cs"/>
            </a:rPr>
            <a:t>A = $8839.56</a:t>
          </a:r>
          <a:endParaRPr lang="es-CO" sz="1100">
            <a:solidFill>
              <a:schemeClr val="dk1"/>
            </a:solidFill>
            <a:effectLst/>
            <a:latin typeface="+mn-lt"/>
            <a:ea typeface="+mn-ea"/>
            <a:cs typeface="+mn-cs"/>
          </a:endParaRPr>
        </a:p>
        <a:p>
          <a:endParaRPr lang="es-CO" sz="1100"/>
        </a:p>
      </xdr:txBody>
    </xdr:sp>
    <xdr:clientData/>
  </xdr:twoCellAnchor>
  <xdr:twoCellAnchor>
    <xdr:from>
      <xdr:col>3</xdr:col>
      <xdr:colOff>413656</xdr:colOff>
      <xdr:row>277</xdr:row>
      <xdr:rowOff>157843</xdr:rowOff>
    </xdr:from>
    <xdr:to>
      <xdr:col>6</xdr:col>
      <xdr:colOff>32860</xdr:colOff>
      <xdr:row>279</xdr:row>
      <xdr:rowOff>180706</xdr:rowOff>
    </xdr:to>
    <mc:AlternateContent xmlns:mc="http://schemas.openxmlformats.org/markup-compatibility/2006" xmlns:a14="http://schemas.microsoft.com/office/drawing/2010/main">
      <mc:Choice Requires="a14">
        <xdr:sp macro="" textlink="">
          <xdr:nvSpPr>
            <xdr:cNvPr id="4" name="CuadroTexto 53">
              <a:extLst>
                <a:ext uri="{FF2B5EF4-FFF2-40B4-BE49-F238E27FC236}">
                  <a16:creationId xmlns:a16="http://schemas.microsoft.com/office/drawing/2014/main" id="{E6497B51-9275-48F3-9A08-731A9EAD58B0}"/>
                </a:ext>
              </a:extLst>
            </xdr:cNvPr>
            <xdr:cNvSpPr txBox="1"/>
          </xdr:nvSpPr>
          <xdr:spPr>
            <a:xfrm>
              <a:off x="3156856" y="55707643"/>
              <a:ext cx="1619454" cy="40386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𝐴</m:t>
                    </m:r>
                    <m:d>
                      <m:dPr>
                        <m:begChr m:val="["/>
                        <m:endChr m:val="]"/>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rPr>
                                      <m:t>𝑖</m:t>
                                    </m:r>
                                  </m:e>
                                </m:d>
                              </m:e>
                              <m:sup>
                                <m:r>
                                  <a:rPr lang="es-MX" sz="1100" b="0" i="1">
                                    <a:latin typeface="Cambria Math" panose="02040503050406030204" pitchFamily="18" charset="0"/>
                                  </a:rPr>
                                  <m:t>𝑁</m:t>
                                </m:r>
                              </m:sup>
                            </m:sSup>
                            <m:r>
                              <a:rPr lang="es-MX" sz="1100" b="0" i="1">
                                <a:latin typeface="Cambria Math" panose="02040503050406030204" pitchFamily="18" charset="0"/>
                              </a:rPr>
                              <m:t>−1</m:t>
                            </m:r>
                          </m:num>
                          <m:den>
                            <m:r>
                              <a:rPr lang="es-MX" sz="1100" b="0" i="1">
                                <a:latin typeface="Cambria Math" panose="02040503050406030204" pitchFamily="18" charset="0"/>
                              </a:rPr>
                              <m:t>𝑖</m:t>
                            </m:r>
                          </m:den>
                        </m:f>
                      </m:e>
                    </m:d>
                  </m:oMath>
                </m:oMathPara>
              </a14:m>
              <a:endParaRPr lang="es-CO" sz="1100"/>
            </a:p>
          </xdr:txBody>
        </xdr:sp>
      </mc:Choice>
      <mc:Fallback xmlns="">
        <xdr:sp macro="" textlink="">
          <xdr:nvSpPr>
            <xdr:cNvPr id="4" name="CuadroTexto 53">
              <a:extLst>
                <a:ext uri="{FF2B5EF4-FFF2-40B4-BE49-F238E27FC236}">
                  <a16:creationId xmlns:a16="http://schemas.microsoft.com/office/drawing/2014/main" id="{E6497B51-9275-48F3-9A08-731A9EAD58B0}"/>
                </a:ext>
              </a:extLst>
            </xdr:cNvPr>
            <xdr:cNvSpPr txBox="1"/>
          </xdr:nvSpPr>
          <xdr:spPr>
            <a:xfrm>
              <a:off x="3156856" y="55707643"/>
              <a:ext cx="1619454" cy="403863"/>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100" b="0" i="0">
                  <a:latin typeface="Cambria Math" panose="02040503050406030204" pitchFamily="18" charset="0"/>
                </a:rPr>
                <a:t>𝐹=𝐴[((1+𝑖)^𝑁−1)/𝑖]</a:t>
              </a:r>
              <a:endParaRPr lang="es-CO" sz="1100"/>
            </a:p>
          </xdr:txBody>
        </xdr:sp>
      </mc:Fallback>
    </mc:AlternateContent>
    <xdr:clientData/>
  </xdr:twoCellAnchor>
  <xdr:twoCellAnchor>
    <xdr:from>
      <xdr:col>3</xdr:col>
      <xdr:colOff>522514</xdr:colOff>
      <xdr:row>280</xdr:row>
      <xdr:rowOff>103414</xdr:rowOff>
    </xdr:from>
    <xdr:to>
      <xdr:col>5</xdr:col>
      <xdr:colOff>609405</xdr:colOff>
      <xdr:row>281</xdr:row>
      <xdr:rowOff>66576</xdr:rowOff>
    </xdr:to>
    <mc:AlternateContent xmlns:mc="http://schemas.openxmlformats.org/markup-compatibility/2006" xmlns:a14="http://schemas.microsoft.com/office/drawing/2010/main">
      <mc:Choice Requires="a14">
        <xdr:sp macro="" textlink="">
          <xdr:nvSpPr>
            <xdr:cNvPr id="5" name="CuadroTexto 11">
              <a:extLst>
                <a:ext uri="{FF2B5EF4-FFF2-40B4-BE49-F238E27FC236}">
                  <a16:creationId xmlns:a16="http://schemas.microsoft.com/office/drawing/2014/main" id="{37AC3CBF-79B2-44A8-9FFB-F207E25354EB}"/>
                </a:ext>
              </a:extLst>
            </xdr:cNvPr>
            <xdr:cNvSpPr txBox="1"/>
          </xdr:nvSpPr>
          <xdr:spPr>
            <a:xfrm>
              <a:off x="3265714" y="56243764"/>
              <a:ext cx="1468016" cy="17271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r>
                      <a:rPr lang="es-MX" sz="1100" b="0" i="1">
                        <a:latin typeface="Cambria Math" panose="02040503050406030204" pitchFamily="18" charset="0"/>
                      </a:rPr>
                      <m:t>𝑃</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1+</m:t>
                            </m:r>
                            <m:r>
                              <a:rPr lang="es-MX" sz="1100" b="0" i="1">
                                <a:latin typeface="Cambria Math" panose="02040503050406030204" pitchFamily="18" charset="0"/>
                              </a:rPr>
                              <m:t>𝑖</m:t>
                            </m:r>
                          </m:e>
                        </m:d>
                      </m:e>
                      <m:sup>
                        <m:r>
                          <a:rPr lang="es-MX" sz="1100" b="0" i="1">
                            <a:latin typeface="Cambria Math" panose="02040503050406030204" pitchFamily="18" charset="0"/>
                          </a:rPr>
                          <m:t>𝑁</m:t>
                        </m:r>
                      </m:sup>
                    </m:sSup>
                  </m:oMath>
                </m:oMathPara>
              </a14:m>
              <a:endParaRPr lang="es-CO" sz="1100"/>
            </a:p>
          </xdr:txBody>
        </xdr:sp>
      </mc:Choice>
      <mc:Fallback xmlns="">
        <xdr:sp macro="" textlink="">
          <xdr:nvSpPr>
            <xdr:cNvPr id="5" name="CuadroTexto 11">
              <a:extLst>
                <a:ext uri="{FF2B5EF4-FFF2-40B4-BE49-F238E27FC236}">
                  <a16:creationId xmlns:a16="http://schemas.microsoft.com/office/drawing/2014/main" id="{37AC3CBF-79B2-44A8-9FFB-F207E25354EB}"/>
                </a:ext>
              </a:extLst>
            </xdr:cNvPr>
            <xdr:cNvSpPr txBox="1"/>
          </xdr:nvSpPr>
          <xdr:spPr>
            <a:xfrm>
              <a:off x="3265714" y="56243764"/>
              <a:ext cx="1468016" cy="172712"/>
            </a:xfrm>
            <a:prstGeom prst="rect">
              <a:avLst/>
            </a:prstGeom>
            <a:noFill/>
          </xdr:spPr>
          <xdr:txBody>
            <a:bodyPr wrap="square" lIns="0" tIns="0" rIns="0" bIns="0"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sz="1100" b="0" i="0">
                  <a:latin typeface="Cambria Math" panose="02040503050406030204" pitchFamily="18" charset="0"/>
                </a:rPr>
                <a:t>𝐹=𝑃(1+𝑖)^𝑁</a:t>
              </a:r>
              <a:endParaRPr lang="es-CO" sz="1100"/>
            </a:p>
          </xdr:txBody>
        </xdr:sp>
      </mc:Fallback>
    </mc:AlternateContent>
    <xdr:clientData/>
  </xdr:twoCellAnchor>
  <xdr:twoCellAnchor editAs="oneCell">
    <xdr:from>
      <xdr:col>1</xdr:col>
      <xdr:colOff>10886</xdr:colOff>
      <xdr:row>288</xdr:row>
      <xdr:rowOff>5442</xdr:rowOff>
    </xdr:from>
    <xdr:to>
      <xdr:col>3</xdr:col>
      <xdr:colOff>555172</xdr:colOff>
      <xdr:row>292</xdr:row>
      <xdr:rowOff>24047</xdr:rowOff>
    </xdr:to>
    <xdr:pic>
      <xdr:nvPicPr>
        <xdr:cNvPr id="6" name="Imagen 5">
          <a:extLst>
            <a:ext uri="{FF2B5EF4-FFF2-40B4-BE49-F238E27FC236}">
              <a16:creationId xmlns:a16="http://schemas.microsoft.com/office/drawing/2014/main" id="{CB6D3680-DFDC-4228-B75A-A821776FF289}"/>
            </a:ext>
          </a:extLst>
        </xdr:cNvPr>
        <xdr:cNvPicPr>
          <a:picLocks noChangeAspect="1"/>
        </xdr:cNvPicPr>
      </xdr:nvPicPr>
      <xdr:blipFill>
        <a:blip xmlns:r="http://schemas.openxmlformats.org/officeDocument/2006/relationships" r:embed="rId2"/>
        <a:stretch>
          <a:fillRect/>
        </a:stretch>
      </xdr:blipFill>
      <xdr:spPr>
        <a:xfrm>
          <a:off x="772886" y="57707892"/>
          <a:ext cx="2525486" cy="780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329</xdr:row>
      <xdr:rowOff>21772</xdr:rowOff>
    </xdr:from>
    <xdr:to>
      <xdr:col>3</xdr:col>
      <xdr:colOff>162424</xdr:colOff>
      <xdr:row>333</xdr:row>
      <xdr:rowOff>63772</xdr:rowOff>
    </xdr:to>
    <xdr:pic>
      <xdr:nvPicPr>
        <xdr:cNvPr id="2" name="Imagen 1">
          <a:extLst>
            <a:ext uri="{FF2B5EF4-FFF2-40B4-BE49-F238E27FC236}">
              <a16:creationId xmlns:a16="http://schemas.microsoft.com/office/drawing/2014/main" id="{9044BE40-0F39-41D0-8849-A413C01EB221}"/>
            </a:ext>
          </a:extLst>
        </xdr:cNvPr>
        <xdr:cNvPicPr>
          <a:picLocks noChangeAspect="1"/>
        </xdr:cNvPicPr>
      </xdr:nvPicPr>
      <xdr:blipFill>
        <a:blip xmlns:r="http://schemas.openxmlformats.org/officeDocument/2006/relationships" r:embed="rId1"/>
        <a:stretch>
          <a:fillRect/>
        </a:stretch>
      </xdr:blipFill>
      <xdr:spPr>
        <a:xfrm>
          <a:off x="647700" y="65287072"/>
          <a:ext cx="2153149" cy="804000"/>
        </a:xfrm>
        <a:prstGeom prst="rect">
          <a:avLst/>
        </a:prstGeom>
      </xdr:spPr>
    </xdr:pic>
    <xdr:clientData/>
  </xdr:twoCellAnchor>
  <xdr:twoCellAnchor editAs="oneCell">
    <xdr:from>
      <xdr:col>0</xdr:col>
      <xdr:colOff>729341</xdr:colOff>
      <xdr:row>357</xdr:row>
      <xdr:rowOff>13549</xdr:rowOff>
    </xdr:from>
    <xdr:to>
      <xdr:col>3</xdr:col>
      <xdr:colOff>625929</xdr:colOff>
      <xdr:row>361</xdr:row>
      <xdr:rowOff>27788</xdr:rowOff>
    </xdr:to>
    <xdr:pic>
      <xdr:nvPicPr>
        <xdr:cNvPr id="3" name="Imagen 2">
          <a:extLst>
            <a:ext uri="{FF2B5EF4-FFF2-40B4-BE49-F238E27FC236}">
              <a16:creationId xmlns:a16="http://schemas.microsoft.com/office/drawing/2014/main" id="{E39468AA-841F-41BC-AD92-1E80FA32E3C0}"/>
            </a:ext>
          </a:extLst>
        </xdr:cNvPr>
        <xdr:cNvPicPr>
          <a:picLocks noChangeAspect="1"/>
        </xdr:cNvPicPr>
      </xdr:nvPicPr>
      <xdr:blipFill>
        <a:blip xmlns:r="http://schemas.openxmlformats.org/officeDocument/2006/relationships" r:embed="rId2"/>
        <a:stretch>
          <a:fillRect/>
        </a:stretch>
      </xdr:blipFill>
      <xdr:spPr>
        <a:xfrm>
          <a:off x="729341" y="70860499"/>
          <a:ext cx="2535013" cy="77623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07B-A1DA-40E5-87D2-8632E61D305D}">
  <dimension ref="A1:O331"/>
  <sheetViews>
    <sheetView tabSelected="1" topLeftCell="A205" zoomScale="175" zoomScaleNormal="175" workbookViewId="0">
      <selection activeCell="B218" sqref="B218"/>
    </sheetView>
  </sheetViews>
  <sheetFormatPr baseColWidth="10" defaultRowHeight="15" x14ac:dyDescent="0.25"/>
  <cols>
    <col min="2" max="2" width="15.85546875" bestFit="1" customWidth="1"/>
    <col min="3" max="3" width="13.85546875" bestFit="1" customWidth="1"/>
    <col min="5" max="15" width="9.28515625" customWidth="1"/>
  </cols>
  <sheetData>
    <row r="1" spans="1:15" x14ac:dyDescent="0.25">
      <c r="A1" s="45" t="s">
        <v>0</v>
      </c>
      <c r="B1" s="45"/>
      <c r="C1" s="45"/>
      <c r="D1" s="45"/>
    </row>
    <row r="2" spans="1:15" x14ac:dyDescent="0.25">
      <c r="A2" s="45"/>
      <c r="B2" s="45"/>
      <c r="C2" s="45"/>
      <c r="D2" s="45"/>
    </row>
    <row r="3" spans="1:15" ht="15.75" x14ac:dyDescent="0.25">
      <c r="A3" s="1"/>
      <c r="B3" s="1"/>
      <c r="C3" s="1"/>
      <c r="D3" s="1"/>
    </row>
    <row r="4" spans="1:15" ht="15" customHeight="1" x14ac:dyDescent="0.25">
      <c r="A4" s="44" t="s">
        <v>1</v>
      </c>
      <c r="B4" s="44"/>
      <c r="C4" s="44"/>
      <c r="D4" s="44"/>
      <c r="E4" s="44"/>
      <c r="F4" s="44"/>
      <c r="G4" s="44"/>
      <c r="H4" s="44"/>
    </row>
    <row r="5" spans="1:15" ht="15" customHeight="1" x14ac:dyDescent="0.25">
      <c r="A5" s="44"/>
      <c r="B5" s="44"/>
      <c r="C5" s="44"/>
      <c r="D5" s="44"/>
      <c r="E5" s="44"/>
      <c r="F5" s="44"/>
      <c r="G5" s="44"/>
      <c r="H5" s="44"/>
    </row>
    <row r="6" spans="1:15" ht="15" customHeight="1" x14ac:dyDescent="0.25">
      <c r="A6" s="44"/>
      <c r="B6" s="44"/>
      <c r="C6" s="44"/>
      <c r="D6" s="44"/>
      <c r="E6" s="44"/>
      <c r="F6" s="44"/>
      <c r="G6" s="44"/>
      <c r="H6" s="44"/>
    </row>
    <row r="7" spans="1:15" ht="15" customHeight="1" x14ac:dyDescent="0.25">
      <c r="A7" s="44"/>
      <c r="B7" s="44"/>
      <c r="C7" s="44"/>
      <c r="D7" s="44"/>
      <c r="E7" s="44"/>
      <c r="F7" s="44"/>
      <c r="G7" s="44"/>
      <c r="H7" s="44"/>
    </row>
    <row r="8" spans="1:15" ht="15" customHeight="1" x14ac:dyDescent="0.25">
      <c r="A8" s="44"/>
      <c r="B8" s="44"/>
      <c r="C8" s="44"/>
      <c r="D8" s="44"/>
      <c r="E8" s="44"/>
      <c r="F8" s="44"/>
      <c r="G8" s="44"/>
      <c r="H8" s="44"/>
    </row>
    <row r="9" spans="1:15" ht="15" customHeight="1" x14ac:dyDescent="0.25">
      <c r="A9" s="44"/>
      <c r="B9" s="44"/>
      <c r="C9" s="44"/>
      <c r="D9" s="44"/>
      <c r="E9" s="44"/>
      <c r="F9" s="44"/>
      <c r="G9" s="44"/>
      <c r="H9" s="44"/>
    </row>
    <row r="10" spans="1:15" ht="15.75" customHeight="1" x14ac:dyDescent="0.25">
      <c r="A10" s="44"/>
      <c r="B10" s="44"/>
      <c r="C10" s="44"/>
      <c r="D10" s="44"/>
      <c r="E10" s="44"/>
      <c r="F10" s="44"/>
      <c r="G10" s="44"/>
      <c r="H10" s="44"/>
    </row>
    <row r="11" spans="1:15" ht="15.75" customHeight="1" x14ac:dyDescent="0.25">
      <c r="A11" s="44"/>
      <c r="B11" s="44"/>
      <c r="C11" s="44"/>
      <c r="D11" s="44"/>
      <c r="E11" s="44"/>
      <c r="F11" s="44"/>
      <c r="G11" s="44"/>
      <c r="H11" s="44"/>
    </row>
    <row r="12" spans="1:15" ht="15.75" customHeight="1" x14ac:dyDescent="0.25">
      <c r="A12" s="44"/>
      <c r="B12" s="44"/>
      <c r="C12" s="44"/>
      <c r="D12" s="44"/>
      <c r="E12" s="44"/>
      <c r="F12" s="44"/>
      <c r="G12" s="44"/>
      <c r="H12" s="44"/>
    </row>
    <row r="13" spans="1:15" x14ac:dyDescent="0.25">
      <c r="A13" s="2"/>
      <c r="B13" s="2"/>
      <c r="C13" s="2"/>
      <c r="D13" s="2"/>
    </row>
    <row r="14" spans="1:15" ht="16.5" x14ac:dyDescent="0.25">
      <c r="A14" s="3" t="s">
        <v>2</v>
      </c>
      <c r="B14" s="4">
        <f>260*100000</f>
        <v>26000000</v>
      </c>
      <c r="C14" s="5" t="s">
        <v>3</v>
      </c>
      <c r="D14" s="2"/>
      <c r="H14" s="6" t="s">
        <v>2</v>
      </c>
      <c r="I14" s="6" t="s">
        <v>2</v>
      </c>
      <c r="J14" s="6" t="s">
        <v>2</v>
      </c>
      <c r="K14" s="6" t="s">
        <v>2</v>
      </c>
      <c r="L14" s="6" t="s">
        <v>2</v>
      </c>
      <c r="M14" s="6" t="s">
        <v>2</v>
      </c>
      <c r="N14" s="6" t="s">
        <v>2</v>
      </c>
      <c r="O14" s="6" t="s">
        <v>2</v>
      </c>
    </row>
    <row r="15" spans="1:15" ht="16.5" x14ac:dyDescent="0.25">
      <c r="A15" s="7" t="s">
        <v>4</v>
      </c>
      <c r="B15" s="4"/>
      <c r="C15" s="5"/>
      <c r="D15" s="2"/>
      <c r="E15" s="8">
        <v>0</v>
      </c>
      <c r="F15" s="9">
        <v>1</v>
      </c>
      <c r="G15" s="9">
        <v>2</v>
      </c>
      <c r="H15" s="9">
        <v>3</v>
      </c>
      <c r="I15" s="9">
        <v>4</v>
      </c>
      <c r="J15" s="9">
        <v>5</v>
      </c>
      <c r="K15" s="9">
        <v>6</v>
      </c>
      <c r="L15" s="9">
        <v>7</v>
      </c>
      <c r="M15" s="9">
        <v>8</v>
      </c>
      <c r="N15" s="9">
        <v>9</v>
      </c>
      <c r="O15" s="10">
        <v>10</v>
      </c>
    </row>
    <row r="16" spans="1:15" ht="16.5" x14ac:dyDescent="0.25">
      <c r="A16" s="3" t="s">
        <v>5</v>
      </c>
      <c r="B16" s="6">
        <v>10</v>
      </c>
      <c r="C16" s="5" t="s">
        <v>6</v>
      </c>
      <c r="D16" s="2"/>
      <c r="E16" s="3" t="s">
        <v>7</v>
      </c>
      <c r="F16" s="3"/>
      <c r="G16" s="3" t="s">
        <v>8</v>
      </c>
    </row>
    <row r="17" spans="1:8" ht="16.5" x14ac:dyDescent="0.25">
      <c r="A17" s="3" t="s">
        <v>9</v>
      </c>
      <c r="B17" s="11">
        <v>0.1</v>
      </c>
      <c r="C17" s="5" t="s">
        <v>10</v>
      </c>
      <c r="D17" s="2"/>
      <c r="E17" s="3" t="s">
        <v>11</v>
      </c>
      <c r="F17" s="3"/>
      <c r="G17" s="3"/>
    </row>
    <row r="18" spans="1:8" x14ac:dyDescent="0.25">
      <c r="D18" s="2"/>
    </row>
    <row r="19" spans="1:8" ht="16.5" x14ac:dyDescent="0.25">
      <c r="A19" s="12" t="s">
        <v>12</v>
      </c>
    </row>
    <row r="20" spans="1:8" ht="16.5" x14ac:dyDescent="0.25">
      <c r="A20" s="3" t="s">
        <v>5</v>
      </c>
      <c r="B20" s="6">
        <v>8</v>
      </c>
      <c r="C20" s="5" t="s">
        <v>6</v>
      </c>
    </row>
    <row r="21" spans="1:8" ht="16.5" x14ac:dyDescent="0.25">
      <c r="A21" s="3" t="s">
        <v>13</v>
      </c>
      <c r="B21" s="4">
        <f>+PV(B17,B20,-B14)</f>
        <v>138708081.14546937</v>
      </c>
      <c r="C21" s="5" t="s">
        <v>14</v>
      </c>
    </row>
    <row r="22" spans="1:8" ht="16.5" x14ac:dyDescent="0.25">
      <c r="B22" s="5" t="s">
        <v>15</v>
      </c>
    </row>
    <row r="23" spans="1:8" ht="16.5" x14ac:dyDescent="0.25">
      <c r="B23" s="5"/>
    </row>
    <row r="24" spans="1:8" ht="16.5" x14ac:dyDescent="0.25">
      <c r="A24" s="12" t="s">
        <v>16</v>
      </c>
      <c r="B24" s="4"/>
    </row>
    <row r="25" spans="1:8" ht="16.5" x14ac:dyDescent="0.25">
      <c r="A25" s="3" t="s">
        <v>5</v>
      </c>
      <c r="B25" s="6">
        <v>2</v>
      </c>
      <c r="C25" s="5" t="s">
        <v>6</v>
      </c>
    </row>
    <row r="26" spans="1:8" ht="16.5" x14ac:dyDescent="0.25">
      <c r="A26" s="13" t="s">
        <v>13</v>
      </c>
      <c r="B26" s="14">
        <f>+PV(B17,B25,,-B21)</f>
        <v>114634777.80617301</v>
      </c>
      <c r="C26" s="15" t="s">
        <v>17</v>
      </c>
    </row>
    <row r="29" spans="1:8" ht="15" customHeight="1" x14ac:dyDescent="0.25">
      <c r="A29" s="44" t="s">
        <v>18</v>
      </c>
      <c r="B29" s="44"/>
      <c r="C29" s="44"/>
      <c r="D29" s="44"/>
      <c r="E29" s="44"/>
      <c r="F29" s="44"/>
      <c r="G29" s="44"/>
      <c r="H29" s="44"/>
    </row>
    <row r="30" spans="1:8" ht="15" customHeight="1" x14ac:dyDescent="0.25">
      <c r="A30" s="44"/>
      <c r="B30" s="44"/>
      <c r="C30" s="44"/>
      <c r="D30" s="44"/>
      <c r="E30" s="44"/>
      <c r="F30" s="44"/>
      <c r="G30" s="44"/>
      <c r="H30" s="44"/>
    </row>
    <row r="31" spans="1:8" ht="15" customHeight="1" x14ac:dyDescent="0.25">
      <c r="A31" s="44"/>
      <c r="B31" s="44"/>
      <c r="C31" s="44"/>
      <c r="D31" s="44"/>
      <c r="E31" s="44"/>
      <c r="F31" s="44"/>
      <c r="G31" s="44"/>
      <c r="H31" s="44"/>
    </row>
    <row r="32" spans="1:8" ht="15" customHeight="1" x14ac:dyDescent="0.25">
      <c r="A32" s="44"/>
      <c r="B32" s="44"/>
      <c r="C32" s="44"/>
      <c r="D32" s="44"/>
      <c r="E32" s="44"/>
      <c r="F32" s="44"/>
      <c r="G32" s="44"/>
      <c r="H32" s="44"/>
    </row>
    <row r="33" spans="1:13" ht="15" customHeight="1" x14ac:dyDescent="0.25">
      <c r="A33" s="44"/>
      <c r="B33" s="44"/>
      <c r="C33" s="44"/>
      <c r="D33" s="44"/>
      <c r="E33" s="44"/>
      <c r="F33" s="44"/>
      <c r="G33" s="44"/>
      <c r="H33" s="44"/>
    </row>
    <row r="34" spans="1:13" ht="15" customHeight="1" x14ac:dyDescent="0.25">
      <c r="A34" s="44"/>
      <c r="B34" s="44"/>
      <c r="C34" s="44"/>
      <c r="D34" s="44"/>
      <c r="E34" s="44"/>
      <c r="F34" s="44"/>
      <c r="G34" s="44"/>
      <c r="H34" s="44"/>
    </row>
    <row r="35" spans="1:13" ht="15" customHeight="1" x14ac:dyDescent="0.25">
      <c r="A35" s="44"/>
      <c r="B35" s="44"/>
      <c r="C35" s="44"/>
      <c r="D35" s="44"/>
      <c r="E35" s="44"/>
      <c r="F35" s="44"/>
      <c r="G35" s="44"/>
      <c r="H35" s="44"/>
    </row>
    <row r="36" spans="1:13" ht="15" customHeight="1" x14ac:dyDescent="0.25">
      <c r="A36" s="16"/>
      <c r="B36" s="16"/>
      <c r="C36" s="16"/>
      <c r="D36" s="16"/>
      <c r="E36" s="16"/>
      <c r="F36" s="16"/>
      <c r="G36" s="16"/>
      <c r="H36" s="16"/>
    </row>
    <row r="37" spans="1:13" ht="15" customHeight="1" x14ac:dyDescent="0.25">
      <c r="A37" s="3" t="s">
        <v>2</v>
      </c>
      <c r="B37" s="4">
        <f>56*50000</f>
        <v>2800000</v>
      </c>
      <c r="C37" s="16"/>
      <c r="D37" s="16"/>
      <c r="H37" s="6" t="s">
        <v>2</v>
      </c>
      <c r="I37" s="6" t="s">
        <v>2</v>
      </c>
      <c r="J37" s="6" t="s">
        <v>2</v>
      </c>
      <c r="K37" s="6" t="s">
        <v>2</v>
      </c>
      <c r="L37" s="6" t="s">
        <v>2</v>
      </c>
      <c r="M37" s="6"/>
    </row>
    <row r="38" spans="1:13" ht="16.5" x14ac:dyDescent="0.25">
      <c r="A38" s="3" t="s">
        <v>9</v>
      </c>
      <c r="B38" s="11">
        <v>0.08</v>
      </c>
      <c r="C38" s="5" t="s">
        <v>10</v>
      </c>
      <c r="F38" s="8">
        <v>0</v>
      </c>
      <c r="G38" s="9">
        <v>1</v>
      </c>
      <c r="H38" s="9">
        <v>2</v>
      </c>
      <c r="I38" s="9">
        <v>3</v>
      </c>
      <c r="J38" s="9">
        <v>4</v>
      </c>
      <c r="K38" s="9">
        <v>5</v>
      </c>
      <c r="L38" s="10">
        <v>6</v>
      </c>
      <c r="M38" s="6"/>
    </row>
    <row r="39" spans="1:13" ht="16.5" x14ac:dyDescent="0.25">
      <c r="A39" s="3"/>
      <c r="B39" s="6"/>
      <c r="C39" s="5"/>
      <c r="F39" s="3" t="s">
        <v>7</v>
      </c>
      <c r="G39" s="3" t="s">
        <v>8</v>
      </c>
    </row>
    <row r="40" spans="1:13" ht="16.5" x14ac:dyDescent="0.25">
      <c r="A40" s="12" t="s">
        <v>12</v>
      </c>
      <c r="F40" s="3" t="s">
        <v>11</v>
      </c>
      <c r="G40" s="3"/>
    </row>
    <row r="41" spans="1:13" ht="16.5" x14ac:dyDescent="0.25">
      <c r="A41" s="3" t="s">
        <v>5</v>
      </c>
      <c r="B41" s="6">
        <v>5</v>
      </c>
      <c r="C41" s="5" t="s">
        <v>6</v>
      </c>
    </row>
    <row r="42" spans="1:13" ht="16.5" x14ac:dyDescent="0.25">
      <c r="A42" s="3" t="s">
        <v>13</v>
      </c>
      <c r="B42" s="4">
        <f>+PV(B38,B41,-B37)</f>
        <v>11179588.103818644</v>
      </c>
      <c r="C42" s="5" t="s">
        <v>14</v>
      </c>
    </row>
    <row r="43" spans="1:13" ht="16.5" x14ac:dyDescent="0.25">
      <c r="B43" s="5" t="s">
        <v>19</v>
      </c>
    </row>
    <row r="44" spans="1:13" ht="16.5" x14ac:dyDescent="0.25">
      <c r="B44" s="5"/>
    </row>
    <row r="45" spans="1:13" ht="16.5" x14ac:dyDescent="0.25">
      <c r="A45" s="12" t="s">
        <v>16</v>
      </c>
      <c r="B45" s="4"/>
    </row>
    <row r="46" spans="1:13" ht="16.5" x14ac:dyDescent="0.25">
      <c r="A46" s="3" t="s">
        <v>5</v>
      </c>
      <c r="B46" s="6">
        <v>1</v>
      </c>
      <c r="C46" s="5" t="s">
        <v>6</v>
      </c>
    </row>
    <row r="47" spans="1:13" ht="16.5" x14ac:dyDescent="0.25">
      <c r="A47" s="13" t="s">
        <v>13</v>
      </c>
      <c r="B47" s="14">
        <f>+PV(B38,B46,,-B42)</f>
        <v>10351470.466498744</v>
      </c>
      <c r="C47" s="15" t="s">
        <v>17</v>
      </c>
    </row>
    <row r="49" spans="1:14" x14ac:dyDescent="0.25">
      <c r="A49" s="44" t="s">
        <v>20</v>
      </c>
      <c r="B49" s="44"/>
      <c r="C49" s="44"/>
      <c r="D49" s="44"/>
      <c r="E49" s="44"/>
      <c r="F49" s="44"/>
      <c r="G49" s="44"/>
      <c r="H49" s="44"/>
    </row>
    <row r="50" spans="1:14" x14ac:dyDescent="0.25">
      <c r="A50" s="44"/>
      <c r="B50" s="44"/>
      <c r="C50" s="44"/>
      <c r="D50" s="44"/>
      <c r="E50" s="44"/>
      <c r="F50" s="44"/>
      <c r="G50" s="44"/>
      <c r="H50" s="44"/>
    </row>
    <row r="51" spans="1:14" x14ac:dyDescent="0.25">
      <c r="A51" s="44"/>
      <c r="B51" s="44"/>
      <c r="C51" s="44"/>
      <c r="D51" s="44"/>
      <c r="E51" s="44"/>
      <c r="F51" s="44"/>
      <c r="G51" s="44"/>
      <c r="H51" s="44"/>
    </row>
    <row r="52" spans="1:14" x14ac:dyDescent="0.25">
      <c r="A52" s="44"/>
      <c r="B52" s="44"/>
      <c r="C52" s="44"/>
      <c r="D52" s="44"/>
      <c r="E52" s="44"/>
      <c r="F52" s="44"/>
      <c r="G52" s="44"/>
      <c r="H52" s="44"/>
    </row>
    <row r="53" spans="1:14" x14ac:dyDescent="0.25">
      <c r="A53" s="44"/>
      <c r="B53" s="44"/>
      <c r="C53" s="44"/>
      <c r="D53" s="44"/>
      <c r="E53" s="44"/>
      <c r="F53" s="44"/>
      <c r="G53" s="44"/>
      <c r="H53" s="44"/>
    </row>
    <row r="54" spans="1:14" x14ac:dyDescent="0.25">
      <c r="A54" s="44"/>
      <c r="B54" s="44"/>
      <c r="C54" s="44"/>
      <c r="D54" s="44"/>
      <c r="E54" s="44"/>
      <c r="F54" s="44"/>
      <c r="G54" s="44"/>
      <c r="H54" s="44"/>
    </row>
    <row r="55" spans="1:14" x14ac:dyDescent="0.25">
      <c r="A55" s="44"/>
      <c r="B55" s="44"/>
      <c r="C55" s="44"/>
      <c r="D55" s="44"/>
      <c r="E55" s="44"/>
      <c r="F55" s="44"/>
      <c r="G55" s="44"/>
      <c r="H55" s="44"/>
    </row>
    <row r="57" spans="1:14" ht="16.5" x14ac:dyDescent="0.25">
      <c r="A57" s="3" t="s">
        <v>21</v>
      </c>
      <c r="B57" s="4">
        <f>80*2000</f>
        <v>160000</v>
      </c>
      <c r="C57" s="5" t="s">
        <v>22</v>
      </c>
      <c r="G57" s="3" t="s">
        <v>21</v>
      </c>
      <c r="H57" s="3" t="s">
        <v>21</v>
      </c>
      <c r="I57" s="3" t="s">
        <v>21</v>
      </c>
      <c r="J57" s="3" t="s">
        <v>23</v>
      </c>
      <c r="K57" s="3" t="s">
        <v>23</v>
      </c>
      <c r="L57" s="3" t="s">
        <v>23</v>
      </c>
      <c r="M57" s="3" t="s">
        <v>23</v>
      </c>
      <c r="N57" s="3" t="s">
        <v>23</v>
      </c>
    </row>
    <row r="58" spans="1:14" ht="16.5" x14ac:dyDescent="0.25">
      <c r="A58" s="3" t="s">
        <v>23</v>
      </c>
      <c r="B58" s="4">
        <f>100*2500</f>
        <v>250000</v>
      </c>
      <c r="C58" s="5" t="s">
        <v>24</v>
      </c>
      <c r="F58" s="8">
        <v>0</v>
      </c>
      <c r="G58" s="9">
        <v>1</v>
      </c>
      <c r="H58" s="9">
        <v>2</v>
      </c>
      <c r="I58" s="9">
        <v>3</v>
      </c>
      <c r="J58" s="9">
        <v>4</v>
      </c>
      <c r="K58" s="9">
        <v>5</v>
      </c>
      <c r="L58" s="9">
        <v>6</v>
      </c>
      <c r="M58" s="9">
        <v>7</v>
      </c>
      <c r="N58" s="10">
        <v>8</v>
      </c>
    </row>
    <row r="59" spans="1:14" ht="16.5" x14ac:dyDescent="0.25">
      <c r="A59" s="3" t="s">
        <v>9</v>
      </c>
      <c r="B59" s="11">
        <v>0.18</v>
      </c>
      <c r="C59" s="5" t="s">
        <v>10</v>
      </c>
      <c r="F59" s="3" t="s">
        <v>25</v>
      </c>
      <c r="G59" s="3"/>
      <c r="H59" s="3"/>
      <c r="I59" s="3" t="s">
        <v>26</v>
      </c>
    </row>
    <row r="60" spans="1:14" ht="16.5" x14ac:dyDescent="0.25">
      <c r="A60" s="3"/>
      <c r="B60" s="6"/>
      <c r="C60" s="5"/>
      <c r="F60" s="3" t="s">
        <v>11</v>
      </c>
      <c r="G60" s="3"/>
      <c r="H60" s="3"/>
      <c r="I60" s="3" t="s">
        <v>7</v>
      </c>
    </row>
    <row r="62" spans="1:14" ht="16.5" x14ac:dyDescent="0.25">
      <c r="A62" s="12" t="s">
        <v>27</v>
      </c>
    </row>
    <row r="63" spans="1:14" ht="16.5" x14ac:dyDescent="0.25">
      <c r="A63" s="3" t="s">
        <v>5</v>
      </c>
      <c r="B63" s="6">
        <v>5</v>
      </c>
      <c r="C63" s="5" t="s">
        <v>6</v>
      </c>
    </row>
    <row r="64" spans="1:14" ht="16.5" x14ac:dyDescent="0.25">
      <c r="A64" s="3" t="s">
        <v>13</v>
      </c>
      <c r="B64" s="4">
        <f>+PV(B59,B63,-B58)</f>
        <v>781792.75523547397</v>
      </c>
      <c r="C64" s="5" t="s">
        <v>14</v>
      </c>
    </row>
    <row r="65" spans="1:8" ht="16.5" x14ac:dyDescent="0.25">
      <c r="B65" s="5" t="s">
        <v>28</v>
      </c>
    </row>
    <row r="66" spans="1:8" ht="16.5" x14ac:dyDescent="0.25">
      <c r="B66" s="5"/>
    </row>
    <row r="67" spans="1:8" ht="16.5" x14ac:dyDescent="0.25">
      <c r="A67" s="12" t="s">
        <v>29</v>
      </c>
      <c r="B67" s="4"/>
    </row>
    <row r="68" spans="1:8" ht="16.5" x14ac:dyDescent="0.25">
      <c r="A68" s="3" t="s">
        <v>5</v>
      </c>
      <c r="B68" s="6">
        <v>3</v>
      </c>
      <c r="C68" s="5" t="s">
        <v>6</v>
      </c>
    </row>
    <row r="69" spans="1:8" ht="16.5" x14ac:dyDescent="0.25">
      <c r="A69" s="3" t="s">
        <v>13</v>
      </c>
      <c r="B69" s="4">
        <f>+PV(B59,B68,,-B64)</f>
        <v>475823.20687331352</v>
      </c>
      <c r="C69" s="15" t="s">
        <v>17</v>
      </c>
    </row>
    <row r="70" spans="1:8" ht="16.5" x14ac:dyDescent="0.25">
      <c r="A70" s="3"/>
      <c r="B70" s="4"/>
      <c r="C70" s="15"/>
    </row>
    <row r="71" spans="1:8" ht="16.5" x14ac:dyDescent="0.25">
      <c r="A71" s="12" t="s">
        <v>30</v>
      </c>
    </row>
    <row r="72" spans="1:8" ht="16.5" x14ac:dyDescent="0.25">
      <c r="A72" s="3" t="s">
        <v>5</v>
      </c>
      <c r="B72" s="6">
        <v>3</v>
      </c>
      <c r="C72" s="5" t="s">
        <v>6</v>
      </c>
    </row>
    <row r="73" spans="1:8" ht="16.5" x14ac:dyDescent="0.25">
      <c r="A73" s="3" t="s">
        <v>13</v>
      </c>
      <c r="B73" s="4">
        <f>+PV(B59,B72,-B57)</f>
        <v>347883.66872951953</v>
      </c>
      <c r="C73" s="5" t="s">
        <v>14</v>
      </c>
    </row>
    <row r="74" spans="1:8" ht="16.5" x14ac:dyDescent="0.25">
      <c r="B74" s="5"/>
    </row>
    <row r="75" spans="1:8" ht="16.5" x14ac:dyDescent="0.25">
      <c r="A75" s="13" t="s">
        <v>13</v>
      </c>
      <c r="B75" s="14">
        <f>+B69+B73</f>
        <v>823706.875602833</v>
      </c>
    </row>
    <row r="77" spans="1:8" x14ac:dyDescent="0.25">
      <c r="A77" s="44" t="s">
        <v>31</v>
      </c>
      <c r="B77" s="44"/>
      <c r="C77" s="44"/>
      <c r="D77" s="44"/>
      <c r="E77" s="44"/>
      <c r="F77" s="44"/>
      <c r="G77" s="44"/>
      <c r="H77" s="44"/>
    </row>
    <row r="78" spans="1:8" x14ac:dyDescent="0.25">
      <c r="A78" s="44"/>
      <c r="B78" s="44"/>
      <c r="C78" s="44"/>
      <c r="D78" s="44"/>
      <c r="E78" s="44"/>
      <c r="F78" s="44"/>
      <c r="G78" s="44"/>
      <c r="H78" s="44"/>
    </row>
    <row r="79" spans="1:8" x14ac:dyDescent="0.25">
      <c r="A79" s="44"/>
      <c r="B79" s="44"/>
      <c r="C79" s="44"/>
      <c r="D79" s="44"/>
      <c r="E79" s="44"/>
      <c r="F79" s="44"/>
      <c r="G79" s="44"/>
      <c r="H79" s="44"/>
    </row>
    <row r="80" spans="1:8" x14ac:dyDescent="0.25">
      <c r="A80" s="44"/>
      <c r="B80" s="44"/>
      <c r="C80" s="44"/>
      <c r="D80" s="44"/>
      <c r="E80" s="44"/>
      <c r="F80" s="44"/>
      <c r="G80" s="44"/>
      <c r="H80" s="44"/>
    </row>
    <row r="81" spans="1:12" x14ac:dyDescent="0.25">
      <c r="A81" s="44"/>
      <c r="B81" s="44"/>
      <c r="C81" s="44"/>
      <c r="D81" s="44"/>
      <c r="E81" s="44"/>
      <c r="F81" s="44"/>
      <c r="G81" s="44"/>
      <c r="H81" s="44"/>
    </row>
    <row r="82" spans="1:12" x14ac:dyDescent="0.25">
      <c r="A82" s="44"/>
      <c r="B82" s="44"/>
      <c r="C82" s="44"/>
      <c r="D82" s="44"/>
      <c r="E82" s="44"/>
      <c r="F82" s="44"/>
      <c r="G82" s="44"/>
      <c r="H82" s="44"/>
    </row>
    <row r="83" spans="1:12" x14ac:dyDescent="0.25">
      <c r="A83" s="44"/>
      <c r="B83" s="44"/>
      <c r="C83" s="44"/>
      <c r="D83" s="44"/>
      <c r="E83" s="44"/>
      <c r="F83" s="44"/>
      <c r="G83" s="44"/>
      <c r="H83" s="44"/>
    </row>
    <row r="85" spans="1:12" ht="16.5" x14ac:dyDescent="0.25">
      <c r="A85" s="3" t="s">
        <v>21</v>
      </c>
      <c r="B85" s="4">
        <v>100000</v>
      </c>
      <c r="C85" s="5" t="s">
        <v>32</v>
      </c>
      <c r="H85" s="3" t="s">
        <v>21</v>
      </c>
      <c r="I85" s="3" t="s">
        <v>21</v>
      </c>
      <c r="J85" s="3" t="s">
        <v>21</v>
      </c>
      <c r="K85" s="3" t="s">
        <v>23</v>
      </c>
      <c r="L85" s="3" t="s">
        <v>23</v>
      </c>
    </row>
    <row r="86" spans="1:12" ht="16.5" x14ac:dyDescent="0.25">
      <c r="A86" s="3" t="s">
        <v>23</v>
      </c>
      <c r="B86" s="4">
        <v>200000</v>
      </c>
      <c r="C86" s="5" t="s">
        <v>33</v>
      </c>
      <c r="G86" s="8">
        <v>0</v>
      </c>
      <c r="H86" s="9">
        <v>1</v>
      </c>
      <c r="I86" s="9">
        <v>2</v>
      </c>
      <c r="J86" s="9">
        <v>3</v>
      </c>
      <c r="K86" s="9">
        <v>4</v>
      </c>
      <c r="L86" s="10">
        <v>5</v>
      </c>
    </row>
    <row r="87" spans="1:12" ht="16.5" x14ac:dyDescent="0.25">
      <c r="A87" s="3" t="s">
        <v>9</v>
      </c>
      <c r="B87" s="11">
        <v>0.15</v>
      </c>
      <c r="C87" s="5" t="s">
        <v>10</v>
      </c>
      <c r="G87" s="3" t="s">
        <v>25</v>
      </c>
      <c r="H87" s="3"/>
      <c r="I87" s="3"/>
      <c r="J87" s="3" t="s">
        <v>26</v>
      </c>
    </row>
    <row r="88" spans="1:12" ht="16.5" x14ac:dyDescent="0.25">
      <c r="G88" s="3" t="s">
        <v>11</v>
      </c>
      <c r="H88" s="3"/>
      <c r="I88" s="3"/>
      <c r="J88" s="3" t="s">
        <v>7</v>
      </c>
    </row>
    <row r="89" spans="1:12" ht="16.5" x14ac:dyDescent="0.25">
      <c r="A89" s="12" t="s">
        <v>27</v>
      </c>
    </row>
    <row r="90" spans="1:12" ht="16.5" x14ac:dyDescent="0.25">
      <c r="A90" s="3" t="s">
        <v>5</v>
      </c>
      <c r="B90" s="6">
        <v>2</v>
      </c>
      <c r="C90" s="5" t="s">
        <v>6</v>
      </c>
    </row>
    <row r="91" spans="1:12" ht="16.5" x14ac:dyDescent="0.25">
      <c r="A91" s="3" t="s">
        <v>13</v>
      </c>
      <c r="B91" s="4">
        <f>+PV(B87,B90,-B86)</f>
        <v>325141.77693761798</v>
      </c>
      <c r="C91" s="5" t="s">
        <v>14</v>
      </c>
    </row>
    <row r="92" spans="1:12" ht="16.5" x14ac:dyDescent="0.25">
      <c r="B92" s="5" t="s">
        <v>28</v>
      </c>
    </row>
    <row r="93" spans="1:12" ht="16.5" x14ac:dyDescent="0.25">
      <c r="B93" s="5"/>
    </row>
    <row r="94" spans="1:12" ht="16.5" x14ac:dyDescent="0.25">
      <c r="A94" s="12" t="s">
        <v>29</v>
      </c>
      <c r="B94" s="4"/>
    </row>
    <row r="95" spans="1:12" ht="16.5" x14ac:dyDescent="0.25">
      <c r="A95" s="3" t="s">
        <v>5</v>
      </c>
      <c r="B95" s="6">
        <v>3</v>
      </c>
      <c r="C95" s="5" t="s">
        <v>6</v>
      </c>
    </row>
    <row r="96" spans="1:12" ht="16.5" x14ac:dyDescent="0.25">
      <c r="A96" s="3" t="s">
        <v>13</v>
      </c>
      <c r="B96" s="4">
        <f>+PV(B87,B95,,-B91)</f>
        <v>213785.99617826453</v>
      </c>
      <c r="C96" s="15" t="s">
        <v>17</v>
      </c>
    </row>
    <row r="97" spans="1:12" ht="16.5" x14ac:dyDescent="0.25">
      <c r="A97" s="3"/>
      <c r="B97" s="4"/>
      <c r="C97" s="15"/>
    </row>
    <row r="98" spans="1:12" ht="16.5" x14ac:dyDescent="0.25">
      <c r="A98" s="12" t="s">
        <v>30</v>
      </c>
    </row>
    <row r="99" spans="1:12" ht="16.5" x14ac:dyDescent="0.25">
      <c r="A99" s="3" t="s">
        <v>5</v>
      </c>
      <c r="B99" s="6">
        <v>3</v>
      </c>
      <c r="C99" s="5" t="s">
        <v>6</v>
      </c>
    </row>
    <row r="100" spans="1:12" ht="16.5" x14ac:dyDescent="0.25">
      <c r="A100" s="3" t="s">
        <v>13</v>
      </c>
      <c r="B100" s="4">
        <f>+PV(B87,B99,-B85)</f>
        <v>228322.51171200778</v>
      </c>
      <c r="C100" s="5" t="s">
        <v>14</v>
      </c>
    </row>
    <row r="101" spans="1:12" ht="16.5" x14ac:dyDescent="0.25">
      <c r="B101" s="5"/>
    </row>
    <row r="102" spans="1:12" ht="16.5" x14ac:dyDescent="0.25">
      <c r="A102" s="13" t="s">
        <v>13</v>
      </c>
      <c r="B102" s="14">
        <f>+B96+B100</f>
        <v>442108.5078902723</v>
      </c>
    </row>
    <row r="104" spans="1:12" x14ac:dyDescent="0.25">
      <c r="A104" s="44" t="s">
        <v>34</v>
      </c>
      <c r="B104" s="44"/>
      <c r="C104" s="44"/>
      <c r="D104" s="44"/>
      <c r="E104" s="44"/>
      <c r="F104" s="44"/>
      <c r="G104" s="44"/>
      <c r="H104" s="44"/>
    </row>
    <row r="105" spans="1:12" x14ac:dyDescent="0.25">
      <c r="A105" s="44"/>
      <c r="B105" s="44"/>
      <c r="C105" s="44"/>
      <c r="D105" s="44"/>
      <c r="E105" s="44"/>
      <c r="F105" s="44"/>
      <c r="G105" s="44"/>
      <c r="H105" s="44"/>
    </row>
    <row r="106" spans="1:12" x14ac:dyDescent="0.25">
      <c r="A106" s="44"/>
      <c r="B106" s="44"/>
      <c r="C106" s="44"/>
      <c r="D106" s="44"/>
      <c r="E106" s="44"/>
      <c r="F106" s="44"/>
      <c r="G106" s="44"/>
      <c r="H106" s="44"/>
    </row>
    <row r="107" spans="1:12" x14ac:dyDescent="0.25">
      <c r="A107" s="44"/>
      <c r="B107" s="44"/>
      <c r="C107" s="44"/>
      <c r="D107" s="44"/>
      <c r="E107" s="44"/>
      <c r="F107" s="44"/>
      <c r="G107" s="44"/>
      <c r="H107" s="44"/>
    </row>
    <row r="108" spans="1:12" x14ac:dyDescent="0.25">
      <c r="A108" s="44"/>
      <c r="B108" s="44"/>
      <c r="C108" s="44"/>
      <c r="D108" s="44"/>
      <c r="E108" s="44"/>
      <c r="F108" s="44"/>
      <c r="G108" s="44"/>
      <c r="H108" s="44"/>
    </row>
    <row r="109" spans="1:12" x14ac:dyDescent="0.25">
      <c r="A109" s="44"/>
      <c r="B109" s="44"/>
      <c r="C109" s="44"/>
      <c r="D109" s="44"/>
      <c r="E109" s="44"/>
      <c r="F109" s="44"/>
      <c r="G109" s="44"/>
      <c r="H109" s="44"/>
    </row>
    <row r="110" spans="1:12" x14ac:dyDescent="0.25">
      <c r="A110" s="44"/>
      <c r="B110" s="44"/>
      <c r="C110" s="44"/>
      <c r="D110" s="44"/>
      <c r="E110" s="44"/>
      <c r="F110" s="44"/>
      <c r="G110" s="44"/>
      <c r="H110" s="44"/>
    </row>
    <row r="112" spans="1:12" ht="16.5" x14ac:dyDescent="0.25">
      <c r="A112" s="3" t="s">
        <v>2</v>
      </c>
      <c r="B112" s="4">
        <v>150000</v>
      </c>
      <c r="C112" s="15" t="s">
        <v>35</v>
      </c>
      <c r="G112" s="3" t="s">
        <v>36</v>
      </c>
      <c r="H112" s="3" t="s">
        <v>2</v>
      </c>
      <c r="I112" s="3" t="s">
        <v>2</v>
      </c>
      <c r="J112" s="3" t="s">
        <v>2</v>
      </c>
      <c r="K112" s="3" t="s">
        <v>2</v>
      </c>
      <c r="L112" s="3" t="s">
        <v>2</v>
      </c>
    </row>
    <row r="113" spans="1:12" ht="16.5" x14ac:dyDescent="0.25">
      <c r="A113" s="3" t="s">
        <v>9</v>
      </c>
      <c r="B113" s="11">
        <v>0.1</v>
      </c>
      <c r="C113" s="5" t="s">
        <v>10</v>
      </c>
      <c r="G113" s="8">
        <v>0</v>
      </c>
      <c r="H113" s="9">
        <v>1</v>
      </c>
      <c r="I113" s="9">
        <v>2</v>
      </c>
      <c r="J113" s="9">
        <v>3</v>
      </c>
      <c r="K113" s="9">
        <v>4</v>
      </c>
      <c r="L113" s="10">
        <v>5</v>
      </c>
    </row>
    <row r="114" spans="1:12" ht="16.5" x14ac:dyDescent="0.25">
      <c r="G114" s="3" t="s">
        <v>25</v>
      </c>
      <c r="J114" s="6"/>
    </row>
    <row r="115" spans="1:12" ht="16.5" x14ac:dyDescent="0.25">
      <c r="A115" s="12" t="s">
        <v>12</v>
      </c>
      <c r="G115" s="3" t="s">
        <v>11</v>
      </c>
      <c r="J115" s="17"/>
    </row>
    <row r="116" spans="1:12" ht="16.5" x14ac:dyDescent="0.25">
      <c r="A116" s="3" t="s">
        <v>5</v>
      </c>
      <c r="B116" s="6">
        <v>5</v>
      </c>
      <c r="C116" s="5" t="s">
        <v>6</v>
      </c>
    </row>
    <row r="117" spans="1:12" ht="16.5" x14ac:dyDescent="0.25">
      <c r="A117" s="3" t="s">
        <v>13</v>
      </c>
      <c r="B117" s="4">
        <f>+PV(B113,B116,-B112)</f>
        <v>568618.01541126752</v>
      </c>
      <c r="C117" s="5" t="s">
        <v>14</v>
      </c>
    </row>
    <row r="118" spans="1:12" ht="16.5" x14ac:dyDescent="0.25">
      <c r="B118" s="5"/>
    </row>
    <row r="119" spans="1:12" ht="16.5" x14ac:dyDescent="0.25">
      <c r="A119" s="13" t="s">
        <v>13</v>
      </c>
      <c r="B119" s="14">
        <f>+B117+B112</f>
        <v>718618.01541126752</v>
      </c>
    </row>
    <row r="121" spans="1:12" ht="15" customHeight="1" x14ac:dyDescent="0.25">
      <c r="A121" s="44" t="s">
        <v>37</v>
      </c>
      <c r="B121" s="44"/>
      <c r="C121" s="44"/>
      <c r="D121" s="44"/>
      <c r="E121" s="44"/>
      <c r="F121" s="44"/>
      <c r="G121" s="44"/>
      <c r="H121" s="44"/>
    </row>
    <row r="122" spans="1:12" ht="15" customHeight="1" x14ac:dyDescent="0.25">
      <c r="A122" s="44"/>
      <c r="B122" s="44"/>
      <c r="C122" s="44"/>
      <c r="D122" s="44"/>
      <c r="E122" s="44"/>
      <c r="F122" s="44"/>
      <c r="G122" s="44"/>
      <c r="H122" s="44"/>
    </row>
    <row r="123" spans="1:12" ht="15" customHeight="1" x14ac:dyDescent="0.25">
      <c r="A123" s="44"/>
      <c r="B123" s="44"/>
      <c r="C123" s="44"/>
      <c r="D123" s="44"/>
      <c r="E123" s="44"/>
      <c r="F123" s="44"/>
      <c r="G123" s="44"/>
      <c r="H123" s="44"/>
    </row>
    <row r="124" spans="1:12" ht="15" customHeight="1" x14ac:dyDescent="0.25">
      <c r="A124" s="16"/>
      <c r="B124" s="16"/>
      <c r="C124" s="16"/>
      <c r="D124" s="16"/>
      <c r="E124" s="16"/>
      <c r="F124" s="16"/>
      <c r="G124" s="16"/>
      <c r="H124" s="16"/>
    </row>
    <row r="125" spans="1:12" ht="15" customHeight="1" x14ac:dyDescent="0.25">
      <c r="A125" s="16"/>
      <c r="B125" s="16"/>
      <c r="C125" s="16"/>
      <c r="D125" s="16"/>
      <c r="E125" s="16"/>
      <c r="F125" s="16"/>
      <c r="G125" s="16"/>
      <c r="H125" s="16"/>
    </row>
    <row r="126" spans="1:12" ht="15" customHeight="1" x14ac:dyDescent="0.25">
      <c r="A126" s="16"/>
      <c r="B126" s="16"/>
      <c r="C126" s="16"/>
      <c r="D126" s="16"/>
      <c r="E126" s="16"/>
      <c r="F126" s="16"/>
      <c r="G126" s="16"/>
      <c r="H126" s="16"/>
    </row>
    <row r="127" spans="1:12" ht="15" customHeight="1" x14ac:dyDescent="0.25">
      <c r="A127" s="16"/>
      <c r="B127" s="16"/>
      <c r="C127" s="16"/>
      <c r="D127" s="16"/>
      <c r="E127" s="16"/>
      <c r="F127" s="16"/>
      <c r="G127" s="16"/>
      <c r="H127" s="16"/>
    </row>
    <row r="132" spans="1:3" ht="16.5" x14ac:dyDescent="0.25">
      <c r="A132" s="3" t="s">
        <v>21</v>
      </c>
      <c r="B132" s="4">
        <v>3500</v>
      </c>
      <c r="C132" s="5" t="s">
        <v>32</v>
      </c>
    </row>
    <row r="133" spans="1:3" ht="16.5" x14ac:dyDescent="0.25">
      <c r="A133" s="3" t="s">
        <v>23</v>
      </c>
      <c r="B133" s="4">
        <v>5000</v>
      </c>
      <c r="C133" s="5" t="s">
        <v>38</v>
      </c>
    </row>
    <row r="134" spans="1:3" ht="16.5" x14ac:dyDescent="0.25">
      <c r="A134" s="3" t="s">
        <v>9</v>
      </c>
      <c r="B134" s="11">
        <v>0.1</v>
      </c>
      <c r="C134" s="5" t="s">
        <v>10</v>
      </c>
    </row>
    <row r="136" spans="1:3" ht="16.5" x14ac:dyDescent="0.25">
      <c r="A136" s="12" t="s">
        <v>27</v>
      </c>
    </row>
    <row r="137" spans="1:3" ht="16.5" x14ac:dyDescent="0.25">
      <c r="A137" s="3" t="s">
        <v>5</v>
      </c>
      <c r="B137" s="6">
        <v>7</v>
      </c>
      <c r="C137" s="5" t="s">
        <v>6</v>
      </c>
    </row>
    <row r="138" spans="1:3" ht="16.5" x14ac:dyDescent="0.25">
      <c r="A138" s="3" t="s">
        <v>13</v>
      </c>
      <c r="B138" s="4">
        <f>+PV(B134,B137,-B133)</f>
        <v>24342.094088464673</v>
      </c>
      <c r="C138" s="5" t="s">
        <v>14</v>
      </c>
    </row>
    <row r="139" spans="1:3" ht="16.5" x14ac:dyDescent="0.25">
      <c r="B139" s="5" t="s">
        <v>28</v>
      </c>
    </row>
    <row r="140" spans="1:3" ht="16.5" x14ac:dyDescent="0.25">
      <c r="B140" s="5"/>
    </row>
    <row r="141" spans="1:3" ht="16.5" x14ac:dyDescent="0.25">
      <c r="A141" s="12" t="s">
        <v>29</v>
      </c>
      <c r="B141" s="4"/>
    </row>
    <row r="142" spans="1:3" ht="16.5" x14ac:dyDescent="0.25">
      <c r="A142" s="3" t="s">
        <v>5</v>
      </c>
      <c r="B142" s="6">
        <v>3</v>
      </c>
      <c r="C142" s="5" t="s">
        <v>6</v>
      </c>
    </row>
    <row r="143" spans="1:3" ht="16.5" x14ac:dyDescent="0.25">
      <c r="A143" s="3" t="s">
        <v>13</v>
      </c>
      <c r="B143" s="4">
        <f>+PV(B134,B142,,-B138)</f>
        <v>18288.575573602302</v>
      </c>
      <c r="C143" s="15" t="s">
        <v>17</v>
      </c>
    </row>
    <row r="144" spans="1:3" ht="16.5" x14ac:dyDescent="0.25">
      <c r="A144" s="3"/>
      <c r="B144" s="4"/>
      <c r="C144" s="15"/>
    </row>
    <row r="145" spans="1:8" ht="16.5" x14ac:dyDescent="0.25">
      <c r="A145" s="12" t="s">
        <v>30</v>
      </c>
    </row>
    <row r="146" spans="1:8" ht="16.5" x14ac:dyDescent="0.25">
      <c r="A146" s="3" t="s">
        <v>5</v>
      </c>
      <c r="B146" s="6">
        <v>3</v>
      </c>
      <c r="C146" s="5" t="s">
        <v>6</v>
      </c>
    </row>
    <row r="147" spans="1:8" ht="16.5" x14ac:dyDescent="0.25">
      <c r="A147" s="3" t="s">
        <v>13</v>
      </c>
      <c r="B147" s="4">
        <f>+PV(B134,B146,-B132)</f>
        <v>8703.9819684447866</v>
      </c>
      <c r="C147" s="5" t="s">
        <v>14</v>
      </c>
    </row>
    <row r="148" spans="1:8" ht="16.5" x14ac:dyDescent="0.25">
      <c r="B148" s="5"/>
    </row>
    <row r="149" spans="1:8" ht="16.5" x14ac:dyDescent="0.25">
      <c r="A149" s="13" t="s">
        <v>13</v>
      </c>
      <c r="B149" s="14">
        <f>+B143+B147</f>
        <v>26992.557542047089</v>
      </c>
    </row>
    <row r="151" spans="1:8" x14ac:dyDescent="0.25">
      <c r="A151" s="45" t="s">
        <v>39</v>
      </c>
      <c r="B151" s="45"/>
      <c r="C151" s="45"/>
      <c r="D151" s="45"/>
    </row>
    <row r="152" spans="1:8" x14ac:dyDescent="0.25">
      <c r="A152" s="45"/>
      <c r="B152" s="45"/>
      <c r="C152" s="45"/>
      <c r="D152" s="45"/>
    </row>
    <row r="154" spans="1:8" x14ac:dyDescent="0.25">
      <c r="A154" s="44" t="s">
        <v>40</v>
      </c>
      <c r="B154" s="44"/>
      <c r="C154" s="44"/>
      <c r="D154" s="44"/>
      <c r="E154" s="44"/>
      <c r="F154" s="44"/>
      <c r="G154" s="44"/>
      <c r="H154" s="44"/>
    </row>
    <row r="155" spans="1:8" x14ac:dyDescent="0.25">
      <c r="A155" s="44"/>
      <c r="B155" s="44"/>
      <c r="C155" s="44"/>
      <c r="D155" s="44"/>
      <c r="E155" s="44"/>
      <c r="F155" s="44"/>
      <c r="G155" s="44"/>
      <c r="H155" s="44"/>
    </row>
    <row r="156" spans="1:8" x14ac:dyDescent="0.25">
      <c r="A156" s="44"/>
      <c r="B156" s="44"/>
      <c r="C156" s="44"/>
      <c r="D156" s="44"/>
      <c r="E156" s="44"/>
      <c r="F156" s="44"/>
      <c r="G156" s="44"/>
      <c r="H156" s="44"/>
    </row>
    <row r="157" spans="1:8" x14ac:dyDescent="0.25">
      <c r="A157" s="44"/>
      <c r="B157" s="44"/>
      <c r="C157" s="44"/>
      <c r="D157" s="44"/>
      <c r="E157" s="44"/>
      <c r="F157" s="44"/>
      <c r="G157" s="44"/>
      <c r="H157" s="44"/>
    </row>
    <row r="158" spans="1:8" x14ac:dyDescent="0.25">
      <c r="A158" s="44"/>
      <c r="B158" s="44"/>
      <c r="C158" s="44"/>
      <c r="D158" s="44"/>
      <c r="E158" s="44"/>
      <c r="F158" s="44"/>
      <c r="G158" s="44"/>
      <c r="H158" s="44"/>
    </row>
    <row r="159" spans="1:8" x14ac:dyDescent="0.25">
      <c r="A159" s="44"/>
      <c r="B159" s="44"/>
      <c r="C159" s="44"/>
      <c r="D159" s="44"/>
      <c r="E159" s="44"/>
      <c r="F159" s="44"/>
      <c r="G159" s="44"/>
      <c r="H159" s="44"/>
    </row>
    <row r="160" spans="1:8" x14ac:dyDescent="0.25">
      <c r="A160" s="44"/>
      <c r="B160" s="44"/>
      <c r="C160" s="44"/>
      <c r="D160" s="44"/>
      <c r="E160" s="44"/>
      <c r="F160" s="44"/>
      <c r="G160" s="44"/>
      <c r="H160" s="44"/>
    </row>
    <row r="162" spans="1:15" ht="16.5" x14ac:dyDescent="0.25">
      <c r="A162" s="3" t="s">
        <v>2</v>
      </c>
      <c r="B162" s="6">
        <v>20000</v>
      </c>
      <c r="C162" s="5" t="s">
        <v>41</v>
      </c>
      <c r="F162" s="3"/>
      <c r="G162" s="3"/>
      <c r="H162" s="3"/>
      <c r="I162" s="3" t="s">
        <v>42</v>
      </c>
      <c r="J162" s="3"/>
      <c r="K162" s="3"/>
      <c r="L162" s="3" t="s">
        <v>2</v>
      </c>
      <c r="M162" s="3" t="s">
        <v>2</v>
      </c>
      <c r="N162" s="3" t="s">
        <v>2</v>
      </c>
      <c r="O162" s="3" t="s">
        <v>2</v>
      </c>
    </row>
    <row r="163" spans="1:15" ht="16.5" x14ac:dyDescent="0.25">
      <c r="A163" s="3" t="s">
        <v>9</v>
      </c>
      <c r="B163" s="11">
        <v>0.08</v>
      </c>
      <c r="C163" s="5" t="s">
        <v>10</v>
      </c>
      <c r="F163" s="8">
        <v>0</v>
      </c>
      <c r="G163" s="9">
        <v>1</v>
      </c>
      <c r="H163" s="9">
        <v>2</v>
      </c>
      <c r="I163" s="9">
        <v>3</v>
      </c>
      <c r="J163" s="9" t="s">
        <v>43</v>
      </c>
      <c r="K163" s="9">
        <v>16</v>
      </c>
      <c r="L163" s="9">
        <v>17</v>
      </c>
      <c r="M163" s="9">
        <v>18</v>
      </c>
      <c r="N163" s="9">
        <v>19</v>
      </c>
      <c r="O163" s="10">
        <v>20</v>
      </c>
    </row>
    <row r="164" spans="1:15" ht="16.5" x14ac:dyDescent="0.25">
      <c r="G164" s="3"/>
      <c r="H164" s="3" t="s">
        <v>44</v>
      </c>
      <c r="I164" s="3"/>
      <c r="J164" s="3"/>
      <c r="K164" s="3" t="s">
        <v>8</v>
      </c>
    </row>
    <row r="165" spans="1:15" ht="16.5" x14ac:dyDescent="0.25">
      <c r="A165" s="12" t="s">
        <v>12</v>
      </c>
      <c r="G165" s="3"/>
      <c r="H165" s="3" t="s">
        <v>42</v>
      </c>
      <c r="I165" s="3"/>
      <c r="J165" s="3"/>
      <c r="K165" s="3"/>
    </row>
    <row r="166" spans="1:15" ht="16.5" x14ac:dyDescent="0.25">
      <c r="A166" s="3" t="s">
        <v>5</v>
      </c>
      <c r="B166" s="6">
        <v>4</v>
      </c>
      <c r="C166" s="5" t="s">
        <v>6</v>
      </c>
      <c r="G166" s="3"/>
      <c r="H166" s="3"/>
      <c r="I166" s="3"/>
      <c r="J166" s="3"/>
      <c r="K166" s="3"/>
    </row>
    <row r="167" spans="1:15" ht="16.5" x14ac:dyDescent="0.25">
      <c r="A167" s="3" t="s">
        <v>13</v>
      </c>
      <c r="B167" s="4">
        <f>+PV(B163,B166,-B162)</f>
        <v>66242.536800886679</v>
      </c>
      <c r="C167" s="5" t="s">
        <v>14</v>
      </c>
      <c r="G167" s="3"/>
      <c r="H167" s="3" t="s">
        <v>7</v>
      </c>
      <c r="I167" s="3"/>
      <c r="J167" s="3"/>
      <c r="K167" s="3"/>
    </row>
    <row r="168" spans="1:15" ht="16.5" x14ac:dyDescent="0.25">
      <c r="B168" s="5" t="s">
        <v>45</v>
      </c>
      <c r="G168" s="3"/>
      <c r="H168" s="3" t="s">
        <v>46</v>
      </c>
      <c r="I168" s="3"/>
      <c r="J168" s="3"/>
      <c r="K168" s="3"/>
    </row>
    <row r="170" spans="1:15" ht="16.5" x14ac:dyDescent="0.25">
      <c r="A170" s="12" t="s">
        <v>47</v>
      </c>
      <c r="B170" s="4"/>
    </row>
    <row r="171" spans="1:15" ht="16.5" x14ac:dyDescent="0.25">
      <c r="A171" s="3" t="s">
        <v>5</v>
      </c>
      <c r="B171" s="6">
        <v>14</v>
      </c>
      <c r="C171" s="5" t="s">
        <v>6</v>
      </c>
    </row>
    <row r="172" spans="1:15" ht="16.5" x14ac:dyDescent="0.25">
      <c r="A172" s="13" t="s">
        <v>2</v>
      </c>
      <c r="B172" s="14">
        <f>+PMT(B163,B171,,-B167)</f>
        <v>2735.6082932090467</v>
      </c>
      <c r="C172" s="5" t="s">
        <v>48</v>
      </c>
    </row>
    <row r="173" spans="1:15" ht="16.5" x14ac:dyDescent="0.25">
      <c r="B173" s="5" t="s">
        <v>49</v>
      </c>
    </row>
    <row r="174" spans="1:15" ht="16.5" x14ac:dyDescent="0.25">
      <c r="B174" s="5"/>
    </row>
    <row r="175" spans="1:15" ht="16.5" x14ac:dyDescent="0.25">
      <c r="A175" s="43" t="s">
        <v>50</v>
      </c>
      <c r="B175" s="43"/>
      <c r="C175" s="43"/>
    </row>
    <row r="176" spans="1:15" ht="16.5" x14ac:dyDescent="0.25">
      <c r="A176" s="12" t="s">
        <v>51</v>
      </c>
      <c r="B176" s="4"/>
    </row>
    <row r="177" spans="1:15" ht="16.5" x14ac:dyDescent="0.25">
      <c r="A177" s="3" t="s">
        <v>5</v>
      </c>
      <c r="B177" s="6">
        <v>14</v>
      </c>
      <c r="C177" s="5" t="s">
        <v>6</v>
      </c>
    </row>
    <row r="178" spans="1:15" ht="16.5" x14ac:dyDescent="0.25">
      <c r="A178" s="3" t="s">
        <v>13</v>
      </c>
      <c r="B178" s="4">
        <f>+PV(B163,B177,,-B167)</f>
        <v>22553.003061767406</v>
      </c>
      <c r="C178" s="5" t="s">
        <v>17</v>
      </c>
    </row>
    <row r="179" spans="1:15" ht="16.5" x14ac:dyDescent="0.25">
      <c r="A179" s="3"/>
      <c r="B179" s="5" t="s">
        <v>15</v>
      </c>
      <c r="C179" s="15"/>
    </row>
    <row r="181" spans="1:15" ht="16.5" x14ac:dyDescent="0.25">
      <c r="A181" s="12" t="s">
        <v>52</v>
      </c>
      <c r="B181" s="4"/>
    </row>
    <row r="182" spans="1:15" ht="16.5" x14ac:dyDescent="0.25">
      <c r="A182" s="3" t="s">
        <v>5</v>
      </c>
      <c r="B182" s="6">
        <v>14</v>
      </c>
      <c r="C182" s="5" t="s">
        <v>6</v>
      </c>
    </row>
    <row r="183" spans="1:15" ht="16.5" x14ac:dyDescent="0.25">
      <c r="A183" s="13" t="s">
        <v>2</v>
      </c>
      <c r="B183" s="14">
        <f>+PMT(B163,B182,-B178)</f>
        <v>2735.6082932090444</v>
      </c>
      <c r="C183" s="5" t="s">
        <v>53</v>
      </c>
    </row>
    <row r="185" spans="1:15" ht="15" customHeight="1" x14ac:dyDescent="0.25">
      <c r="A185" s="44" t="s">
        <v>54</v>
      </c>
      <c r="B185" s="44"/>
      <c r="C185" s="44"/>
      <c r="D185" s="44"/>
      <c r="E185" s="44"/>
      <c r="F185" s="44"/>
      <c r="G185" s="44"/>
      <c r="H185" s="44"/>
    </row>
    <row r="186" spans="1:15" ht="15" customHeight="1" x14ac:dyDescent="0.25">
      <c r="A186" s="44"/>
      <c r="B186" s="44"/>
      <c r="C186" s="44"/>
      <c r="D186" s="44"/>
      <c r="E186" s="44"/>
      <c r="F186" s="44"/>
      <c r="G186" s="44"/>
      <c r="H186" s="44"/>
    </row>
    <row r="187" spans="1:15" ht="15" customHeight="1" x14ac:dyDescent="0.25">
      <c r="A187" s="44"/>
      <c r="B187" s="44"/>
      <c r="C187" s="44"/>
      <c r="D187" s="44"/>
      <c r="E187" s="44"/>
      <c r="F187" s="44"/>
      <c r="G187" s="44"/>
      <c r="H187" s="44"/>
    </row>
    <row r="188" spans="1:15" ht="15" customHeight="1" x14ac:dyDescent="0.25">
      <c r="A188" s="44"/>
      <c r="B188" s="44"/>
      <c r="C188" s="44"/>
      <c r="D188" s="44"/>
      <c r="E188" s="44"/>
      <c r="F188" s="44"/>
      <c r="G188" s="44"/>
      <c r="H188" s="44"/>
    </row>
    <row r="189" spans="1:15" ht="15" customHeight="1" x14ac:dyDescent="0.25">
      <c r="A189" s="44"/>
      <c r="B189" s="44"/>
      <c r="C189" s="44"/>
      <c r="D189" s="44"/>
      <c r="E189" s="44"/>
      <c r="F189" s="44"/>
      <c r="G189" s="44"/>
      <c r="H189" s="44"/>
    </row>
    <row r="190" spans="1:15" ht="15" customHeight="1" x14ac:dyDescent="0.25">
      <c r="A190" s="16"/>
      <c r="B190" s="16"/>
      <c r="C190" s="16"/>
      <c r="D190" s="16"/>
      <c r="E190" s="16"/>
      <c r="F190" s="16"/>
      <c r="G190" s="16"/>
      <c r="H190" s="16"/>
    </row>
    <row r="191" spans="1:15" ht="15" customHeight="1" x14ac:dyDescent="0.25">
      <c r="A191" s="3" t="s">
        <v>13</v>
      </c>
      <c r="B191" s="4">
        <v>20000</v>
      </c>
      <c r="C191" s="5"/>
      <c r="D191" s="16"/>
      <c r="E191" s="16"/>
      <c r="F191" s="3" t="s">
        <v>13</v>
      </c>
      <c r="G191" s="3"/>
      <c r="H191" s="3" t="s">
        <v>2</v>
      </c>
      <c r="I191" s="3" t="s">
        <v>2</v>
      </c>
      <c r="J191" s="3" t="s">
        <v>2</v>
      </c>
      <c r="K191" s="3" t="s">
        <v>2</v>
      </c>
      <c r="L191" s="3" t="s">
        <v>2</v>
      </c>
      <c r="M191" s="3" t="s">
        <v>2</v>
      </c>
      <c r="N191" s="3" t="s">
        <v>2</v>
      </c>
      <c r="O191" s="3" t="s">
        <v>2</v>
      </c>
    </row>
    <row r="192" spans="1:15" ht="16.5" x14ac:dyDescent="0.25">
      <c r="A192" s="3" t="s">
        <v>9</v>
      </c>
      <c r="B192" s="11">
        <v>0.08</v>
      </c>
      <c r="C192" s="5" t="s">
        <v>10</v>
      </c>
      <c r="F192" s="8">
        <v>0</v>
      </c>
      <c r="G192" s="9">
        <v>1</v>
      </c>
      <c r="H192" s="9">
        <v>2</v>
      </c>
      <c r="I192" s="9">
        <v>3</v>
      </c>
      <c r="J192" s="9">
        <v>4</v>
      </c>
      <c r="K192" s="9">
        <v>5</v>
      </c>
      <c r="L192" s="9">
        <v>6</v>
      </c>
      <c r="M192" s="9">
        <v>7</v>
      </c>
      <c r="N192" s="9">
        <v>8</v>
      </c>
      <c r="O192" s="10">
        <v>9</v>
      </c>
    </row>
    <row r="193" spans="1:11" ht="16.5" x14ac:dyDescent="0.25">
      <c r="G193" s="3" t="s">
        <v>55</v>
      </c>
      <c r="H193" s="18"/>
      <c r="K193" s="6"/>
    </row>
    <row r="194" spans="1:11" ht="16.5" x14ac:dyDescent="0.25">
      <c r="A194" s="12" t="s">
        <v>56</v>
      </c>
      <c r="B194" s="4"/>
      <c r="G194" s="3" t="s">
        <v>46</v>
      </c>
      <c r="H194" s="3"/>
    </row>
    <row r="195" spans="1:11" ht="16.5" x14ac:dyDescent="0.25">
      <c r="A195" s="3" t="s">
        <v>5</v>
      </c>
      <c r="B195" s="6">
        <v>1</v>
      </c>
      <c r="C195" s="5" t="s">
        <v>6</v>
      </c>
    </row>
    <row r="196" spans="1:11" ht="16.5" x14ac:dyDescent="0.25">
      <c r="A196" s="3" t="s">
        <v>57</v>
      </c>
      <c r="B196" s="4">
        <f>+FV(B192,B195,,-B191)</f>
        <v>21600</v>
      </c>
      <c r="C196" s="5" t="s">
        <v>58</v>
      </c>
      <c r="H196" s="17"/>
    </row>
    <row r="197" spans="1:11" x14ac:dyDescent="0.25">
      <c r="H197" s="17"/>
    </row>
    <row r="198" spans="1:11" ht="16.5" x14ac:dyDescent="0.25">
      <c r="A198" s="12" t="s">
        <v>52</v>
      </c>
    </row>
    <row r="199" spans="1:11" ht="16.5" x14ac:dyDescent="0.25">
      <c r="A199" s="3" t="s">
        <v>5</v>
      </c>
      <c r="B199" s="6">
        <v>8</v>
      </c>
      <c r="C199" s="5" t="s">
        <v>6</v>
      </c>
    </row>
    <row r="200" spans="1:11" ht="16.5" x14ac:dyDescent="0.25">
      <c r="A200" s="13" t="s">
        <v>2</v>
      </c>
      <c r="B200" s="14">
        <f>+PMT(B192,B199,-B196)</f>
        <v>3758.7188287833592</v>
      </c>
      <c r="C200" s="5" t="s">
        <v>53</v>
      </c>
    </row>
    <row r="202" spans="1:11" ht="15" customHeight="1" x14ac:dyDescent="0.25">
      <c r="A202" s="44" t="s">
        <v>59</v>
      </c>
      <c r="B202" s="44"/>
      <c r="C202" s="44"/>
      <c r="D202" s="44"/>
      <c r="E202" s="44"/>
      <c r="F202" s="44"/>
      <c r="G202" s="44"/>
      <c r="H202" s="44"/>
    </row>
    <row r="203" spans="1:11" ht="15" customHeight="1" x14ac:dyDescent="0.25">
      <c r="A203" s="44"/>
      <c r="B203" s="44"/>
      <c r="C203" s="44"/>
      <c r="D203" s="44"/>
      <c r="E203" s="44"/>
      <c r="F203" s="44"/>
      <c r="G203" s="44"/>
      <c r="H203" s="44"/>
    </row>
    <row r="204" spans="1:11" ht="15" customHeight="1" x14ac:dyDescent="0.25">
      <c r="A204" s="44"/>
      <c r="B204" s="44"/>
      <c r="C204" s="44"/>
      <c r="D204" s="44"/>
      <c r="E204" s="44"/>
      <c r="F204" s="44"/>
      <c r="G204" s="44"/>
      <c r="H204" s="44"/>
    </row>
    <row r="205" spans="1:11" ht="15" customHeight="1" x14ac:dyDescent="0.25">
      <c r="A205" s="44"/>
      <c r="B205" s="44"/>
      <c r="C205" s="44"/>
      <c r="D205" s="44"/>
      <c r="E205" s="44"/>
      <c r="F205" s="44"/>
      <c r="G205" s="44"/>
      <c r="H205" s="44"/>
    </row>
    <row r="206" spans="1:11" ht="15" customHeight="1" x14ac:dyDescent="0.25">
      <c r="A206" s="44"/>
      <c r="B206" s="44"/>
      <c r="C206" s="44"/>
      <c r="D206" s="44"/>
      <c r="E206" s="44"/>
      <c r="F206" s="44"/>
      <c r="G206" s="44"/>
      <c r="H206" s="44"/>
    </row>
    <row r="207" spans="1:11" x14ac:dyDescent="0.25">
      <c r="A207" s="44"/>
      <c r="B207" s="44"/>
      <c r="C207" s="44"/>
      <c r="D207" s="44"/>
      <c r="E207" s="44"/>
      <c r="F207" s="44"/>
      <c r="G207" s="44"/>
      <c r="H207" s="44"/>
    </row>
    <row r="210" spans="1:14" ht="16.5" x14ac:dyDescent="0.25">
      <c r="A210" s="3" t="s">
        <v>21</v>
      </c>
      <c r="B210" s="4">
        <v>10000</v>
      </c>
      <c r="C210" s="5" t="s">
        <v>60</v>
      </c>
      <c r="F210" s="3" t="s">
        <v>21</v>
      </c>
      <c r="G210" s="3" t="s">
        <v>21</v>
      </c>
      <c r="H210" s="3" t="s">
        <v>21</v>
      </c>
      <c r="I210" s="3" t="s">
        <v>21</v>
      </c>
      <c r="J210" s="3" t="s">
        <v>21</v>
      </c>
      <c r="K210" s="3" t="s">
        <v>23</v>
      </c>
      <c r="L210" s="3" t="s">
        <v>23</v>
      </c>
      <c r="M210" s="3" t="s">
        <v>23</v>
      </c>
      <c r="N210" s="3" t="s">
        <v>23</v>
      </c>
    </row>
    <row r="211" spans="1:14" ht="16.5" x14ac:dyDescent="0.25">
      <c r="A211" s="3" t="s">
        <v>5</v>
      </c>
      <c r="B211" s="6">
        <v>25</v>
      </c>
      <c r="C211" s="5" t="s">
        <v>6</v>
      </c>
      <c r="F211" s="8">
        <v>0</v>
      </c>
      <c r="G211" s="9">
        <v>1</v>
      </c>
      <c r="H211" s="9">
        <v>2</v>
      </c>
      <c r="I211" s="9" t="s">
        <v>43</v>
      </c>
      <c r="J211" s="9">
        <v>25</v>
      </c>
      <c r="K211" s="9">
        <v>26</v>
      </c>
      <c r="L211" s="9">
        <v>27</v>
      </c>
      <c r="M211" s="9" t="s">
        <v>43</v>
      </c>
      <c r="N211" s="9">
        <v>56</v>
      </c>
    </row>
    <row r="212" spans="1:14" ht="16.5" x14ac:dyDescent="0.25">
      <c r="A212" s="3" t="s">
        <v>23</v>
      </c>
      <c r="B212" s="4" t="s">
        <v>61</v>
      </c>
      <c r="C212" s="5" t="s">
        <v>62</v>
      </c>
      <c r="J212" s="3" t="s">
        <v>63</v>
      </c>
    </row>
    <row r="213" spans="1:14" ht="16.5" x14ac:dyDescent="0.25">
      <c r="A213" s="3" t="s">
        <v>5</v>
      </c>
      <c r="B213" s="6">
        <v>25</v>
      </c>
      <c r="C213" s="5" t="s">
        <v>6</v>
      </c>
      <c r="J213" s="3" t="s">
        <v>64</v>
      </c>
    </row>
    <row r="214" spans="1:14" ht="16.5" x14ac:dyDescent="0.25">
      <c r="A214" s="3" t="s">
        <v>9</v>
      </c>
      <c r="B214" s="11">
        <v>0.08</v>
      </c>
      <c r="C214" s="5" t="s">
        <v>10</v>
      </c>
    </row>
    <row r="216" spans="1:14" ht="16.5" x14ac:dyDescent="0.25">
      <c r="A216" s="12" t="s">
        <v>65</v>
      </c>
    </row>
    <row r="217" spans="1:14" ht="16.5" x14ac:dyDescent="0.25">
      <c r="A217" s="3" t="s">
        <v>5</v>
      </c>
      <c r="B217" s="6">
        <v>26</v>
      </c>
      <c r="C217" s="5" t="s">
        <v>6</v>
      </c>
    </row>
    <row r="218" spans="1:14" ht="16.5" x14ac:dyDescent="0.25">
      <c r="A218" s="3" t="s">
        <v>57</v>
      </c>
      <c r="B218" s="4">
        <f>+FV(B214,B217,-B210)</f>
        <v>799544.1514896088</v>
      </c>
      <c r="C218" s="5" t="s">
        <v>66</v>
      </c>
    </row>
    <row r="220" spans="1:14" ht="16.5" x14ac:dyDescent="0.25">
      <c r="A220" s="12" t="s">
        <v>52</v>
      </c>
    </row>
    <row r="221" spans="1:14" ht="16.5" x14ac:dyDescent="0.25">
      <c r="A221" s="3" t="s">
        <v>5</v>
      </c>
      <c r="B221" s="6">
        <v>30</v>
      </c>
      <c r="C221" s="5" t="s">
        <v>6</v>
      </c>
    </row>
    <row r="222" spans="1:14" ht="16.5" x14ac:dyDescent="0.25">
      <c r="A222" s="13" t="s">
        <v>2</v>
      </c>
      <c r="B222" s="14">
        <f>+PMT(B214,B221,-B218)</f>
        <v>71021.454856626369</v>
      </c>
      <c r="C222" s="5" t="s">
        <v>53</v>
      </c>
    </row>
    <row r="224" spans="1:14" ht="15" customHeight="1" x14ac:dyDescent="0.25">
      <c r="A224" s="44" t="s">
        <v>67</v>
      </c>
      <c r="B224" s="44"/>
      <c r="C224" s="44"/>
      <c r="D224" s="44"/>
      <c r="E224" s="44"/>
      <c r="F224" s="44"/>
      <c r="G224" s="44"/>
      <c r="H224" s="44"/>
    </row>
    <row r="225" spans="1:15" ht="15" customHeight="1" x14ac:dyDescent="0.25">
      <c r="A225" s="44"/>
      <c r="B225" s="44"/>
      <c r="C225" s="44"/>
      <c r="D225" s="44"/>
      <c r="E225" s="44"/>
      <c r="F225" s="44"/>
      <c r="G225" s="44"/>
      <c r="H225" s="44"/>
    </row>
    <row r="226" spans="1:15" ht="15" customHeight="1" x14ac:dyDescent="0.25">
      <c r="A226" s="44"/>
      <c r="B226" s="44"/>
      <c r="C226" s="44"/>
      <c r="D226" s="44"/>
      <c r="E226" s="44"/>
      <c r="F226" s="44"/>
      <c r="G226" s="44"/>
      <c r="H226" s="44"/>
    </row>
    <row r="227" spans="1:15" ht="15" customHeight="1" x14ac:dyDescent="0.25">
      <c r="A227" s="44"/>
      <c r="B227" s="44"/>
      <c r="C227" s="44"/>
      <c r="D227" s="44"/>
      <c r="E227" s="44"/>
      <c r="F227" s="44"/>
      <c r="G227" s="44"/>
      <c r="H227" s="44"/>
    </row>
    <row r="228" spans="1:15" ht="15" customHeight="1" x14ac:dyDescent="0.25">
      <c r="A228" s="44"/>
      <c r="B228" s="44"/>
      <c r="C228" s="44"/>
      <c r="D228" s="44"/>
      <c r="E228" s="44"/>
      <c r="F228" s="44"/>
      <c r="G228" s="44"/>
      <c r="H228" s="44"/>
    </row>
    <row r="229" spans="1:15" ht="15" customHeight="1" x14ac:dyDescent="0.25">
      <c r="A229" s="44"/>
      <c r="B229" s="44"/>
      <c r="C229" s="44"/>
      <c r="D229" s="44"/>
      <c r="E229" s="44"/>
      <c r="F229" s="44"/>
      <c r="G229" s="44"/>
      <c r="H229" s="44"/>
    </row>
    <row r="230" spans="1:15" x14ac:dyDescent="0.25">
      <c r="A230" s="44"/>
      <c r="B230" s="44"/>
      <c r="C230" s="44"/>
      <c r="D230" s="44"/>
      <c r="E230" s="44"/>
      <c r="F230" s="44"/>
      <c r="G230" s="44"/>
      <c r="H230" s="44"/>
    </row>
    <row r="232" spans="1:15" ht="16.5" x14ac:dyDescent="0.25">
      <c r="A232" s="3" t="s">
        <v>2</v>
      </c>
      <c r="B232" s="4">
        <v>15000</v>
      </c>
      <c r="C232" s="5" t="s">
        <v>68</v>
      </c>
      <c r="F232" s="3"/>
      <c r="G232" s="3"/>
      <c r="H232" s="3" t="s">
        <v>2</v>
      </c>
      <c r="I232" s="3" t="s">
        <v>2</v>
      </c>
      <c r="J232" s="3" t="s">
        <v>2</v>
      </c>
      <c r="K232" s="3" t="s">
        <v>2</v>
      </c>
      <c r="L232" s="3"/>
      <c r="M232" s="3"/>
      <c r="N232" s="3"/>
      <c r="O232" s="3"/>
    </row>
    <row r="233" spans="1:15" ht="16.5" x14ac:dyDescent="0.25">
      <c r="A233" s="3" t="s">
        <v>9</v>
      </c>
      <c r="B233" s="11">
        <v>0.08</v>
      </c>
      <c r="C233" s="5" t="s">
        <v>10</v>
      </c>
      <c r="F233" s="8">
        <v>0</v>
      </c>
      <c r="G233" s="9">
        <v>1</v>
      </c>
      <c r="H233" s="9">
        <v>2</v>
      </c>
      <c r="I233" s="9">
        <v>3</v>
      </c>
      <c r="J233" s="9" t="s">
        <v>43</v>
      </c>
      <c r="K233" s="10">
        <v>10</v>
      </c>
      <c r="L233" s="3"/>
      <c r="M233" s="3"/>
      <c r="N233" s="3"/>
      <c r="O233" s="3"/>
    </row>
    <row r="234" spans="1:15" ht="16.5" x14ac:dyDescent="0.25">
      <c r="F234" s="3" t="s">
        <v>7</v>
      </c>
      <c r="G234" s="3" t="s">
        <v>8</v>
      </c>
      <c r="L234" s="3"/>
      <c r="M234" s="3"/>
      <c r="N234" s="3"/>
      <c r="O234" s="3"/>
    </row>
    <row r="235" spans="1:15" ht="16.5" x14ac:dyDescent="0.25">
      <c r="A235" s="12" t="s">
        <v>12</v>
      </c>
      <c r="L235" s="3"/>
      <c r="M235" s="3"/>
      <c r="N235" s="3"/>
      <c r="O235" s="3"/>
    </row>
    <row r="236" spans="1:15" ht="16.5" x14ac:dyDescent="0.25">
      <c r="A236" s="3" t="s">
        <v>5</v>
      </c>
      <c r="B236" s="6">
        <v>9</v>
      </c>
      <c r="C236" s="5" t="s">
        <v>6</v>
      </c>
    </row>
    <row r="237" spans="1:15" ht="16.5" x14ac:dyDescent="0.25">
      <c r="A237" s="3" t="s">
        <v>13</v>
      </c>
      <c r="B237" s="4">
        <f>+PV(B233,B236,-B232)</f>
        <v>93703.318662851438</v>
      </c>
      <c r="C237" s="5" t="s">
        <v>14</v>
      </c>
    </row>
    <row r="238" spans="1:15" ht="16.5" x14ac:dyDescent="0.25">
      <c r="B238" s="5" t="s">
        <v>19</v>
      </c>
    </row>
    <row r="240" spans="1:15" ht="16.5" x14ac:dyDescent="0.25">
      <c r="A240" s="12" t="s">
        <v>51</v>
      </c>
      <c r="B240" s="4"/>
    </row>
    <row r="241" spans="1:8" ht="16.5" x14ac:dyDescent="0.25">
      <c r="A241" s="3" t="s">
        <v>5</v>
      </c>
      <c r="B241" s="6">
        <v>1</v>
      </c>
      <c r="C241" s="5" t="s">
        <v>6</v>
      </c>
    </row>
    <row r="242" spans="1:8" ht="16.5" x14ac:dyDescent="0.25">
      <c r="A242" s="3" t="s">
        <v>13</v>
      </c>
      <c r="B242" s="4">
        <f>+PV(B233,B241,,-B237)</f>
        <v>86762.332095232807</v>
      </c>
      <c r="C242" s="5" t="s">
        <v>17</v>
      </c>
    </row>
    <row r="243" spans="1:8" ht="16.5" x14ac:dyDescent="0.25">
      <c r="A243" s="3"/>
      <c r="B243" s="5"/>
      <c r="C243" s="15"/>
    </row>
    <row r="244" spans="1:8" ht="16.5" x14ac:dyDescent="0.25">
      <c r="A244" s="12" t="s">
        <v>52</v>
      </c>
    </row>
    <row r="245" spans="1:8" ht="16.5" x14ac:dyDescent="0.25">
      <c r="A245" s="3" t="s">
        <v>5</v>
      </c>
      <c r="B245" s="6">
        <v>10</v>
      </c>
      <c r="C245" s="5" t="s">
        <v>6</v>
      </c>
    </row>
    <row r="246" spans="1:8" ht="16.5" x14ac:dyDescent="0.25">
      <c r="A246" s="13" t="s">
        <v>2</v>
      </c>
      <c r="B246" s="14">
        <f>+PMT(B233,B245,-B242)</f>
        <v>12930.1459903184</v>
      </c>
      <c r="C246" s="5" t="s">
        <v>53</v>
      </c>
    </row>
    <row r="247" spans="1:8" ht="16.5" x14ac:dyDescent="0.25">
      <c r="C247" s="5"/>
    </row>
    <row r="248" spans="1:8" x14ac:dyDescent="0.25">
      <c r="A248" s="45" t="s">
        <v>69</v>
      </c>
      <c r="B248" s="45"/>
      <c r="C248" s="45"/>
      <c r="D248" s="45"/>
    </row>
    <row r="249" spans="1:8" x14ac:dyDescent="0.25">
      <c r="A249" s="45"/>
      <c r="B249" s="45"/>
      <c r="C249" s="45"/>
      <c r="D249" s="45"/>
    </row>
    <row r="251" spans="1:8" x14ac:dyDescent="0.25">
      <c r="A251" s="44" t="s">
        <v>70</v>
      </c>
      <c r="B251" s="44"/>
      <c r="C251" s="44"/>
      <c r="D251" s="44"/>
      <c r="E251" s="44"/>
      <c r="F251" s="44"/>
      <c r="G251" s="44"/>
      <c r="H251" s="44"/>
    </row>
    <row r="252" spans="1:8" x14ac:dyDescent="0.25">
      <c r="A252" s="44"/>
      <c r="B252" s="44"/>
      <c r="C252" s="44"/>
      <c r="D252" s="44"/>
      <c r="E252" s="44"/>
      <c r="F252" s="44"/>
      <c r="G252" s="44"/>
      <c r="H252" s="44"/>
    </row>
    <row r="253" spans="1:8" x14ac:dyDescent="0.25">
      <c r="A253" s="44"/>
      <c r="B253" s="44"/>
      <c r="C253" s="44"/>
      <c r="D253" s="44"/>
      <c r="E253" s="44"/>
      <c r="F253" s="44"/>
      <c r="G253" s="44"/>
      <c r="H253" s="44"/>
    </row>
    <row r="254" spans="1:8" x14ac:dyDescent="0.25">
      <c r="A254" s="44"/>
      <c r="B254" s="44"/>
      <c r="C254" s="44"/>
      <c r="D254" s="44"/>
      <c r="E254" s="44"/>
      <c r="F254" s="44"/>
      <c r="G254" s="44"/>
      <c r="H254" s="44"/>
    </row>
    <row r="255" spans="1:8" x14ac:dyDescent="0.25">
      <c r="A255" s="44"/>
      <c r="B255" s="44"/>
      <c r="C255" s="44"/>
      <c r="D255" s="44"/>
      <c r="E255" s="44"/>
      <c r="F255" s="44"/>
      <c r="G255" s="44"/>
      <c r="H255" s="44"/>
    </row>
    <row r="256" spans="1:8" x14ac:dyDescent="0.25">
      <c r="A256" s="44"/>
      <c r="B256" s="44"/>
      <c r="C256" s="44"/>
      <c r="D256" s="44"/>
      <c r="E256" s="44"/>
      <c r="F256" s="44"/>
      <c r="G256" s="44"/>
      <c r="H256" s="44"/>
    </row>
    <row r="257" spans="1:14" x14ac:dyDescent="0.25">
      <c r="A257" s="44"/>
      <c r="B257" s="44"/>
      <c r="C257" s="44"/>
      <c r="D257" s="44"/>
      <c r="E257" s="44"/>
      <c r="F257" s="44"/>
      <c r="G257" s="44"/>
      <c r="H257" s="44"/>
    </row>
    <row r="259" spans="1:14" ht="16.5" x14ac:dyDescent="0.25">
      <c r="A259" s="3" t="s">
        <v>2</v>
      </c>
      <c r="B259" s="4">
        <v>10000</v>
      </c>
      <c r="C259" s="5" t="s">
        <v>71</v>
      </c>
    </row>
    <row r="260" spans="1:14" ht="16.5" x14ac:dyDescent="0.25">
      <c r="A260" s="3" t="s">
        <v>9</v>
      </c>
      <c r="B260" s="11">
        <v>0.15</v>
      </c>
      <c r="C260" s="5" t="s">
        <v>10</v>
      </c>
    </row>
    <row r="262" spans="1:14" ht="16.5" x14ac:dyDescent="0.25">
      <c r="A262" s="12" t="s">
        <v>72</v>
      </c>
    </row>
    <row r="263" spans="1:14" ht="16.5" x14ac:dyDescent="0.25">
      <c r="A263" s="3" t="s">
        <v>5</v>
      </c>
      <c r="B263" s="6">
        <v>21</v>
      </c>
      <c r="C263" s="5" t="s">
        <v>6</v>
      </c>
    </row>
    <row r="264" spans="1:14" ht="16.5" x14ac:dyDescent="0.25">
      <c r="A264" s="13" t="s">
        <v>57</v>
      </c>
      <c r="B264" s="14">
        <f>+FV(B260,B263,-B259)</f>
        <v>1188101.2001258663</v>
      </c>
      <c r="C264" s="5" t="s">
        <v>66</v>
      </c>
    </row>
    <row r="266" spans="1:14" ht="15" customHeight="1" x14ac:dyDescent="0.25">
      <c r="A266" s="44" t="s">
        <v>73</v>
      </c>
      <c r="B266" s="44"/>
      <c r="C266" s="44"/>
      <c r="D266" s="44"/>
      <c r="E266" s="44"/>
      <c r="F266" s="44"/>
      <c r="G266" s="44"/>
      <c r="H266" s="44"/>
    </row>
    <row r="267" spans="1:14" ht="15" customHeight="1" x14ac:dyDescent="0.25">
      <c r="A267" s="44"/>
      <c r="B267" s="44"/>
      <c r="C267" s="44"/>
      <c r="D267" s="44"/>
      <c r="E267" s="44"/>
      <c r="F267" s="44"/>
      <c r="G267" s="44"/>
      <c r="H267" s="44"/>
    </row>
    <row r="268" spans="1:14" ht="15" customHeight="1" x14ac:dyDescent="0.25">
      <c r="A268" s="44"/>
      <c r="B268" s="44"/>
      <c r="C268" s="44"/>
      <c r="D268" s="44"/>
      <c r="E268" s="44"/>
      <c r="F268" s="44"/>
      <c r="G268" s="44"/>
      <c r="H268" s="44"/>
    </row>
    <row r="269" spans="1:14" ht="15" customHeight="1" x14ac:dyDescent="0.25">
      <c r="A269" s="44"/>
      <c r="B269" s="44"/>
      <c r="C269" s="44"/>
      <c r="D269" s="44"/>
      <c r="E269" s="44"/>
      <c r="F269" s="44"/>
      <c r="G269" s="44"/>
      <c r="H269" s="44"/>
    </row>
    <row r="270" spans="1:14" ht="15" customHeight="1" x14ac:dyDescent="0.25">
      <c r="A270" s="44"/>
      <c r="B270" s="44"/>
      <c r="C270" s="44"/>
      <c r="D270" s="44"/>
      <c r="E270" s="44"/>
      <c r="F270" s="44"/>
      <c r="G270" s="44"/>
      <c r="H270" s="44"/>
    </row>
    <row r="271" spans="1:14" ht="15" customHeight="1" x14ac:dyDescent="0.25">
      <c r="A271" s="16"/>
      <c r="B271" s="16"/>
      <c r="C271" s="16"/>
      <c r="D271" s="16"/>
      <c r="E271" s="16"/>
      <c r="F271" s="16"/>
      <c r="G271" s="16"/>
      <c r="H271" s="16"/>
    </row>
    <row r="272" spans="1:14" ht="15" customHeight="1" x14ac:dyDescent="0.25">
      <c r="A272" s="3" t="s">
        <v>13</v>
      </c>
      <c r="B272" s="4">
        <v>100000</v>
      </c>
      <c r="C272" s="5"/>
      <c r="D272" s="16"/>
      <c r="E272" s="3"/>
      <c r="F272" s="3" t="s">
        <v>2</v>
      </c>
      <c r="G272" s="3" t="s">
        <v>2</v>
      </c>
      <c r="H272" s="3" t="s">
        <v>2</v>
      </c>
      <c r="I272" s="3" t="s">
        <v>2</v>
      </c>
      <c r="J272" s="3" t="s">
        <v>2</v>
      </c>
      <c r="K272" s="3"/>
      <c r="L272" s="3"/>
      <c r="M272" s="3"/>
      <c r="N272" s="3" t="s">
        <v>13</v>
      </c>
    </row>
    <row r="273" spans="1:14" ht="16.5" x14ac:dyDescent="0.25">
      <c r="A273" s="3" t="s">
        <v>9</v>
      </c>
      <c r="B273" s="11">
        <v>7.0000000000000007E-2</v>
      </c>
      <c r="C273" s="5" t="s">
        <v>10</v>
      </c>
      <c r="E273" s="8">
        <v>0</v>
      </c>
      <c r="F273" s="9">
        <v>1</v>
      </c>
      <c r="G273" s="9">
        <v>2</v>
      </c>
      <c r="H273" s="9">
        <v>3</v>
      </c>
      <c r="I273" s="9">
        <v>4</v>
      </c>
      <c r="J273" s="9">
        <v>5</v>
      </c>
      <c r="K273" s="9">
        <v>6</v>
      </c>
      <c r="L273" s="9" t="s">
        <v>43</v>
      </c>
      <c r="M273" s="9">
        <v>8</v>
      </c>
      <c r="N273" s="10">
        <v>15</v>
      </c>
    </row>
    <row r="274" spans="1:14" ht="16.5" x14ac:dyDescent="0.25">
      <c r="J274" s="3" t="s">
        <v>74</v>
      </c>
      <c r="N274" s="18" t="s">
        <v>55</v>
      </c>
    </row>
    <row r="280" spans="1:14" ht="16.5" x14ac:dyDescent="0.25">
      <c r="A280" s="3" t="s">
        <v>74</v>
      </c>
      <c r="B280" s="19">
        <f>+((1+B273)^5-1)/B273</f>
        <v>5.750739010000002</v>
      </c>
      <c r="C280" s="46" t="s">
        <v>75</v>
      </c>
      <c r="D280" s="46"/>
    </row>
    <row r="281" spans="1:14" ht="16.5" x14ac:dyDescent="0.25">
      <c r="A281" s="3" t="s">
        <v>55</v>
      </c>
      <c r="B281" s="19">
        <f>+(1+B273)^10</f>
        <v>1.9671513572895656</v>
      </c>
      <c r="C281" s="46"/>
      <c r="D281" s="46"/>
    </row>
    <row r="282" spans="1:14" ht="16.5" x14ac:dyDescent="0.25">
      <c r="A282" s="13" t="s">
        <v>2</v>
      </c>
      <c r="B282" s="14">
        <f>+B272/(B280*B281)</f>
        <v>8839.7211428086994</v>
      </c>
    </row>
    <row r="284" spans="1:14" x14ac:dyDescent="0.25">
      <c r="A284" s="44" t="s">
        <v>76</v>
      </c>
      <c r="B284" s="44"/>
      <c r="C284" s="44"/>
      <c r="D284" s="44"/>
      <c r="E284" s="44"/>
      <c r="F284" s="44"/>
      <c r="G284" s="44"/>
      <c r="H284" s="44"/>
    </row>
    <row r="285" spans="1:14" x14ac:dyDescent="0.25">
      <c r="A285" s="44"/>
      <c r="B285" s="44"/>
      <c r="C285" s="44"/>
      <c r="D285" s="44"/>
      <c r="E285" s="44"/>
      <c r="F285" s="44"/>
      <c r="G285" s="44"/>
      <c r="H285" s="44"/>
    </row>
    <row r="286" spans="1:14" x14ac:dyDescent="0.25">
      <c r="A286" s="44"/>
      <c r="B286" s="44"/>
      <c r="C286" s="44"/>
      <c r="D286" s="44"/>
      <c r="E286" s="44"/>
      <c r="F286" s="44"/>
      <c r="G286" s="44"/>
      <c r="H286" s="44"/>
    </row>
    <row r="287" spans="1:14" x14ac:dyDescent="0.25">
      <c r="A287" s="44"/>
      <c r="B287" s="44"/>
      <c r="C287" s="44"/>
      <c r="D287" s="44"/>
      <c r="E287" s="44"/>
      <c r="F287" s="44"/>
      <c r="G287" s="44"/>
      <c r="H287" s="44"/>
    </row>
    <row r="288" spans="1:14" x14ac:dyDescent="0.25">
      <c r="A288" s="44"/>
      <c r="B288" s="44"/>
      <c r="C288" s="44"/>
      <c r="D288" s="44"/>
      <c r="E288" s="44"/>
      <c r="F288" s="44"/>
      <c r="G288" s="44"/>
      <c r="H288" s="44"/>
    </row>
    <row r="294" spans="1:5" ht="16.5" x14ac:dyDescent="0.25">
      <c r="A294" s="3" t="s">
        <v>9</v>
      </c>
      <c r="B294" s="11">
        <v>0.08</v>
      </c>
      <c r="C294" s="5" t="s">
        <v>10</v>
      </c>
    </row>
    <row r="295" spans="1:5" ht="16.5" x14ac:dyDescent="0.25">
      <c r="A295" s="3" t="s">
        <v>13</v>
      </c>
      <c r="B295" s="4">
        <f>12000-3000</f>
        <v>9000</v>
      </c>
      <c r="C295" s="5" t="s">
        <v>77</v>
      </c>
      <c r="D295" s="3"/>
      <c r="E295" s="4"/>
    </row>
    <row r="296" spans="1:5" ht="16.5" x14ac:dyDescent="0.25">
      <c r="A296" s="3" t="s">
        <v>21</v>
      </c>
      <c r="B296" s="4">
        <f>800-200</f>
        <v>600</v>
      </c>
      <c r="C296" s="5" t="s">
        <v>78</v>
      </c>
      <c r="D296" s="3"/>
      <c r="E296" s="4"/>
    </row>
    <row r="297" spans="1:5" ht="16.5" x14ac:dyDescent="0.25">
      <c r="A297" s="20" t="s">
        <v>23</v>
      </c>
      <c r="B297" s="4">
        <f>900-200</f>
        <v>700</v>
      </c>
      <c r="C297" s="5" t="s">
        <v>79</v>
      </c>
      <c r="D297" s="3"/>
      <c r="E297" s="4"/>
    </row>
    <row r="298" spans="1:5" ht="16.5" x14ac:dyDescent="0.25">
      <c r="A298" s="20"/>
      <c r="B298" s="4"/>
      <c r="C298" s="5"/>
      <c r="D298" s="3"/>
      <c r="E298" s="4"/>
    </row>
    <row r="299" spans="1:5" ht="16.5" x14ac:dyDescent="0.25">
      <c r="A299" s="12" t="s">
        <v>30</v>
      </c>
    </row>
    <row r="300" spans="1:5" ht="16.5" x14ac:dyDescent="0.25">
      <c r="A300" s="3" t="s">
        <v>5</v>
      </c>
      <c r="B300" s="6">
        <v>6</v>
      </c>
      <c r="C300" s="5" t="s">
        <v>6</v>
      </c>
    </row>
    <row r="301" spans="1:5" ht="16.5" x14ac:dyDescent="0.25">
      <c r="A301" s="3" t="s">
        <v>13</v>
      </c>
      <c r="B301" s="4">
        <f>+PV(B294,B300,-B296)</f>
        <v>2773.7277983767158</v>
      </c>
      <c r="C301" s="15" t="s">
        <v>14</v>
      </c>
    </row>
    <row r="302" spans="1:5" ht="16.5" x14ac:dyDescent="0.25">
      <c r="A302" s="3"/>
      <c r="B302" s="5" t="s">
        <v>80</v>
      </c>
      <c r="C302" s="15"/>
    </row>
    <row r="304" spans="1:5" ht="16.5" x14ac:dyDescent="0.25">
      <c r="A304" s="12" t="s">
        <v>81</v>
      </c>
    </row>
    <row r="305" spans="1:3" ht="16.5" x14ac:dyDescent="0.25">
      <c r="A305" s="3" t="s">
        <v>5</v>
      </c>
      <c r="B305" s="6">
        <v>5</v>
      </c>
      <c r="C305" s="5" t="s">
        <v>6</v>
      </c>
    </row>
    <row r="306" spans="1:3" ht="16.5" x14ac:dyDescent="0.25">
      <c r="A306" s="3" t="s">
        <v>57</v>
      </c>
      <c r="B306" s="4">
        <f>+FV(B294,B305,-B297)</f>
        <v>4106.6206720000027</v>
      </c>
      <c r="C306" s="15" t="s">
        <v>66</v>
      </c>
    </row>
    <row r="307" spans="1:3" ht="16.5" x14ac:dyDescent="0.25">
      <c r="A307" s="3"/>
      <c r="B307" s="5" t="s">
        <v>82</v>
      </c>
      <c r="C307" s="15"/>
    </row>
    <row r="309" spans="1:3" ht="16.5" x14ac:dyDescent="0.25">
      <c r="A309" s="12" t="s">
        <v>83</v>
      </c>
    </row>
    <row r="310" spans="1:3" ht="16.5" x14ac:dyDescent="0.25">
      <c r="A310" s="3" t="s">
        <v>5</v>
      </c>
      <c r="B310" s="6">
        <v>11</v>
      </c>
      <c r="C310" s="5" t="s">
        <v>6</v>
      </c>
    </row>
    <row r="311" spans="1:3" ht="16.5" x14ac:dyDescent="0.25">
      <c r="A311" s="3" t="s">
        <v>57</v>
      </c>
      <c r="B311" s="4">
        <f>+FV(B294,B310,,-(B295+B301))</f>
        <v>27452.082875401076</v>
      </c>
      <c r="C311" s="15" t="s">
        <v>58</v>
      </c>
    </row>
    <row r="312" spans="1:3" ht="16.5" x14ac:dyDescent="0.25">
      <c r="B312" s="5" t="s">
        <v>82</v>
      </c>
    </row>
    <row r="314" spans="1:3" ht="16.5" x14ac:dyDescent="0.25">
      <c r="A314" s="13" t="s">
        <v>84</v>
      </c>
      <c r="B314" s="14">
        <f>+B306+B311</f>
        <v>31558.703547401077</v>
      </c>
    </row>
    <row r="316" spans="1:3" ht="16.5" x14ac:dyDescent="0.25">
      <c r="A316" s="43" t="s">
        <v>85</v>
      </c>
      <c r="B316" s="43"/>
      <c r="C316" s="43"/>
    </row>
    <row r="317" spans="1:3" ht="16.5" x14ac:dyDescent="0.25">
      <c r="C317" s="20" t="s">
        <v>57</v>
      </c>
    </row>
    <row r="318" spans="1:3" ht="16.5" x14ac:dyDescent="0.25">
      <c r="A318" s="6">
        <v>0</v>
      </c>
      <c r="B318" s="4">
        <f>12000-3000</f>
        <v>9000</v>
      </c>
      <c r="C318" s="4">
        <f t="shared" ref="C318:C329" si="0">+B318*(1+$B$294)^($A$329-A318)</f>
        <v>20984.750973491497</v>
      </c>
    </row>
    <row r="319" spans="1:3" ht="16.5" x14ac:dyDescent="0.25">
      <c r="A319" s="6">
        <v>1</v>
      </c>
      <c r="B319" s="4">
        <f>800-200</f>
        <v>600</v>
      </c>
      <c r="C319" s="4">
        <f t="shared" si="0"/>
        <v>1295.3549983636726</v>
      </c>
    </row>
    <row r="320" spans="1:3" ht="16.5" x14ac:dyDescent="0.25">
      <c r="A320" s="6">
        <v>2</v>
      </c>
      <c r="B320" s="4">
        <f t="shared" ref="B320:B324" si="1">800-200</f>
        <v>600</v>
      </c>
      <c r="C320" s="4">
        <f t="shared" si="0"/>
        <v>1199.4027762626599</v>
      </c>
    </row>
    <row r="321" spans="1:3" ht="16.5" x14ac:dyDescent="0.25">
      <c r="A321" s="6">
        <v>3</v>
      </c>
      <c r="B321" s="4">
        <f t="shared" si="1"/>
        <v>600</v>
      </c>
      <c r="C321" s="4">
        <f t="shared" si="0"/>
        <v>1110.5581261691293</v>
      </c>
    </row>
    <row r="322" spans="1:3" ht="16.5" x14ac:dyDescent="0.25">
      <c r="A322" s="6">
        <v>4</v>
      </c>
      <c r="B322" s="4">
        <f t="shared" si="1"/>
        <v>600</v>
      </c>
      <c r="C322" s="4">
        <f t="shared" si="0"/>
        <v>1028.2945612677124</v>
      </c>
    </row>
    <row r="323" spans="1:3" ht="16.5" x14ac:dyDescent="0.25">
      <c r="A323" s="6">
        <v>5</v>
      </c>
      <c r="B323" s="4">
        <f t="shared" si="1"/>
        <v>600</v>
      </c>
      <c r="C323" s="4">
        <f t="shared" si="0"/>
        <v>952.12459376640038</v>
      </c>
    </row>
    <row r="324" spans="1:3" ht="16.5" x14ac:dyDescent="0.25">
      <c r="A324" s="6">
        <v>6</v>
      </c>
      <c r="B324" s="4">
        <f t="shared" si="1"/>
        <v>600</v>
      </c>
      <c r="C324" s="4">
        <f t="shared" si="0"/>
        <v>881.5968460800002</v>
      </c>
    </row>
    <row r="325" spans="1:3" ht="16.5" x14ac:dyDescent="0.25">
      <c r="A325" s="6">
        <v>7</v>
      </c>
      <c r="B325" s="4">
        <f>900-200</f>
        <v>700</v>
      </c>
      <c r="C325" s="4">
        <f t="shared" si="0"/>
        <v>952.34227200000021</v>
      </c>
    </row>
    <row r="326" spans="1:3" ht="16.5" x14ac:dyDescent="0.25">
      <c r="A326" s="6">
        <v>8</v>
      </c>
      <c r="B326" s="4">
        <f t="shared" ref="B326:B329" si="2">900-200</f>
        <v>700</v>
      </c>
      <c r="C326" s="4">
        <f t="shared" si="0"/>
        <v>881.79840000000013</v>
      </c>
    </row>
    <row r="327" spans="1:3" ht="16.5" x14ac:dyDescent="0.25">
      <c r="A327" s="6">
        <v>9</v>
      </c>
      <c r="B327" s="4">
        <f t="shared" si="2"/>
        <v>700</v>
      </c>
      <c r="C327" s="4">
        <f t="shared" si="0"/>
        <v>816.48</v>
      </c>
    </row>
    <row r="328" spans="1:3" ht="16.5" x14ac:dyDescent="0.25">
      <c r="A328" s="6">
        <v>10</v>
      </c>
      <c r="B328" s="4">
        <f t="shared" si="2"/>
        <v>700</v>
      </c>
      <c r="C328" s="4">
        <f t="shared" si="0"/>
        <v>756</v>
      </c>
    </row>
    <row r="329" spans="1:3" ht="16.5" x14ac:dyDescent="0.25">
      <c r="A329" s="6">
        <v>11</v>
      </c>
      <c r="B329" s="4">
        <f t="shared" si="2"/>
        <v>700</v>
      </c>
      <c r="C329" s="4">
        <f t="shared" si="0"/>
        <v>700</v>
      </c>
    </row>
    <row r="330" spans="1:3" ht="16.5" x14ac:dyDescent="0.25">
      <c r="B330" s="21" t="s">
        <v>84</v>
      </c>
      <c r="C330" s="21">
        <f>SUM(C318:C329)</f>
        <v>31558.703547401074</v>
      </c>
    </row>
    <row r="331" spans="1:3" ht="16.5" x14ac:dyDescent="0.25">
      <c r="C331" s="4" t="b">
        <f>+C330=B314</f>
        <v>1</v>
      </c>
    </row>
  </sheetData>
  <mergeCells count="19">
    <mergeCell ref="A202:H207"/>
    <mergeCell ref="A1:D2"/>
    <mergeCell ref="A4:H12"/>
    <mergeCell ref="A29:H35"/>
    <mergeCell ref="A49:H55"/>
    <mergeCell ref="A77:H83"/>
    <mergeCell ref="A104:H110"/>
    <mergeCell ref="A121:H123"/>
    <mergeCell ref="A151:D152"/>
    <mergeCell ref="A154:H160"/>
    <mergeCell ref="A175:C175"/>
    <mergeCell ref="A185:H189"/>
    <mergeCell ref="A316:C316"/>
    <mergeCell ref="A224:H230"/>
    <mergeCell ref="A248:D249"/>
    <mergeCell ref="A251:H257"/>
    <mergeCell ref="A266:H270"/>
    <mergeCell ref="C280:D281"/>
    <mergeCell ref="A284:H28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401D-5FC4-47FA-9127-D9CE348CFB0F}">
  <dimension ref="A1:P418"/>
  <sheetViews>
    <sheetView zoomScale="175" zoomScaleNormal="175" workbookViewId="0">
      <selection sqref="A1:D2"/>
    </sheetView>
  </sheetViews>
  <sheetFormatPr baseColWidth="10" defaultRowHeight="15" x14ac:dyDescent="0.25"/>
  <cols>
    <col min="2" max="2" width="16.7109375" customWidth="1"/>
    <col min="6" max="8" width="7.28515625" customWidth="1"/>
    <col min="9" max="9" width="8.140625" customWidth="1"/>
    <col min="10" max="11" width="7.140625" customWidth="1"/>
    <col min="12" max="17" width="7.28515625" customWidth="1"/>
  </cols>
  <sheetData>
    <row r="1" spans="1:8" x14ac:dyDescent="0.25">
      <c r="A1" s="45" t="s">
        <v>86</v>
      </c>
      <c r="B1" s="45"/>
      <c r="C1" s="45"/>
      <c r="D1" s="45"/>
    </row>
    <row r="2" spans="1:8" x14ac:dyDescent="0.25">
      <c r="A2" s="45"/>
      <c r="B2" s="45"/>
      <c r="C2" s="45"/>
      <c r="D2" s="45"/>
    </row>
    <row r="4" spans="1:8" ht="15" customHeight="1" x14ac:dyDescent="0.25">
      <c r="A4" s="44" t="s">
        <v>87</v>
      </c>
      <c r="B4" s="44"/>
      <c r="C4" s="44"/>
      <c r="D4" s="44"/>
      <c r="E4" s="44"/>
      <c r="F4" s="44"/>
      <c r="G4" s="44"/>
      <c r="H4" s="44"/>
    </row>
    <row r="5" spans="1:8" ht="15" customHeight="1" x14ac:dyDescent="0.25">
      <c r="A5" s="44"/>
      <c r="B5" s="44"/>
      <c r="C5" s="44"/>
      <c r="D5" s="44"/>
      <c r="E5" s="44"/>
      <c r="F5" s="44"/>
      <c r="G5" s="44"/>
      <c r="H5" s="44"/>
    </row>
    <row r="6" spans="1:8" ht="15" customHeight="1" x14ac:dyDescent="0.25">
      <c r="A6" s="44"/>
      <c r="B6" s="44"/>
      <c r="C6" s="44"/>
      <c r="D6" s="44"/>
      <c r="E6" s="44"/>
      <c r="F6" s="44"/>
      <c r="G6" s="44"/>
      <c r="H6" s="44"/>
    </row>
    <row r="7" spans="1:8" ht="15" customHeight="1" x14ac:dyDescent="0.25">
      <c r="A7" s="44"/>
      <c r="B7" s="44"/>
      <c r="C7" s="44"/>
      <c r="D7" s="44"/>
      <c r="E7" s="44"/>
      <c r="F7" s="44"/>
      <c r="G7" s="44"/>
      <c r="H7" s="44"/>
    </row>
    <row r="8" spans="1:8" ht="15" customHeight="1" x14ac:dyDescent="0.25">
      <c r="A8" s="16"/>
      <c r="B8" s="16"/>
      <c r="C8" s="16"/>
      <c r="D8" s="16"/>
      <c r="E8" s="16"/>
      <c r="F8" s="16"/>
      <c r="G8" s="16"/>
      <c r="H8" s="16"/>
    </row>
    <row r="9" spans="1:8" ht="15" customHeight="1" x14ac:dyDescent="0.25">
      <c r="A9" s="3" t="s">
        <v>88</v>
      </c>
      <c r="B9" s="11">
        <v>0.1</v>
      </c>
      <c r="C9" s="5" t="s">
        <v>89</v>
      </c>
      <c r="D9" s="16"/>
      <c r="E9" s="16"/>
      <c r="F9" s="16"/>
      <c r="G9" s="16"/>
      <c r="H9" s="16"/>
    </row>
    <row r="10" spans="1:8" ht="15" customHeight="1" x14ac:dyDescent="0.25">
      <c r="A10" s="22" t="s">
        <v>90</v>
      </c>
      <c r="B10" s="23">
        <v>1</v>
      </c>
      <c r="C10" s="5"/>
      <c r="D10" s="16"/>
      <c r="E10" s="16"/>
      <c r="F10" s="16"/>
      <c r="G10" s="16"/>
      <c r="H10" s="16"/>
    </row>
    <row r="11" spans="1:8" ht="15" customHeight="1" x14ac:dyDescent="0.25">
      <c r="A11" s="22" t="s">
        <v>90</v>
      </c>
      <c r="B11" s="23">
        <v>4</v>
      </c>
      <c r="D11" s="16"/>
      <c r="E11" s="16"/>
      <c r="F11" s="16"/>
      <c r="G11" s="16"/>
      <c r="H11" s="16"/>
    </row>
    <row r="12" spans="1:8" ht="15" customHeight="1" x14ac:dyDescent="0.25">
      <c r="A12" s="22" t="s">
        <v>90</v>
      </c>
      <c r="B12" s="23">
        <v>12</v>
      </c>
      <c r="C12" s="16"/>
      <c r="D12" s="16"/>
      <c r="E12" s="16"/>
      <c r="F12" s="16"/>
      <c r="G12" s="16"/>
      <c r="H12" s="16"/>
    </row>
    <row r="14" spans="1:8" x14ac:dyDescent="0.25">
      <c r="A14" s="44" t="s">
        <v>91</v>
      </c>
      <c r="B14" s="44"/>
      <c r="C14" s="44"/>
      <c r="D14" s="44"/>
      <c r="E14" s="44"/>
      <c r="F14" s="44"/>
      <c r="G14" s="44"/>
      <c r="H14" s="44"/>
    </row>
    <row r="15" spans="1:8" x14ac:dyDescent="0.25">
      <c r="A15" s="44"/>
      <c r="B15" s="44"/>
      <c r="C15" s="44"/>
      <c r="D15" s="44"/>
      <c r="E15" s="44"/>
      <c r="F15" s="44"/>
      <c r="G15" s="44"/>
      <c r="H15" s="44"/>
    </row>
    <row r="16" spans="1:8" x14ac:dyDescent="0.25">
      <c r="A16" s="44"/>
      <c r="B16" s="44"/>
      <c r="C16" s="44"/>
      <c r="D16" s="44"/>
      <c r="E16" s="44"/>
      <c r="F16" s="44"/>
      <c r="G16" s="44"/>
      <c r="H16" s="44"/>
    </row>
    <row r="17" spans="1:8" x14ac:dyDescent="0.25">
      <c r="A17" s="44"/>
      <c r="B17" s="44"/>
      <c r="C17" s="44"/>
      <c r="D17" s="44"/>
      <c r="E17" s="44"/>
      <c r="F17" s="44"/>
      <c r="G17" s="44"/>
      <c r="H17" s="44"/>
    </row>
    <row r="19" spans="1:8" ht="16.5" x14ac:dyDescent="0.25">
      <c r="A19" s="3" t="s">
        <v>9</v>
      </c>
      <c r="B19" s="24">
        <v>5.0000000000000001E-3</v>
      </c>
      <c r="C19" s="5" t="s">
        <v>92</v>
      </c>
    </row>
    <row r="20" spans="1:8" ht="16.5" x14ac:dyDescent="0.25">
      <c r="A20" s="22" t="s">
        <v>88</v>
      </c>
      <c r="B20" s="25">
        <f>+B19*2</f>
        <v>0.01</v>
      </c>
      <c r="C20" s="26" t="s">
        <v>93</v>
      </c>
    </row>
    <row r="21" spans="1:8" ht="16.5" x14ac:dyDescent="0.25">
      <c r="A21" s="22" t="s">
        <v>88</v>
      </c>
      <c r="B21" s="25">
        <f>+B19*4</f>
        <v>0.02</v>
      </c>
      <c r="C21" s="26" t="s">
        <v>94</v>
      </c>
    </row>
    <row r="22" spans="1:8" ht="16.5" x14ac:dyDescent="0.25">
      <c r="A22" s="22" t="s">
        <v>88</v>
      </c>
      <c r="B22" s="25">
        <f>+B19*8</f>
        <v>0.04</v>
      </c>
      <c r="C22" s="26" t="s">
        <v>95</v>
      </c>
    </row>
    <row r="24" spans="1:8" x14ac:dyDescent="0.25">
      <c r="A24" s="44" t="s">
        <v>96</v>
      </c>
      <c r="B24" s="44"/>
      <c r="C24" s="44"/>
      <c r="D24" s="44"/>
      <c r="E24" s="44"/>
      <c r="F24" s="44"/>
      <c r="G24" s="44"/>
      <c r="H24" s="44"/>
    </row>
    <row r="25" spans="1:8" x14ac:dyDescent="0.25">
      <c r="A25" s="44"/>
      <c r="B25" s="44"/>
      <c r="C25" s="44"/>
      <c r="D25" s="44"/>
      <c r="E25" s="44"/>
      <c r="F25" s="44"/>
      <c r="G25" s="44"/>
      <c r="H25" s="44"/>
    </row>
    <row r="26" spans="1:8" x14ac:dyDescent="0.25">
      <c r="A26" s="44"/>
      <c r="B26" s="44"/>
      <c r="C26" s="44"/>
      <c r="D26" s="44"/>
      <c r="E26" s="44"/>
      <c r="F26" s="44"/>
      <c r="G26" s="44"/>
      <c r="H26" s="44"/>
    </row>
    <row r="27" spans="1:8" x14ac:dyDescent="0.25">
      <c r="A27" s="44"/>
      <c r="B27" s="44"/>
      <c r="C27" s="44"/>
      <c r="D27" s="44"/>
      <c r="E27" s="44"/>
      <c r="F27" s="44"/>
      <c r="G27" s="44"/>
      <c r="H27" s="44"/>
    </row>
    <row r="29" spans="1:8" ht="16.5" x14ac:dyDescent="0.25">
      <c r="A29" s="3" t="s">
        <v>88</v>
      </c>
      <c r="B29" s="11">
        <v>0.12</v>
      </c>
      <c r="C29" s="5" t="s">
        <v>97</v>
      </c>
    </row>
    <row r="30" spans="1:8" ht="16.5" x14ac:dyDescent="0.25">
      <c r="A30" s="22" t="s">
        <v>88</v>
      </c>
      <c r="B30" s="27">
        <f>+B29/6*2</f>
        <v>0.04</v>
      </c>
      <c r="C30" s="26" t="s">
        <v>98</v>
      </c>
    </row>
    <row r="31" spans="1:8" ht="16.5" x14ac:dyDescent="0.25">
      <c r="A31" s="22" t="s">
        <v>88</v>
      </c>
      <c r="B31" s="27">
        <f>+B29/6*3</f>
        <v>0.06</v>
      </c>
      <c r="C31" s="26" t="s">
        <v>99</v>
      </c>
    </row>
    <row r="32" spans="1:8" ht="16.5" x14ac:dyDescent="0.25">
      <c r="A32" s="22" t="s">
        <v>88</v>
      </c>
      <c r="B32" s="27">
        <f>+B29/6*12</f>
        <v>0.24</v>
      </c>
      <c r="C32" s="26" t="s">
        <v>100</v>
      </c>
    </row>
    <row r="34" spans="1:8" ht="15" customHeight="1" x14ac:dyDescent="0.25">
      <c r="A34" s="44" t="s">
        <v>101</v>
      </c>
      <c r="B34" s="44"/>
      <c r="C34" s="44"/>
      <c r="D34" s="44"/>
      <c r="E34" s="44"/>
      <c r="F34" s="44"/>
      <c r="G34" s="44"/>
      <c r="H34" s="44"/>
    </row>
    <row r="35" spans="1:8" ht="15" customHeight="1" x14ac:dyDescent="0.25">
      <c r="A35" s="44"/>
      <c r="B35" s="44"/>
      <c r="C35" s="44"/>
      <c r="D35" s="44"/>
      <c r="E35" s="44"/>
      <c r="F35" s="44"/>
      <c r="G35" s="44"/>
      <c r="H35" s="44"/>
    </row>
    <row r="36" spans="1:8" ht="15" customHeight="1" x14ac:dyDescent="0.25">
      <c r="A36" s="44"/>
      <c r="B36" s="44"/>
      <c r="C36" s="44"/>
      <c r="D36" s="44"/>
      <c r="E36" s="44"/>
      <c r="F36" s="44"/>
      <c r="G36" s="44"/>
      <c r="H36" s="44"/>
    </row>
    <row r="37" spans="1:8" ht="15" customHeight="1" x14ac:dyDescent="0.25">
      <c r="A37" s="16"/>
      <c r="B37" s="16"/>
      <c r="C37" s="16"/>
      <c r="D37" s="16"/>
      <c r="E37" s="16"/>
      <c r="F37" s="16"/>
      <c r="G37" s="16"/>
      <c r="H37" s="16"/>
    </row>
    <row r="38" spans="1:8" ht="15" customHeight="1" x14ac:dyDescent="0.25">
      <c r="A38" s="3" t="s">
        <v>88</v>
      </c>
      <c r="B38" s="11">
        <v>0.16</v>
      </c>
      <c r="C38" s="28" t="s">
        <v>102</v>
      </c>
      <c r="D38" s="5"/>
      <c r="E38" s="16"/>
      <c r="F38" s="16"/>
      <c r="G38" s="16"/>
      <c r="H38" s="16"/>
    </row>
    <row r="39" spans="1:8" ht="16.5" x14ac:dyDescent="0.25">
      <c r="A39" s="3" t="s">
        <v>9</v>
      </c>
      <c r="B39" s="11">
        <f>+B38/4</f>
        <v>0.04</v>
      </c>
      <c r="C39" s="28" t="s">
        <v>92</v>
      </c>
    </row>
    <row r="40" spans="1:8" ht="16.5" x14ac:dyDescent="0.25">
      <c r="A40" s="22" t="s">
        <v>9</v>
      </c>
      <c r="B40" s="29">
        <f>+(1+B39)^4-1</f>
        <v>0.16985856000000021</v>
      </c>
      <c r="C40" s="26" t="s">
        <v>103</v>
      </c>
      <c r="D40" s="5"/>
    </row>
    <row r="41" spans="1:8" ht="16.5" x14ac:dyDescent="0.25">
      <c r="A41" s="3"/>
      <c r="B41" s="11"/>
      <c r="C41" s="5"/>
      <c r="D41" s="5"/>
    </row>
    <row r="42" spans="1:8" x14ac:dyDescent="0.25">
      <c r="A42" s="44" t="s">
        <v>104</v>
      </c>
      <c r="B42" s="44"/>
      <c r="C42" s="44"/>
      <c r="D42" s="44"/>
      <c r="E42" s="44"/>
      <c r="F42" s="44"/>
      <c r="G42" s="44"/>
      <c r="H42" s="44"/>
    </row>
    <row r="43" spans="1:8" x14ac:dyDescent="0.25">
      <c r="A43" s="44"/>
      <c r="B43" s="44"/>
      <c r="C43" s="44"/>
      <c r="D43" s="44"/>
      <c r="E43" s="44"/>
      <c r="F43" s="44"/>
      <c r="G43" s="44"/>
      <c r="H43" s="44"/>
    </row>
    <row r="44" spans="1:8" x14ac:dyDescent="0.25">
      <c r="A44" s="44"/>
      <c r="B44" s="44"/>
      <c r="C44" s="44"/>
      <c r="D44" s="44"/>
      <c r="E44" s="44"/>
      <c r="F44" s="44"/>
      <c r="G44" s="44"/>
      <c r="H44" s="44"/>
    </row>
    <row r="45" spans="1:8" ht="15.75" x14ac:dyDescent="0.25">
      <c r="A45" s="16"/>
      <c r="B45" s="16"/>
      <c r="C45" s="16"/>
      <c r="D45" s="16"/>
      <c r="E45" s="16"/>
      <c r="F45" s="16"/>
      <c r="G45" s="16"/>
      <c r="H45" s="16"/>
    </row>
    <row r="46" spans="1:8" ht="16.5" x14ac:dyDescent="0.25">
      <c r="A46" s="3" t="s">
        <v>9</v>
      </c>
      <c r="B46" s="11">
        <v>0.01</v>
      </c>
      <c r="C46" s="28" t="s">
        <v>105</v>
      </c>
      <c r="D46" s="5"/>
      <c r="E46" s="16"/>
      <c r="F46" s="16"/>
      <c r="G46" s="16"/>
      <c r="H46" s="16"/>
    </row>
    <row r="47" spans="1:8" ht="16.5" x14ac:dyDescent="0.25">
      <c r="A47" s="22" t="s">
        <v>9</v>
      </c>
      <c r="B47" s="29">
        <f>+(1+B46)^2-1</f>
        <v>2.0100000000000007E-2</v>
      </c>
      <c r="C47" s="30" t="s">
        <v>106</v>
      </c>
    </row>
    <row r="48" spans="1:8" ht="16.5" x14ac:dyDescent="0.25">
      <c r="A48" s="3"/>
      <c r="B48" s="31"/>
      <c r="C48" s="5"/>
      <c r="D48" s="5"/>
    </row>
    <row r="49" spans="1:8" x14ac:dyDescent="0.25">
      <c r="A49" s="44" t="s">
        <v>107</v>
      </c>
      <c r="B49" s="44"/>
      <c r="C49" s="44"/>
      <c r="D49" s="44"/>
      <c r="E49" s="44"/>
      <c r="F49" s="44"/>
      <c r="G49" s="44"/>
      <c r="H49" s="44"/>
    </row>
    <row r="50" spans="1:8" x14ac:dyDescent="0.25">
      <c r="A50" s="44"/>
      <c r="B50" s="44"/>
      <c r="C50" s="44"/>
      <c r="D50" s="44"/>
      <c r="E50" s="44"/>
      <c r="F50" s="44"/>
      <c r="G50" s="44"/>
      <c r="H50" s="44"/>
    </row>
    <row r="51" spans="1:8" x14ac:dyDescent="0.25">
      <c r="A51" s="44"/>
      <c r="B51" s="44"/>
      <c r="C51" s="44"/>
      <c r="D51" s="44"/>
      <c r="E51" s="44"/>
      <c r="F51" s="44"/>
      <c r="G51" s="44"/>
      <c r="H51" s="44"/>
    </row>
    <row r="52" spans="1:8" ht="15.75" x14ac:dyDescent="0.25">
      <c r="A52" s="16"/>
      <c r="B52" s="16"/>
      <c r="C52" s="16"/>
      <c r="D52" s="16"/>
      <c r="E52" s="16"/>
      <c r="F52" s="16"/>
      <c r="G52" s="16"/>
      <c r="H52" s="16"/>
    </row>
    <row r="53" spans="1:8" ht="16.5" x14ac:dyDescent="0.25">
      <c r="A53" s="3" t="s">
        <v>88</v>
      </c>
      <c r="B53" s="11">
        <v>0.12</v>
      </c>
      <c r="C53" s="28" t="s">
        <v>108</v>
      </c>
      <c r="D53" s="5"/>
      <c r="E53" s="16"/>
      <c r="F53" s="16"/>
      <c r="G53" s="16"/>
      <c r="H53" s="16"/>
    </row>
    <row r="54" spans="1:8" ht="16.5" x14ac:dyDescent="0.25">
      <c r="A54" s="3" t="s">
        <v>88</v>
      </c>
      <c r="B54" s="11">
        <f>+B53/12*6</f>
        <v>0.06</v>
      </c>
      <c r="C54" s="28" t="s">
        <v>99</v>
      </c>
    </row>
    <row r="55" spans="1:8" ht="16.5" x14ac:dyDescent="0.25">
      <c r="A55" s="22" t="s">
        <v>9</v>
      </c>
      <c r="B55" s="29">
        <f>+(1+B53/12)^6-1</f>
        <v>6.1520150601000134E-2</v>
      </c>
      <c r="C55" s="30" t="s">
        <v>109</v>
      </c>
    </row>
    <row r="56" spans="1:8" ht="16.5" x14ac:dyDescent="0.25">
      <c r="A56" s="3"/>
      <c r="B56" s="11"/>
      <c r="C56" s="28"/>
    </row>
    <row r="57" spans="1:8" ht="15" customHeight="1" x14ac:dyDescent="0.25">
      <c r="A57" s="44" t="s">
        <v>110</v>
      </c>
      <c r="B57" s="44"/>
      <c r="C57" s="44"/>
      <c r="D57" s="44"/>
      <c r="E57" s="44"/>
      <c r="F57" s="44"/>
      <c r="G57" s="44"/>
      <c r="H57" s="44"/>
    </row>
    <row r="58" spans="1:8" ht="15" customHeight="1" x14ac:dyDescent="0.25">
      <c r="A58" s="44"/>
      <c r="B58" s="44"/>
      <c r="C58" s="44"/>
      <c r="D58" s="44"/>
      <c r="E58" s="44"/>
      <c r="F58" s="44"/>
      <c r="G58" s="44"/>
      <c r="H58" s="44"/>
    </row>
    <row r="59" spans="1:8" ht="15" customHeight="1" x14ac:dyDescent="0.25">
      <c r="A59" s="44"/>
      <c r="B59" s="44"/>
      <c r="C59" s="44"/>
      <c r="D59" s="44"/>
      <c r="E59" s="44"/>
      <c r="F59" s="44"/>
      <c r="G59" s="44"/>
      <c r="H59" s="44"/>
    </row>
    <row r="60" spans="1:8" ht="15" customHeight="1" x14ac:dyDescent="0.25">
      <c r="A60" s="44"/>
      <c r="B60" s="44"/>
      <c r="C60" s="44"/>
      <c r="D60" s="44"/>
      <c r="E60" s="44"/>
      <c r="F60" s="44"/>
      <c r="G60" s="44"/>
      <c r="H60" s="44"/>
    </row>
    <row r="61" spans="1:8" ht="15.75" customHeight="1" x14ac:dyDescent="0.25">
      <c r="A61" s="44"/>
      <c r="B61" s="44"/>
      <c r="C61" s="44"/>
      <c r="D61" s="44"/>
      <c r="E61" s="44"/>
      <c r="F61" s="44"/>
      <c r="G61" s="44"/>
      <c r="H61" s="44"/>
    </row>
    <row r="62" spans="1:8" ht="16.5" x14ac:dyDescent="0.25">
      <c r="A62" s="3"/>
      <c r="B62" s="11"/>
      <c r="C62" s="5"/>
      <c r="D62" s="16"/>
      <c r="E62" s="16"/>
      <c r="F62" s="16"/>
      <c r="G62" s="16"/>
      <c r="H62" s="16"/>
    </row>
    <row r="63" spans="1:8" ht="16.5" x14ac:dyDescent="0.25">
      <c r="A63" s="3" t="s">
        <v>88</v>
      </c>
      <c r="B63" s="24">
        <v>6.8000000000000005E-2</v>
      </c>
      <c r="C63" s="28" t="s">
        <v>111</v>
      </c>
      <c r="D63" s="16"/>
      <c r="E63" s="16"/>
      <c r="F63" s="16"/>
      <c r="G63" s="16"/>
      <c r="H63" s="16"/>
    </row>
    <row r="64" spans="1:8" ht="16.5" x14ac:dyDescent="0.25">
      <c r="A64" s="22" t="s">
        <v>9</v>
      </c>
      <c r="B64" s="32">
        <f>+B63/26</f>
        <v>2.6153846153846158E-3</v>
      </c>
      <c r="C64" s="30" t="s">
        <v>112</v>
      </c>
      <c r="D64" s="30" t="s">
        <v>113</v>
      </c>
      <c r="E64" s="16"/>
      <c r="F64" s="16"/>
      <c r="G64" s="16"/>
      <c r="H64" s="16"/>
    </row>
    <row r="65" spans="1:10" ht="16.5" x14ac:dyDescent="0.25">
      <c r="A65" s="3"/>
      <c r="B65" s="31"/>
      <c r="C65" s="28"/>
      <c r="D65" s="16"/>
      <c r="E65" s="16"/>
      <c r="F65" s="16"/>
      <c r="G65" s="16"/>
      <c r="H65" s="16"/>
    </row>
    <row r="66" spans="1:10" x14ac:dyDescent="0.25">
      <c r="A66" s="45" t="s">
        <v>114</v>
      </c>
      <c r="B66" s="45"/>
      <c r="C66" s="45"/>
      <c r="D66" s="45"/>
    </row>
    <row r="67" spans="1:10" x14ac:dyDescent="0.25">
      <c r="A67" s="45"/>
      <c r="B67" s="45"/>
      <c r="C67" s="45"/>
      <c r="D67" s="45"/>
    </row>
    <row r="69" spans="1:10" x14ac:dyDescent="0.25">
      <c r="A69" s="44" t="s">
        <v>115</v>
      </c>
      <c r="B69" s="44"/>
      <c r="C69" s="44"/>
      <c r="D69" s="44"/>
      <c r="E69" s="44"/>
      <c r="F69" s="44"/>
      <c r="G69" s="44"/>
      <c r="H69" s="44"/>
    </row>
    <row r="70" spans="1:10" x14ac:dyDescent="0.25">
      <c r="A70" s="44"/>
      <c r="B70" s="44"/>
      <c r="C70" s="44"/>
      <c r="D70" s="44"/>
      <c r="E70" s="44"/>
      <c r="F70" s="44"/>
      <c r="G70" s="44"/>
      <c r="H70" s="44"/>
    </row>
    <row r="71" spans="1:10" x14ac:dyDescent="0.25">
      <c r="A71" s="44"/>
      <c r="B71" s="44"/>
      <c r="C71" s="44"/>
      <c r="D71" s="44"/>
      <c r="E71" s="44"/>
      <c r="F71" s="44"/>
      <c r="G71" s="44"/>
      <c r="H71" s="44"/>
    </row>
    <row r="72" spans="1:10" x14ac:dyDescent="0.25">
      <c r="A72" s="44"/>
      <c r="B72" s="44"/>
      <c r="C72" s="44"/>
      <c r="D72" s="44"/>
      <c r="E72" s="44"/>
      <c r="F72" s="44"/>
      <c r="G72" s="44"/>
      <c r="H72" s="44"/>
    </row>
    <row r="73" spans="1:10" x14ac:dyDescent="0.25">
      <c r="A73" s="44"/>
      <c r="B73" s="44"/>
      <c r="C73" s="44"/>
      <c r="D73" s="44"/>
      <c r="E73" s="44"/>
      <c r="F73" s="44"/>
      <c r="G73" s="44"/>
      <c r="H73" s="44"/>
    </row>
    <row r="75" spans="1:10" ht="16.5" x14ac:dyDescent="0.25">
      <c r="A75" s="3" t="s">
        <v>57</v>
      </c>
      <c r="B75" s="4">
        <v>85000000</v>
      </c>
      <c r="C75" s="5" t="s">
        <v>116</v>
      </c>
      <c r="J75" s="6" t="s">
        <v>57</v>
      </c>
    </row>
    <row r="76" spans="1:10" ht="16.5" x14ac:dyDescent="0.25">
      <c r="A76" s="3" t="s">
        <v>5</v>
      </c>
      <c r="B76" s="6">
        <v>3</v>
      </c>
      <c r="C76" s="5" t="s">
        <v>6</v>
      </c>
      <c r="G76" s="8">
        <v>0</v>
      </c>
      <c r="H76" s="9">
        <v>1</v>
      </c>
      <c r="I76" s="9">
        <v>2</v>
      </c>
      <c r="J76" s="10">
        <v>3</v>
      </c>
    </row>
    <row r="77" spans="1:10" ht="16.5" x14ac:dyDescent="0.25">
      <c r="A77" s="3" t="s">
        <v>88</v>
      </c>
      <c r="B77" s="11">
        <v>0.08</v>
      </c>
      <c r="C77" s="28" t="s">
        <v>102</v>
      </c>
      <c r="G77" s="3" t="s">
        <v>11</v>
      </c>
      <c r="H77" s="3"/>
      <c r="I77" s="3"/>
    </row>
    <row r="78" spans="1:10" ht="16.5" x14ac:dyDescent="0.25">
      <c r="G78" s="3"/>
      <c r="H78" s="3"/>
      <c r="I78" s="3"/>
    </row>
    <row r="79" spans="1:10" ht="16.5" x14ac:dyDescent="0.25">
      <c r="A79" s="7" t="s">
        <v>117</v>
      </c>
    </row>
    <row r="80" spans="1:10" ht="16.5" x14ac:dyDescent="0.25">
      <c r="A80" s="3" t="s">
        <v>9</v>
      </c>
      <c r="B80" s="11">
        <f>+B77/4</f>
        <v>0.02</v>
      </c>
      <c r="C80" s="28" t="s">
        <v>92</v>
      </c>
    </row>
    <row r="81" spans="1:12" ht="16.5" x14ac:dyDescent="0.25">
      <c r="A81" s="3" t="s">
        <v>5</v>
      </c>
      <c r="B81" s="6">
        <f>+B76*4</f>
        <v>12</v>
      </c>
      <c r="C81" s="5" t="s">
        <v>6</v>
      </c>
    </row>
    <row r="82" spans="1:12" ht="16.5" x14ac:dyDescent="0.25">
      <c r="A82" s="13" t="s">
        <v>13</v>
      </c>
      <c r="B82" s="14">
        <f>+PV(B80,B81,,-B75)</f>
        <v>67021919.924440794</v>
      </c>
      <c r="C82" s="5" t="s">
        <v>17</v>
      </c>
    </row>
    <row r="84" spans="1:12" ht="15" customHeight="1" x14ac:dyDescent="0.25">
      <c r="A84" s="44" t="s">
        <v>118</v>
      </c>
      <c r="B84" s="44"/>
      <c r="C84" s="44"/>
      <c r="D84" s="44"/>
      <c r="E84" s="44"/>
      <c r="F84" s="44"/>
      <c r="G84" s="44"/>
      <c r="H84" s="44"/>
    </row>
    <row r="85" spans="1:12" ht="15" customHeight="1" x14ac:dyDescent="0.25">
      <c r="A85" s="44"/>
      <c r="B85" s="44"/>
      <c r="C85" s="44"/>
      <c r="D85" s="44"/>
      <c r="E85" s="44"/>
      <c r="F85" s="44"/>
      <c r="G85" s="44"/>
      <c r="H85" s="44"/>
    </row>
    <row r="86" spans="1:12" ht="15" customHeight="1" x14ac:dyDescent="0.25">
      <c r="A86" s="44"/>
      <c r="B86" s="44"/>
      <c r="C86" s="44"/>
      <c r="D86" s="44"/>
      <c r="E86" s="44"/>
      <c r="F86" s="44"/>
      <c r="G86" s="44"/>
      <c r="H86" s="44"/>
    </row>
    <row r="87" spans="1:12" ht="15" customHeight="1" x14ac:dyDescent="0.25">
      <c r="A87" s="44"/>
      <c r="B87" s="44"/>
      <c r="C87" s="44"/>
      <c r="D87" s="44"/>
      <c r="E87" s="44"/>
      <c r="F87" s="44"/>
      <c r="G87" s="44"/>
      <c r="H87" s="44"/>
    </row>
    <row r="88" spans="1:12" ht="15" customHeight="1" x14ac:dyDescent="0.25">
      <c r="A88" s="44"/>
      <c r="B88" s="44"/>
      <c r="C88" s="44"/>
      <c r="D88" s="44"/>
      <c r="E88" s="44"/>
      <c r="F88" s="44"/>
      <c r="G88" s="44"/>
      <c r="H88" s="44"/>
    </row>
    <row r="89" spans="1:12" ht="15" customHeight="1" x14ac:dyDescent="0.25">
      <c r="A89" s="44"/>
      <c r="B89" s="44"/>
      <c r="C89" s="44"/>
      <c r="D89" s="44"/>
      <c r="E89" s="44"/>
      <c r="F89" s="44"/>
      <c r="G89" s="44"/>
      <c r="H89" s="44"/>
    </row>
    <row r="90" spans="1:12" ht="15" customHeight="1" x14ac:dyDescent="0.25">
      <c r="A90" s="44"/>
      <c r="B90" s="44"/>
      <c r="C90" s="44"/>
      <c r="D90" s="44"/>
      <c r="E90" s="44"/>
      <c r="F90" s="44"/>
      <c r="G90" s="44"/>
      <c r="H90" s="44"/>
    </row>
    <row r="91" spans="1:12" ht="15" customHeight="1" x14ac:dyDescent="0.25">
      <c r="A91" s="44"/>
      <c r="B91" s="44"/>
      <c r="C91" s="44"/>
      <c r="D91" s="44"/>
      <c r="E91" s="44"/>
      <c r="F91" s="44"/>
      <c r="G91" s="44"/>
      <c r="H91" s="44"/>
    </row>
    <row r="92" spans="1:12" x14ac:dyDescent="0.25">
      <c r="A92" s="44"/>
      <c r="B92" s="44"/>
      <c r="C92" s="44"/>
      <c r="D92" s="44"/>
      <c r="E92" s="44"/>
      <c r="F92" s="44"/>
      <c r="G92" s="44"/>
      <c r="H92" s="44"/>
    </row>
    <row r="93" spans="1:12" x14ac:dyDescent="0.25">
      <c r="A93" s="44"/>
      <c r="B93" s="44"/>
      <c r="C93" s="44"/>
      <c r="D93" s="44"/>
      <c r="E93" s="44"/>
      <c r="F93" s="44"/>
      <c r="G93" s="44"/>
      <c r="H93" s="44"/>
    </row>
    <row r="95" spans="1:12" ht="16.5" x14ac:dyDescent="0.25">
      <c r="A95" s="3" t="s">
        <v>9</v>
      </c>
      <c r="B95" s="11">
        <v>0.03</v>
      </c>
      <c r="C95" s="28" t="s">
        <v>105</v>
      </c>
      <c r="J95" s="6"/>
      <c r="L95" s="6" t="s">
        <v>119</v>
      </c>
    </row>
    <row r="96" spans="1:12" ht="16.5" x14ac:dyDescent="0.25">
      <c r="A96" s="3" t="s">
        <v>5</v>
      </c>
      <c r="B96" s="6">
        <v>5</v>
      </c>
      <c r="C96" s="5" t="s">
        <v>6</v>
      </c>
      <c r="G96" s="8">
        <v>0</v>
      </c>
      <c r="H96" s="9">
        <v>1</v>
      </c>
      <c r="I96" s="9">
        <v>2</v>
      </c>
      <c r="J96" s="9">
        <v>3</v>
      </c>
      <c r="K96" s="9">
        <v>4</v>
      </c>
      <c r="L96" s="10">
        <v>5</v>
      </c>
    </row>
    <row r="97" spans="1:9" ht="16.5" x14ac:dyDescent="0.25">
      <c r="A97" s="3" t="s">
        <v>5</v>
      </c>
      <c r="B97" s="6">
        <f>+B96*12</f>
        <v>60</v>
      </c>
      <c r="C97" s="5" t="s">
        <v>120</v>
      </c>
      <c r="G97" s="3" t="s">
        <v>13</v>
      </c>
      <c r="H97" s="3"/>
      <c r="I97" s="3"/>
    </row>
    <row r="98" spans="1:9" ht="16.5" x14ac:dyDescent="0.25">
      <c r="A98" s="3" t="s">
        <v>13</v>
      </c>
      <c r="B98" s="33">
        <v>2.7</v>
      </c>
      <c r="C98" s="5" t="s">
        <v>121</v>
      </c>
    </row>
    <row r="100" spans="1:9" ht="16.5" x14ac:dyDescent="0.25">
      <c r="A100" s="7" t="s">
        <v>56</v>
      </c>
    </row>
    <row r="101" spans="1:9" ht="16.5" x14ac:dyDescent="0.25">
      <c r="A101" s="13" t="s">
        <v>57</v>
      </c>
      <c r="B101" s="34">
        <f>+FV(B95,B97,,-B98)</f>
        <v>15.907328380923476</v>
      </c>
      <c r="C101" s="5" t="s">
        <v>58</v>
      </c>
    </row>
    <row r="103" spans="1:9" x14ac:dyDescent="0.25">
      <c r="A103" s="44" t="s">
        <v>122</v>
      </c>
      <c r="B103" s="44"/>
      <c r="C103" s="44"/>
      <c r="D103" s="44"/>
      <c r="E103" s="44"/>
      <c r="F103" s="44"/>
      <c r="G103" s="44"/>
      <c r="H103" s="44"/>
    </row>
    <row r="104" spans="1:9" x14ac:dyDescent="0.25">
      <c r="A104" s="44"/>
      <c r="B104" s="44"/>
      <c r="C104" s="44"/>
      <c r="D104" s="44"/>
      <c r="E104" s="44"/>
      <c r="F104" s="44"/>
      <c r="G104" s="44"/>
      <c r="H104" s="44"/>
    </row>
    <row r="105" spans="1:9" x14ac:dyDescent="0.25">
      <c r="A105" s="44"/>
      <c r="B105" s="44"/>
      <c r="C105" s="44"/>
      <c r="D105" s="44"/>
      <c r="E105" s="44"/>
      <c r="F105" s="44"/>
      <c r="G105" s="44"/>
      <c r="H105" s="44"/>
    </row>
    <row r="106" spans="1:9" x14ac:dyDescent="0.25">
      <c r="A106" s="44"/>
      <c r="B106" s="44"/>
      <c r="C106" s="44"/>
      <c r="D106" s="44"/>
      <c r="E106" s="44"/>
      <c r="F106" s="44"/>
      <c r="G106" s="44"/>
      <c r="H106" s="44"/>
    </row>
    <row r="107" spans="1:9" x14ac:dyDescent="0.25">
      <c r="A107" s="44"/>
      <c r="B107" s="44"/>
      <c r="C107" s="44"/>
      <c r="D107" s="44"/>
      <c r="E107" s="44"/>
      <c r="F107" s="44"/>
      <c r="G107" s="44"/>
      <c r="H107" s="44"/>
    </row>
    <row r="109" spans="1:9" ht="16.5" x14ac:dyDescent="0.25">
      <c r="A109" s="3" t="s">
        <v>57</v>
      </c>
      <c r="B109" s="4">
        <v>5000</v>
      </c>
      <c r="C109" s="5"/>
    </row>
    <row r="110" spans="1:9" ht="16.5" x14ac:dyDescent="0.25">
      <c r="A110" s="3" t="s">
        <v>88</v>
      </c>
      <c r="B110" s="11">
        <v>0.08</v>
      </c>
      <c r="C110" s="28" t="s">
        <v>123</v>
      </c>
    </row>
    <row r="111" spans="1:9" ht="16.5" x14ac:dyDescent="0.25">
      <c r="A111" s="3" t="s">
        <v>5</v>
      </c>
      <c r="B111" s="6">
        <v>8</v>
      </c>
      <c r="C111" s="5" t="s">
        <v>6</v>
      </c>
    </row>
    <row r="113" spans="1:8" ht="16.5" x14ac:dyDescent="0.25">
      <c r="A113" s="7" t="s">
        <v>117</v>
      </c>
    </row>
    <row r="114" spans="1:8" ht="16.5" x14ac:dyDescent="0.25">
      <c r="A114" s="3" t="s">
        <v>9</v>
      </c>
      <c r="B114" s="11">
        <f>+B110/2</f>
        <v>0.04</v>
      </c>
      <c r="C114" s="28" t="s">
        <v>124</v>
      </c>
    </row>
    <row r="115" spans="1:8" ht="16.5" x14ac:dyDescent="0.25">
      <c r="A115" s="3" t="s">
        <v>5</v>
      </c>
      <c r="B115" s="6">
        <f>+B111*2</f>
        <v>16</v>
      </c>
      <c r="C115" s="5" t="s">
        <v>125</v>
      </c>
    </row>
    <row r="116" spans="1:8" ht="16.5" x14ac:dyDescent="0.25">
      <c r="A116" s="13" t="s">
        <v>13</v>
      </c>
      <c r="B116" s="35">
        <f>+PV(B114,B115,,-B109)</f>
        <v>2669.5408784292053</v>
      </c>
      <c r="C116" s="5" t="s">
        <v>17</v>
      </c>
    </row>
    <row r="119" spans="1:8" ht="15" customHeight="1" x14ac:dyDescent="0.25">
      <c r="A119" s="44" t="s">
        <v>126</v>
      </c>
      <c r="B119" s="44"/>
      <c r="C119" s="44"/>
      <c r="D119" s="44"/>
      <c r="E119" s="44"/>
      <c r="F119" s="44"/>
      <c r="G119" s="44"/>
      <c r="H119" s="44"/>
    </row>
    <row r="120" spans="1:8" ht="15" customHeight="1" x14ac:dyDescent="0.25">
      <c r="A120" s="44"/>
      <c r="B120" s="44"/>
      <c r="C120" s="44"/>
      <c r="D120" s="44"/>
      <c r="E120" s="44"/>
      <c r="F120" s="44"/>
      <c r="G120" s="44"/>
      <c r="H120" s="44"/>
    </row>
    <row r="121" spans="1:8" ht="15" customHeight="1" x14ac:dyDescent="0.25">
      <c r="A121" s="44"/>
      <c r="B121" s="44"/>
      <c r="C121" s="44"/>
      <c r="D121" s="44"/>
      <c r="E121" s="44"/>
      <c r="F121" s="44"/>
      <c r="G121" s="44"/>
      <c r="H121" s="44"/>
    </row>
    <row r="122" spans="1:8" ht="15" customHeight="1" x14ac:dyDescent="0.25">
      <c r="A122" s="44"/>
      <c r="B122" s="44"/>
      <c r="C122" s="44"/>
      <c r="D122" s="44"/>
      <c r="E122" s="44"/>
      <c r="F122" s="44"/>
      <c r="G122" s="44"/>
      <c r="H122" s="44"/>
    </row>
    <row r="123" spans="1:8" ht="15" customHeight="1" x14ac:dyDescent="0.25">
      <c r="A123" s="44"/>
      <c r="B123" s="44"/>
      <c r="C123" s="44"/>
      <c r="D123" s="44"/>
      <c r="E123" s="44"/>
      <c r="F123" s="44"/>
      <c r="G123" s="44"/>
      <c r="H123" s="44"/>
    </row>
    <row r="124" spans="1:8" ht="15" customHeight="1" x14ac:dyDescent="0.25">
      <c r="A124" s="44"/>
      <c r="B124" s="44"/>
      <c r="C124" s="44"/>
      <c r="D124" s="44"/>
      <c r="E124" s="44"/>
      <c r="F124" s="44"/>
      <c r="G124" s="44"/>
      <c r="H124" s="44"/>
    </row>
    <row r="125" spans="1:8" ht="15" customHeight="1" x14ac:dyDescent="0.25">
      <c r="A125" s="44"/>
      <c r="B125" s="44"/>
      <c r="C125" s="44"/>
      <c r="D125" s="44"/>
      <c r="E125" s="44"/>
      <c r="F125" s="44"/>
      <c r="G125" s="44"/>
      <c r="H125" s="44"/>
    </row>
    <row r="126" spans="1:8" ht="15" customHeight="1" x14ac:dyDescent="0.25">
      <c r="A126" s="44"/>
      <c r="B126" s="44"/>
      <c r="C126" s="44"/>
      <c r="D126" s="44"/>
      <c r="E126" s="44"/>
      <c r="F126" s="44"/>
      <c r="G126" s="44"/>
      <c r="H126" s="44"/>
    </row>
    <row r="127" spans="1:8" x14ac:dyDescent="0.25">
      <c r="A127" s="44"/>
      <c r="B127" s="44"/>
      <c r="C127" s="44"/>
      <c r="D127" s="44"/>
      <c r="E127" s="44"/>
      <c r="F127" s="44"/>
      <c r="G127" s="44"/>
      <c r="H127" s="44"/>
    </row>
    <row r="128" spans="1:8" x14ac:dyDescent="0.25">
      <c r="A128" s="44"/>
      <c r="B128" s="44"/>
      <c r="C128" s="44"/>
      <c r="D128" s="44"/>
      <c r="E128" s="44"/>
      <c r="F128" s="44"/>
      <c r="G128" s="44"/>
      <c r="H128" s="44"/>
    </row>
    <row r="130" spans="1:8" ht="16.5" x14ac:dyDescent="0.25">
      <c r="A130" s="3" t="s">
        <v>57</v>
      </c>
      <c r="B130" s="33">
        <v>1.2</v>
      </c>
    </row>
    <row r="131" spans="1:8" ht="16.5" x14ac:dyDescent="0.25">
      <c r="A131" s="3" t="s">
        <v>5</v>
      </c>
      <c r="B131" s="6">
        <v>3</v>
      </c>
      <c r="C131" s="5" t="s">
        <v>120</v>
      </c>
    </row>
    <row r="132" spans="1:8" ht="16.5" x14ac:dyDescent="0.25">
      <c r="A132" s="3" t="s">
        <v>88</v>
      </c>
      <c r="B132" s="11">
        <v>0.2</v>
      </c>
      <c r="C132" s="28" t="s">
        <v>102</v>
      </c>
    </row>
    <row r="134" spans="1:8" ht="16.5" x14ac:dyDescent="0.25">
      <c r="A134" s="7" t="s">
        <v>117</v>
      </c>
    </row>
    <row r="135" spans="1:8" ht="16.5" x14ac:dyDescent="0.25">
      <c r="A135" s="3" t="s">
        <v>88</v>
      </c>
      <c r="B135" s="11">
        <f>+B132/4</f>
        <v>0.05</v>
      </c>
      <c r="C135" s="28" t="s">
        <v>127</v>
      </c>
    </row>
    <row r="136" spans="1:8" ht="16.5" x14ac:dyDescent="0.25">
      <c r="A136" s="3" t="s">
        <v>5</v>
      </c>
      <c r="B136" s="6">
        <v>1</v>
      </c>
      <c r="C136" s="5" t="s">
        <v>128</v>
      </c>
    </row>
    <row r="137" spans="1:8" ht="16.5" x14ac:dyDescent="0.25">
      <c r="A137" s="13" t="s">
        <v>13</v>
      </c>
      <c r="B137" s="36">
        <f>+PV(B135,B136,,-B130)</f>
        <v>1.1428571428571428</v>
      </c>
      <c r="C137" s="5" t="s">
        <v>17</v>
      </c>
    </row>
    <row r="139" spans="1:8" x14ac:dyDescent="0.25">
      <c r="A139" s="44" t="s">
        <v>129</v>
      </c>
      <c r="B139" s="44"/>
      <c r="C139" s="44"/>
      <c r="D139" s="44"/>
      <c r="E139" s="44"/>
      <c r="F139" s="44"/>
      <c r="G139" s="44"/>
      <c r="H139" s="44"/>
    </row>
    <row r="140" spans="1:8" x14ac:dyDescent="0.25">
      <c r="A140" s="44"/>
      <c r="B140" s="44"/>
      <c r="C140" s="44"/>
      <c r="D140" s="44"/>
      <c r="E140" s="44"/>
      <c r="F140" s="44"/>
      <c r="G140" s="44"/>
      <c r="H140" s="44"/>
    </row>
    <row r="141" spans="1:8" x14ac:dyDescent="0.25">
      <c r="A141" s="44"/>
      <c r="B141" s="44"/>
      <c r="C141" s="44"/>
      <c r="D141" s="44"/>
      <c r="E141" s="44"/>
      <c r="F141" s="44"/>
      <c r="G141" s="44"/>
      <c r="H141" s="44"/>
    </row>
    <row r="142" spans="1:8" x14ac:dyDescent="0.25">
      <c r="A142" s="44"/>
      <c r="B142" s="44"/>
      <c r="C142" s="44"/>
      <c r="D142" s="44"/>
      <c r="E142" s="44"/>
      <c r="F142" s="44"/>
      <c r="G142" s="44"/>
      <c r="H142" s="44"/>
    </row>
    <row r="143" spans="1:8" x14ac:dyDescent="0.25">
      <c r="A143" s="44"/>
      <c r="B143" s="44"/>
      <c r="C143" s="44"/>
      <c r="D143" s="44"/>
      <c r="E143" s="44"/>
      <c r="F143" s="44"/>
      <c r="G143" s="44"/>
      <c r="H143" s="44"/>
    </row>
    <row r="144" spans="1:8" x14ac:dyDescent="0.25">
      <c r="A144" s="44"/>
      <c r="B144" s="44"/>
      <c r="C144" s="44"/>
      <c r="D144" s="44"/>
      <c r="E144" s="44"/>
      <c r="F144" s="44"/>
      <c r="G144" s="44"/>
      <c r="H144" s="44"/>
    </row>
    <row r="145" spans="1:16" x14ac:dyDescent="0.25">
      <c r="A145" s="44"/>
      <c r="B145" s="44"/>
      <c r="C145" s="44"/>
      <c r="D145" s="44"/>
      <c r="E145" s="44"/>
      <c r="F145" s="44"/>
      <c r="G145" s="44"/>
      <c r="H145" s="44"/>
    </row>
    <row r="146" spans="1:16" x14ac:dyDescent="0.25">
      <c r="A146" s="44"/>
      <c r="B146" s="44"/>
      <c r="C146" s="44"/>
      <c r="D146" s="44"/>
      <c r="E146" s="44"/>
      <c r="F146" s="44"/>
      <c r="G146" s="44"/>
      <c r="H146" s="44"/>
    </row>
    <row r="147" spans="1:16" x14ac:dyDescent="0.25">
      <c r="A147" s="44"/>
      <c r="B147" s="44"/>
      <c r="C147" s="44"/>
      <c r="D147" s="44"/>
      <c r="E147" s="44"/>
      <c r="F147" s="44"/>
      <c r="G147" s="44"/>
      <c r="H147" s="44"/>
    </row>
    <row r="148" spans="1:16" x14ac:dyDescent="0.25">
      <c r="A148" s="44"/>
      <c r="B148" s="44"/>
      <c r="C148" s="44"/>
      <c r="D148" s="44"/>
      <c r="E148" s="44"/>
      <c r="F148" s="44"/>
      <c r="G148" s="44"/>
      <c r="H148" s="44"/>
    </row>
    <row r="150" spans="1:16" ht="16.5" x14ac:dyDescent="0.25">
      <c r="A150" s="3" t="s">
        <v>2</v>
      </c>
      <c r="B150" s="33">
        <v>1.3</v>
      </c>
      <c r="C150" s="5" t="s">
        <v>130</v>
      </c>
      <c r="G150" s="6"/>
      <c r="H150" s="6"/>
      <c r="I150" s="6"/>
      <c r="J150" s="6" t="s">
        <v>2</v>
      </c>
      <c r="K150" s="6" t="s">
        <v>2</v>
      </c>
      <c r="L150" s="6"/>
      <c r="M150" s="6"/>
      <c r="N150" s="6"/>
      <c r="O150" s="6"/>
      <c r="P150" s="6"/>
    </row>
    <row r="151" spans="1:16" ht="16.5" x14ac:dyDescent="0.25">
      <c r="A151" s="3" t="s">
        <v>88</v>
      </c>
      <c r="B151" s="11">
        <v>0.12</v>
      </c>
      <c r="C151" s="5" t="s">
        <v>131</v>
      </c>
      <c r="G151" s="8">
        <v>0</v>
      </c>
      <c r="H151" s="9">
        <v>1</v>
      </c>
      <c r="I151" s="9">
        <v>2</v>
      </c>
      <c r="J151" s="9">
        <v>3</v>
      </c>
      <c r="K151" s="9">
        <v>4</v>
      </c>
      <c r="L151" s="9" t="s">
        <v>43</v>
      </c>
      <c r="M151" s="10">
        <v>30</v>
      </c>
      <c r="N151" s="6"/>
      <c r="O151" s="6"/>
      <c r="P151" s="6"/>
    </row>
    <row r="152" spans="1:16" ht="16.5" x14ac:dyDescent="0.25">
      <c r="A152" s="3" t="s">
        <v>5</v>
      </c>
      <c r="B152" s="37">
        <v>2.5</v>
      </c>
      <c r="C152" s="5" t="s">
        <v>6</v>
      </c>
      <c r="G152" s="3" t="s">
        <v>7</v>
      </c>
      <c r="H152" s="3"/>
      <c r="I152" s="3" t="s">
        <v>8</v>
      </c>
      <c r="J152" s="47" t="s">
        <v>132</v>
      </c>
      <c r="K152" s="47"/>
      <c r="L152" s="47"/>
      <c r="M152" s="47"/>
      <c r="N152" s="6"/>
      <c r="O152" s="6"/>
      <c r="P152" s="6"/>
    </row>
    <row r="153" spans="1:16" ht="16.5" x14ac:dyDescent="0.25">
      <c r="C153" s="5"/>
      <c r="G153" s="3" t="s">
        <v>11</v>
      </c>
      <c r="H153" s="3"/>
      <c r="I153" s="3"/>
      <c r="N153" s="6"/>
      <c r="O153" s="6"/>
      <c r="P153" s="6"/>
    </row>
    <row r="154" spans="1:16" ht="16.5" x14ac:dyDescent="0.25">
      <c r="A154" s="3" t="s">
        <v>9</v>
      </c>
      <c r="B154" s="11">
        <f>+B151/12</f>
        <v>0.01</v>
      </c>
      <c r="C154" s="5" t="s">
        <v>105</v>
      </c>
    </row>
    <row r="155" spans="1:16" ht="16.5" x14ac:dyDescent="0.25">
      <c r="A155" s="3" t="s">
        <v>5</v>
      </c>
      <c r="B155" s="6">
        <f>2.5*12</f>
        <v>30</v>
      </c>
      <c r="C155" s="5" t="s">
        <v>6</v>
      </c>
    </row>
    <row r="157" spans="1:16" ht="16.5" x14ac:dyDescent="0.25">
      <c r="A157" s="12" t="s">
        <v>12</v>
      </c>
    </row>
    <row r="158" spans="1:16" ht="16.5" x14ac:dyDescent="0.25">
      <c r="A158" s="3" t="s">
        <v>5</v>
      </c>
      <c r="B158" s="6">
        <f>+B155-2</f>
        <v>28</v>
      </c>
      <c r="C158" s="5" t="s">
        <v>6</v>
      </c>
    </row>
    <row r="159" spans="1:16" ht="16.5" x14ac:dyDescent="0.25">
      <c r="A159" s="3" t="s">
        <v>13</v>
      </c>
      <c r="B159" s="38">
        <f>+PV(B154,B158,-B150)</f>
        <v>31.611376103496113</v>
      </c>
      <c r="C159" s="5" t="s">
        <v>14</v>
      </c>
    </row>
    <row r="160" spans="1:16" ht="16.5" x14ac:dyDescent="0.25">
      <c r="B160" s="5" t="s">
        <v>15</v>
      </c>
    </row>
    <row r="162" spans="1:8" ht="16.5" x14ac:dyDescent="0.25">
      <c r="A162" s="12" t="s">
        <v>16</v>
      </c>
    </row>
    <row r="163" spans="1:8" ht="16.5" x14ac:dyDescent="0.25">
      <c r="A163" s="3" t="s">
        <v>5</v>
      </c>
      <c r="B163" s="6">
        <v>2</v>
      </c>
      <c r="C163" s="5" t="s">
        <v>6</v>
      </c>
    </row>
    <row r="164" spans="1:8" ht="16.5" x14ac:dyDescent="0.25">
      <c r="A164" s="13" t="s">
        <v>13</v>
      </c>
      <c r="B164" s="36">
        <f>+PV(B154,B163,,-B159)</f>
        <v>30.988507110573583</v>
      </c>
      <c r="C164" s="5" t="s">
        <v>14</v>
      </c>
    </row>
    <row r="165" spans="1:8" ht="16.5" x14ac:dyDescent="0.25">
      <c r="B165" s="5"/>
    </row>
    <row r="166" spans="1:8" x14ac:dyDescent="0.25">
      <c r="A166" s="44" t="s">
        <v>133</v>
      </c>
      <c r="B166" s="44"/>
      <c r="C166" s="44"/>
      <c r="D166" s="44"/>
      <c r="E166" s="44"/>
      <c r="F166" s="44"/>
      <c r="G166" s="44"/>
      <c r="H166" s="44"/>
    </row>
    <row r="167" spans="1:8" x14ac:dyDescent="0.25">
      <c r="A167" s="44"/>
      <c r="B167" s="44"/>
      <c r="C167" s="44"/>
      <c r="D167" s="44"/>
      <c r="E167" s="44"/>
      <c r="F167" s="44"/>
      <c r="G167" s="44"/>
      <c r="H167" s="44"/>
    </row>
    <row r="168" spans="1:8" x14ac:dyDescent="0.25">
      <c r="A168" s="44"/>
      <c r="B168" s="44"/>
      <c r="C168" s="44"/>
      <c r="D168" s="44"/>
      <c r="E168" s="44"/>
      <c r="F168" s="44"/>
      <c r="G168" s="44"/>
      <c r="H168" s="44"/>
    </row>
    <row r="169" spans="1:8" x14ac:dyDescent="0.25">
      <c r="A169" s="44"/>
      <c r="B169" s="44"/>
      <c r="C169" s="44"/>
      <c r="D169" s="44"/>
      <c r="E169" s="44"/>
      <c r="F169" s="44"/>
      <c r="G169" s="44"/>
      <c r="H169" s="44"/>
    </row>
    <row r="170" spans="1:8" x14ac:dyDescent="0.25">
      <c r="A170" s="44"/>
      <c r="B170" s="44"/>
      <c r="C170" s="44"/>
      <c r="D170" s="44"/>
      <c r="E170" s="44"/>
      <c r="F170" s="44"/>
      <c r="G170" s="44"/>
      <c r="H170" s="44"/>
    </row>
    <row r="171" spans="1:8" x14ac:dyDescent="0.25">
      <c r="A171" s="44"/>
      <c r="B171" s="44"/>
      <c r="C171" s="44"/>
      <c r="D171" s="44"/>
      <c r="E171" s="44"/>
      <c r="F171" s="44"/>
      <c r="G171" s="44"/>
      <c r="H171" s="44"/>
    </row>
    <row r="172" spans="1:8" x14ac:dyDescent="0.25">
      <c r="A172" s="44"/>
      <c r="B172" s="44"/>
      <c r="C172" s="44"/>
      <c r="D172" s="44"/>
      <c r="E172" s="44"/>
      <c r="F172" s="44"/>
      <c r="G172" s="44"/>
      <c r="H172" s="44"/>
    </row>
    <row r="173" spans="1:8" x14ac:dyDescent="0.25">
      <c r="A173" s="44"/>
      <c r="B173" s="44"/>
      <c r="C173" s="44"/>
      <c r="D173" s="44"/>
      <c r="E173" s="44"/>
      <c r="F173" s="44"/>
      <c r="G173" s="44"/>
      <c r="H173" s="44"/>
    </row>
    <row r="174" spans="1:8" x14ac:dyDescent="0.25">
      <c r="A174" s="44"/>
      <c r="B174" s="44"/>
      <c r="C174" s="44"/>
      <c r="D174" s="44"/>
      <c r="E174" s="44"/>
      <c r="F174" s="44"/>
      <c r="G174" s="44"/>
      <c r="H174" s="44"/>
    </row>
    <row r="175" spans="1:8" x14ac:dyDescent="0.25">
      <c r="A175" s="44"/>
      <c r="B175" s="44"/>
      <c r="C175" s="44"/>
      <c r="D175" s="44"/>
      <c r="E175" s="44"/>
      <c r="F175" s="44"/>
      <c r="G175" s="44"/>
      <c r="H175" s="44"/>
    </row>
    <row r="177" spans="1:8" ht="16.5" x14ac:dyDescent="0.25">
      <c r="A177" s="3" t="s">
        <v>5</v>
      </c>
      <c r="B177" s="6">
        <v>10</v>
      </c>
      <c r="C177" s="5" t="s">
        <v>6</v>
      </c>
    </row>
    <row r="178" spans="1:8" ht="16.5" x14ac:dyDescent="0.25">
      <c r="A178" s="3" t="s">
        <v>9</v>
      </c>
      <c r="B178" s="24">
        <v>5.0000000000000001E-3</v>
      </c>
      <c r="C178" s="5" t="s">
        <v>105</v>
      </c>
    </row>
    <row r="179" spans="1:8" ht="16.5" x14ac:dyDescent="0.25">
      <c r="A179" s="3" t="s">
        <v>13</v>
      </c>
      <c r="B179" s="33">
        <v>3.9</v>
      </c>
      <c r="C179" s="5"/>
    </row>
    <row r="181" spans="1:8" ht="16.5" x14ac:dyDescent="0.25">
      <c r="A181" s="12" t="s">
        <v>56</v>
      </c>
    </row>
    <row r="182" spans="1:8" ht="16.5" x14ac:dyDescent="0.25">
      <c r="A182" s="3" t="s">
        <v>5</v>
      </c>
      <c r="B182" s="6">
        <f>+B177*12</f>
        <v>120</v>
      </c>
      <c r="C182" s="5" t="s">
        <v>120</v>
      </c>
    </row>
    <row r="183" spans="1:8" ht="16.5" x14ac:dyDescent="0.25">
      <c r="A183" s="13" t="s">
        <v>57</v>
      </c>
      <c r="B183" s="36">
        <f>+FV(B178,B182,,-B179)</f>
        <v>7.0956472627258931</v>
      </c>
      <c r="C183" s="5" t="s">
        <v>58</v>
      </c>
    </row>
    <row r="184" spans="1:8" ht="16.5" x14ac:dyDescent="0.25">
      <c r="B184" s="5"/>
    </row>
    <row r="185" spans="1:8" ht="15" customHeight="1" x14ac:dyDescent="0.25">
      <c r="A185" s="44" t="s">
        <v>134</v>
      </c>
      <c r="B185" s="44"/>
      <c r="C185" s="44"/>
      <c r="D185" s="44"/>
      <c r="E185" s="44"/>
      <c r="F185" s="44"/>
      <c r="G185" s="44"/>
      <c r="H185" s="44"/>
    </row>
    <row r="186" spans="1:8" ht="15" customHeight="1" x14ac:dyDescent="0.25">
      <c r="A186" s="44"/>
      <c r="B186" s="44"/>
      <c r="C186" s="44"/>
      <c r="D186" s="44"/>
      <c r="E186" s="44"/>
      <c r="F186" s="44"/>
      <c r="G186" s="44"/>
      <c r="H186" s="44"/>
    </row>
    <row r="187" spans="1:8" ht="15" customHeight="1" x14ac:dyDescent="0.25">
      <c r="A187" s="44"/>
      <c r="B187" s="44"/>
      <c r="C187" s="44"/>
      <c r="D187" s="44"/>
      <c r="E187" s="44"/>
      <c r="F187" s="44"/>
      <c r="G187" s="44"/>
      <c r="H187" s="44"/>
    </row>
    <row r="188" spans="1:8" ht="15" customHeight="1" x14ac:dyDescent="0.25">
      <c r="A188" s="44"/>
      <c r="B188" s="44"/>
      <c r="C188" s="44"/>
      <c r="D188" s="44"/>
      <c r="E188" s="44"/>
      <c r="F188" s="44"/>
      <c r="G188" s="44"/>
      <c r="H188" s="44"/>
    </row>
    <row r="189" spans="1:8" ht="15" customHeight="1" x14ac:dyDescent="0.25">
      <c r="A189" s="44"/>
      <c r="B189" s="44"/>
      <c r="C189" s="44"/>
      <c r="D189" s="44"/>
      <c r="E189" s="44"/>
      <c r="F189" s="44"/>
      <c r="G189" s="44"/>
      <c r="H189" s="44"/>
    </row>
    <row r="190" spans="1:8" ht="15" customHeight="1" x14ac:dyDescent="0.25">
      <c r="A190" s="44"/>
      <c r="B190" s="44"/>
      <c r="C190" s="44"/>
      <c r="D190" s="44"/>
      <c r="E190" s="44"/>
      <c r="F190" s="44"/>
      <c r="G190" s="44"/>
      <c r="H190" s="44"/>
    </row>
    <row r="191" spans="1:8" ht="15" customHeight="1" x14ac:dyDescent="0.25">
      <c r="A191" s="16"/>
      <c r="B191" s="16"/>
      <c r="C191" s="16"/>
      <c r="D191" s="16"/>
      <c r="E191" s="16"/>
      <c r="F191" s="16"/>
      <c r="G191" s="16"/>
      <c r="H191" s="16"/>
    </row>
    <row r="192" spans="1:8" ht="15" customHeight="1" x14ac:dyDescent="0.25">
      <c r="A192" s="3" t="s">
        <v>2</v>
      </c>
      <c r="B192" s="4">
        <f>+(250-150)*3000</f>
        <v>300000</v>
      </c>
      <c r="C192" s="5"/>
      <c r="D192" s="16"/>
      <c r="E192" s="16"/>
      <c r="F192" s="16"/>
      <c r="G192" s="16"/>
      <c r="H192" s="16"/>
    </row>
    <row r="193" spans="1:8" ht="15" customHeight="1" x14ac:dyDescent="0.25">
      <c r="A193" s="3" t="s">
        <v>88</v>
      </c>
      <c r="B193" s="11">
        <v>0.16</v>
      </c>
      <c r="C193" s="5" t="s">
        <v>102</v>
      </c>
      <c r="D193" s="16"/>
      <c r="E193" s="16"/>
      <c r="F193" s="16"/>
      <c r="G193" s="16"/>
      <c r="H193" s="16"/>
    </row>
    <row r="194" spans="1:8" ht="15" customHeight="1" x14ac:dyDescent="0.25">
      <c r="A194" s="3" t="s">
        <v>5</v>
      </c>
      <c r="B194" s="6">
        <v>2</v>
      </c>
      <c r="C194" s="5" t="s">
        <v>6</v>
      </c>
      <c r="D194" s="16"/>
      <c r="E194" s="16"/>
      <c r="F194" s="16"/>
      <c r="G194" s="16"/>
      <c r="H194" s="16"/>
    </row>
    <row r="196" spans="1:8" ht="16.5" x14ac:dyDescent="0.25">
      <c r="A196" s="12" t="s">
        <v>16</v>
      </c>
    </row>
    <row r="197" spans="1:8" ht="16.5" x14ac:dyDescent="0.25">
      <c r="A197" s="3" t="s">
        <v>9</v>
      </c>
      <c r="B197" s="11">
        <f>+B193/4</f>
        <v>0.04</v>
      </c>
      <c r="C197" s="5" t="s">
        <v>135</v>
      </c>
    </row>
    <row r="198" spans="1:8" ht="16.5" x14ac:dyDescent="0.25">
      <c r="A198" s="3" t="s">
        <v>5</v>
      </c>
      <c r="B198" s="6">
        <f>+B194*4</f>
        <v>8</v>
      </c>
      <c r="C198" s="5" t="s">
        <v>136</v>
      </c>
    </row>
    <row r="199" spans="1:8" ht="16.5" x14ac:dyDescent="0.25">
      <c r="A199" s="13" t="s">
        <v>13</v>
      </c>
      <c r="B199" s="14">
        <f>+PV(B197,B198,-B192)</f>
        <v>2019823.4624851216</v>
      </c>
      <c r="C199" s="5" t="s">
        <v>14</v>
      </c>
    </row>
    <row r="201" spans="1:8" x14ac:dyDescent="0.25">
      <c r="A201" s="44" t="s">
        <v>137</v>
      </c>
      <c r="B201" s="44"/>
      <c r="C201" s="44"/>
      <c r="D201" s="44"/>
      <c r="E201" s="44"/>
      <c r="F201" s="44"/>
      <c r="G201" s="44"/>
      <c r="H201" s="44"/>
    </row>
    <row r="202" spans="1:8" x14ac:dyDescent="0.25">
      <c r="A202" s="44"/>
      <c r="B202" s="44"/>
      <c r="C202" s="44"/>
      <c r="D202" s="44"/>
      <c r="E202" s="44"/>
      <c r="F202" s="44"/>
      <c r="G202" s="44"/>
      <c r="H202" s="44"/>
    </row>
    <row r="203" spans="1:8" x14ac:dyDescent="0.25">
      <c r="A203" s="44"/>
      <c r="B203" s="44"/>
      <c r="C203" s="44"/>
      <c r="D203" s="44"/>
      <c r="E203" s="44"/>
      <c r="F203" s="44"/>
      <c r="G203" s="44"/>
      <c r="H203" s="44"/>
    </row>
    <row r="204" spans="1:8" x14ac:dyDescent="0.25">
      <c r="A204" s="44"/>
      <c r="B204" s="44"/>
      <c r="C204" s="44"/>
      <c r="D204" s="44"/>
      <c r="E204" s="44"/>
      <c r="F204" s="44"/>
      <c r="G204" s="44"/>
      <c r="H204" s="44"/>
    </row>
    <row r="205" spans="1:8" x14ac:dyDescent="0.25">
      <c r="A205" s="44"/>
      <c r="B205" s="44"/>
      <c r="C205" s="44"/>
      <c r="D205" s="44"/>
      <c r="E205" s="44"/>
      <c r="F205" s="44"/>
      <c r="G205" s="44"/>
      <c r="H205" s="44"/>
    </row>
    <row r="206" spans="1:8" x14ac:dyDescent="0.25">
      <c r="A206" s="44"/>
      <c r="B206" s="44"/>
      <c r="C206" s="44"/>
      <c r="D206" s="44"/>
      <c r="E206" s="44"/>
      <c r="F206" s="44"/>
      <c r="G206" s="44"/>
      <c r="H206" s="44"/>
    </row>
    <row r="208" spans="1:8" ht="16.5" x14ac:dyDescent="0.25">
      <c r="A208" s="3" t="s">
        <v>13</v>
      </c>
      <c r="B208" s="4">
        <f>20*50</f>
        <v>1000</v>
      </c>
      <c r="C208" s="5" t="s">
        <v>138</v>
      </c>
    </row>
    <row r="209" spans="1:8" ht="16.5" x14ac:dyDescent="0.25">
      <c r="A209" s="3" t="s">
        <v>88</v>
      </c>
      <c r="B209" s="11">
        <v>0.18</v>
      </c>
      <c r="C209" s="5" t="s">
        <v>108</v>
      </c>
    </row>
    <row r="211" spans="1:8" ht="16.5" x14ac:dyDescent="0.25">
      <c r="A211" s="12" t="s">
        <v>56</v>
      </c>
    </row>
    <row r="212" spans="1:8" ht="16.5" x14ac:dyDescent="0.25">
      <c r="A212" s="3" t="s">
        <v>9</v>
      </c>
      <c r="B212" s="24">
        <f>+B209/12</f>
        <v>1.4999999999999999E-2</v>
      </c>
      <c r="C212" s="5" t="s">
        <v>105</v>
      </c>
    </row>
    <row r="213" spans="1:8" ht="16.5" x14ac:dyDescent="0.25">
      <c r="A213" s="3" t="s">
        <v>5</v>
      </c>
      <c r="B213" s="6">
        <v>9</v>
      </c>
      <c r="C213" s="5" t="s">
        <v>120</v>
      </c>
    </row>
    <row r="214" spans="1:8" ht="16.5" x14ac:dyDescent="0.25">
      <c r="A214" s="13" t="s">
        <v>57</v>
      </c>
      <c r="B214" s="39">
        <f>+FV(B212,B213,,-B208)</f>
        <v>1143.3899753942351</v>
      </c>
      <c r="C214" s="5" t="s">
        <v>58</v>
      </c>
    </row>
    <row r="216" spans="1:8" x14ac:dyDescent="0.25">
      <c r="A216" s="44" t="s">
        <v>139</v>
      </c>
      <c r="B216" s="44"/>
      <c r="C216" s="44"/>
      <c r="D216" s="44"/>
      <c r="E216" s="44"/>
      <c r="F216" s="44"/>
      <c r="G216" s="44"/>
      <c r="H216" s="44"/>
    </row>
    <row r="217" spans="1:8" x14ac:dyDescent="0.25">
      <c r="A217" s="44"/>
      <c r="B217" s="44"/>
      <c r="C217" s="44"/>
      <c r="D217" s="44"/>
      <c r="E217" s="44"/>
      <c r="F217" s="44"/>
      <c r="G217" s="44"/>
      <c r="H217" s="44"/>
    </row>
    <row r="218" spans="1:8" x14ac:dyDescent="0.25">
      <c r="A218" s="44"/>
      <c r="B218" s="44"/>
      <c r="C218" s="44"/>
      <c r="D218" s="44"/>
      <c r="E218" s="44"/>
      <c r="F218" s="44"/>
      <c r="G218" s="44"/>
      <c r="H218" s="44"/>
    </row>
    <row r="219" spans="1:8" x14ac:dyDescent="0.25">
      <c r="A219" s="44"/>
      <c r="B219" s="44"/>
      <c r="C219" s="44"/>
      <c r="D219" s="44"/>
      <c r="E219" s="44"/>
      <c r="F219" s="44"/>
      <c r="G219" s="44"/>
      <c r="H219" s="44"/>
    </row>
    <row r="220" spans="1:8" x14ac:dyDescent="0.25">
      <c r="A220" s="44"/>
      <c r="B220" s="44"/>
      <c r="C220" s="44"/>
      <c r="D220" s="44"/>
      <c r="E220" s="44"/>
      <c r="F220" s="44"/>
      <c r="G220" s="44"/>
      <c r="H220" s="44"/>
    </row>
    <row r="221" spans="1:8" x14ac:dyDescent="0.25">
      <c r="A221" s="44"/>
      <c r="B221" s="44"/>
      <c r="C221" s="44"/>
      <c r="D221" s="44"/>
      <c r="E221" s="44"/>
      <c r="F221" s="44"/>
      <c r="G221" s="44"/>
      <c r="H221" s="44"/>
    </row>
    <row r="223" spans="1:8" ht="16.5" x14ac:dyDescent="0.25">
      <c r="A223" s="3" t="s">
        <v>13</v>
      </c>
      <c r="B223" s="33">
        <v>3.5</v>
      </c>
      <c r="C223" s="5"/>
    </row>
    <row r="224" spans="1:8" ht="16.5" x14ac:dyDescent="0.25">
      <c r="A224" s="3" t="s">
        <v>88</v>
      </c>
      <c r="B224" s="11">
        <v>0.2</v>
      </c>
      <c r="C224" s="5" t="s">
        <v>140</v>
      </c>
    </row>
    <row r="225" spans="1:8" ht="16.5" x14ac:dyDescent="0.25">
      <c r="A225" s="3" t="s">
        <v>5</v>
      </c>
      <c r="B225" s="6">
        <v>3</v>
      </c>
      <c r="C225" s="5" t="s">
        <v>6</v>
      </c>
    </row>
    <row r="226" spans="1:8" ht="16.5" x14ac:dyDescent="0.25">
      <c r="A226" s="3"/>
      <c r="B226" s="6"/>
      <c r="C226" s="5"/>
    </row>
    <row r="227" spans="1:8" ht="16.5" x14ac:dyDescent="0.25">
      <c r="A227" s="12" t="s">
        <v>52</v>
      </c>
      <c r="B227" s="4"/>
    </row>
    <row r="228" spans="1:8" ht="16.5" x14ac:dyDescent="0.25">
      <c r="A228" s="3" t="s">
        <v>9</v>
      </c>
      <c r="B228" s="11">
        <f>+B224/4</f>
        <v>0.05</v>
      </c>
      <c r="C228" s="5" t="s">
        <v>140</v>
      </c>
    </row>
    <row r="229" spans="1:8" ht="16.5" x14ac:dyDescent="0.25">
      <c r="A229" s="3" t="s">
        <v>5</v>
      </c>
      <c r="B229" s="6">
        <f>+B225*4</f>
        <v>12</v>
      </c>
      <c r="C229" s="5" t="s">
        <v>136</v>
      </c>
    </row>
    <row r="230" spans="1:8" ht="16.5" x14ac:dyDescent="0.25">
      <c r="A230" s="13" t="s">
        <v>2</v>
      </c>
      <c r="B230" s="40">
        <f>+PMT(B228,B229,-B223)</f>
        <v>0.39488893507285394</v>
      </c>
      <c r="C230" s="5" t="s">
        <v>53</v>
      </c>
    </row>
    <row r="232" spans="1:8" x14ac:dyDescent="0.25">
      <c r="A232" s="44" t="s">
        <v>141</v>
      </c>
      <c r="B232" s="44"/>
      <c r="C232" s="44"/>
      <c r="D232" s="44"/>
      <c r="E232" s="44"/>
      <c r="F232" s="44"/>
      <c r="G232" s="44"/>
      <c r="H232" s="44"/>
    </row>
    <row r="233" spans="1:8" x14ac:dyDescent="0.25">
      <c r="A233" s="44"/>
      <c r="B233" s="44"/>
      <c r="C233" s="44"/>
      <c r="D233" s="44"/>
      <c r="E233" s="44"/>
      <c r="F233" s="44"/>
      <c r="G233" s="44"/>
      <c r="H233" s="44"/>
    </row>
    <row r="234" spans="1:8" x14ac:dyDescent="0.25">
      <c r="A234" s="44"/>
      <c r="B234" s="44"/>
      <c r="C234" s="44"/>
      <c r="D234" s="44"/>
      <c r="E234" s="44"/>
      <c r="F234" s="44"/>
      <c r="G234" s="44"/>
      <c r="H234" s="44"/>
    </row>
    <row r="235" spans="1:8" x14ac:dyDescent="0.25">
      <c r="A235" s="44"/>
      <c r="B235" s="44"/>
      <c r="C235" s="44"/>
      <c r="D235" s="44"/>
      <c r="E235" s="44"/>
      <c r="F235" s="44"/>
      <c r="G235" s="44"/>
      <c r="H235" s="44"/>
    </row>
    <row r="236" spans="1:8" x14ac:dyDescent="0.25">
      <c r="A236" s="44"/>
      <c r="B236" s="44"/>
      <c r="C236" s="44"/>
      <c r="D236" s="44"/>
      <c r="E236" s="44"/>
      <c r="F236" s="44"/>
      <c r="G236" s="44"/>
      <c r="H236" s="44"/>
    </row>
    <row r="237" spans="1:8" x14ac:dyDescent="0.25">
      <c r="A237" s="44"/>
      <c r="B237" s="44"/>
      <c r="C237" s="44"/>
      <c r="D237" s="44"/>
      <c r="E237" s="44"/>
      <c r="F237" s="44"/>
      <c r="G237" s="44"/>
      <c r="H237" s="44"/>
    </row>
    <row r="239" spans="1:8" ht="16.5" x14ac:dyDescent="0.25">
      <c r="A239" s="3" t="s">
        <v>13</v>
      </c>
      <c r="B239" s="4">
        <v>10000</v>
      </c>
      <c r="C239" s="5" t="s">
        <v>142</v>
      </c>
    </row>
    <row r="240" spans="1:8" ht="16.5" x14ac:dyDescent="0.25">
      <c r="A240" s="3" t="s">
        <v>13</v>
      </c>
      <c r="B240" s="4">
        <v>25000</v>
      </c>
      <c r="C240" s="5" t="s">
        <v>143</v>
      </c>
    </row>
    <row r="241" spans="1:8" ht="16.5" x14ac:dyDescent="0.25">
      <c r="A241" s="3" t="s">
        <v>13</v>
      </c>
      <c r="B241" s="4">
        <v>30000</v>
      </c>
      <c r="C241" s="5" t="s">
        <v>144</v>
      </c>
    </row>
    <row r="242" spans="1:8" ht="16.5" x14ac:dyDescent="0.25">
      <c r="A242" s="3" t="s">
        <v>88</v>
      </c>
      <c r="B242" s="11">
        <v>0.16</v>
      </c>
      <c r="C242" s="5" t="s">
        <v>102</v>
      </c>
    </row>
    <row r="244" spans="1:8" ht="16.5" x14ac:dyDescent="0.25">
      <c r="A244" s="12" t="s">
        <v>56</v>
      </c>
    </row>
    <row r="245" spans="1:8" ht="16.5" x14ac:dyDescent="0.25">
      <c r="A245" s="3" t="s">
        <v>9</v>
      </c>
      <c r="B245" s="11">
        <f>+B242/4</f>
        <v>0.04</v>
      </c>
      <c r="C245" s="5" t="s">
        <v>92</v>
      </c>
    </row>
    <row r="246" spans="1:8" ht="16.5" x14ac:dyDescent="0.25">
      <c r="A246" s="20" t="s">
        <v>57</v>
      </c>
      <c r="B246" s="33">
        <f>+FV(B245,4,,-B239)</f>
        <v>11698.585600000002</v>
      </c>
      <c r="C246" s="5" t="s">
        <v>58</v>
      </c>
    </row>
    <row r="247" spans="1:8" ht="16.5" x14ac:dyDescent="0.25">
      <c r="A247" s="20" t="s">
        <v>57</v>
      </c>
      <c r="B247" s="33">
        <f>+FV(B245,2,,-B240)</f>
        <v>27040.000000000004</v>
      </c>
      <c r="C247" s="5" t="s">
        <v>58</v>
      </c>
    </row>
    <row r="248" spans="1:8" ht="16.5" x14ac:dyDescent="0.25">
      <c r="A248" s="20" t="s">
        <v>57</v>
      </c>
      <c r="B248" s="33">
        <f>+FV(B245,1,,-B241)</f>
        <v>31200</v>
      </c>
      <c r="C248" s="5" t="s">
        <v>58</v>
      </c>
    </row>
    <row r="249" spans="1:8" ht="16.5" x14ac:dyDescent="0.25">
      <c r="A249" s="13" t="s">
        <v>84</v>
      </c>
      <c r="B249" s="14">
        <f>SUM(B246:B248)</f>
        <v>69938.585600000006</v>
      </c>
    </row>
    <row r="251" spans="1:8" x14ac:dyDescent="0.25">
      <c r="A251" s="44" t="s">
        <v>145</v>
      </c>
      <c r="B251" s="44"/>
      <c r="C251" s="44"/>
      <c r="D251" s="44"/>
      <c r="E251" s="44"/>
      <c r="F251" s="44"/>
      <c r="G251" s="44"/>
      <c r="H251" s="44"/>
    </row>
    <row r="252" spans="1:8" x14ac:dyDescent="0.25">
      <c r="A252" s="44"/>
      <c r="B252" s="44"/>
      <c r="C252" s="44"/>
      <c r="D252" s="44"/>
      <c r="E252" s="44"/>
      <c r="F252" s="44"/>
      <c r="G252" s="44"/>
      <c r="H252" s="44"/>
    </row>
    <row r="253" spans="1:8" x14ac:dyDescent="0.25">
      <c r="A253" s="44"/>
      <c r="B253" s="44"/>
      <c r="C253" s="44"/>
      <c r="D253" s="44"/>
      <c r="E253" s="44"/>
      <c r="F253" s="44"/>
      <c r="G253" s="44"/>
      <c r="H253" s="44"/>
    </row>
    <row r="254" spans="1:8" x14ac:dyDescent="0.25">
      <c r="A254" s="44"/>
      <c r="B254" s="44"/>
      <c r="C254" s="44"/>
      <c r="D254" s="44"/>
      <c r="E254" s="44"/>
      <c r="F254" s="44"/>
      <c r="G254" s="44"/>
      <c r="H254" s="44"/>
    </row>
    <row r="255" spans="1:8" x14ac:dyDescent="0.25">
      <c r="A255" s="44"/>
      <c r="B255" s="44"/>
      <c r="C255" s="44"/>
      <c r="D255" s="44"/>
      <c r="E255" s="44"/>
      <c r="F255" s="44"/>
      <c r="G255" s="44"/>
      <c r="H255" s="44"/>
    </row>
    <row r="256" spans="1:8" x14ac:dyDescent="0.25">
      <c r="A256" s="44"/>
      <c r="B256" s="44"/>
      <c r="C256" s="44"/>
      <c r="D256" s="44"/>
      <c r="E256" s="44"/>
      <c r="F256" s="44"/>
      <c r="G256" s="44"/>
      <c r="H256" s="44"/>
    </row>
    <row r="258" spans="1:8" ht="16.5" x14ac:dyDescent="0.25">
      <c r="A258" s="20" t="s">
        <v>2</v>
      </c>
      <c r="B258" s="38">
        <v>2.99</v>
      </c>
      <c r="C258" s="5" t="s">
        <v>146</v>
      </c>
    </row>
    <row r="259" spans="1:8" ht="16.5" x14ac:dyDescent="0.25">
      <c r="A259" s="3" t="s">
        <v>5</v>
      </c>
      <c r="B259" s="6">
        <v>10</v>
      </c>
      <c r="C259" s="5" t="s">
        <v>120</v>
      </c>
    </row>
    <row r="260" spans="1:8" ht="16.5" x14ac:dyDescent="0.25">
      <c r="A260" s="3" t="s">
        <v>88</v>
      </c>
      <c r="B260" s="11">
        <v>0.01</v>
      </c>
      <c r="C260" s="5" t="s">
        <v>147</v>
      </c>
    </row>
    <row r="262" spans="1:8" ht="16.5" x14ac:dyDescent="0.25">
      <c r="A262" s="12" t="s">
        <v>12</v>
      </c>
    </row>
    <row r="263" spans="1:8" ht="16.5" x14ac:dyDescent="0.25">
      <c r="A263" s="3" t="s">
        <v>9</v>
      </c>
      <c r="B263" s="31">
        <f>+B260/4</f>
        <v>2.5000000000000001E-3</v>
      </c>
      <c r="C263" s="5" t="s">
        <v>148</v>
      </c>
    </row>
    <row r="264" spans="1:8" ht="16.5" x14ac:dyDescent="0.25">
      <c r="A264" s="3" t="s">
        <v>5</v>
      </c>
      <c r="B264" s="6">
        <f>+B259*4</f>
        <v>40</v>
      </c>
      <c r="C264" s="5" t="s">
        <v>149</v>
      </c>
    </row>
    <row r="265" spans="1:8" ht="16.5" x14ac:dyDescent="0.25">
      <c r="A265" s="13" t="s">
        <v>13</v>
      </c>
      <c r="B265" s="35">
        <f>+PV(B263,B264,-B258)</f>
        <v>113.67939144161303</v>
      </c>
      <c r="C265" s="5" t="s">
        <v>14</v>
      </c>
    </row>
    <row r="267" spans="1:8" x14ac:dyDescent="0.25">
      <c r="A267" s="44" t="s">
        <v>150</v>
      </c>
      <c r="B267" s="44"/>
      <c r="C267" s="44"/>
      <c r="D267" s="44"/>
      <c r="E267" s="44"/>
      <c r="F267" s="44"/>
      <c r="G267" s="44"/>
      <c r="H267" s="44"/>
    </row>
    <row r="268" spans="1:8" x14ac:dyDescent="0.25">
      <c r="A268" s="44"/>
      <c r="B268" s="44"/>
      <c r="C268" s="44"/>
      <c r="D268" s="44"/>
      <c r="E268" s="44"/>
      <c r="F268" s="44"/>
      <c r="G268" s="44"/>
      <c r="H268" s="44"/>
    </row>
    <row r="269" spans="1:8" x14ac:dyDescent="0.25">
      <c r="A269" s="44"/>
      <c r="B269" s="44"/>
      <c r="C269" s="44"/>
      <c r="D269" s="44"/>
      <c r="E269" s="44"/>
      <c r="F269" s="44"/>
      <c r="G269" s="44"/>
      <c r="H269" s="44"/>
    </row>
    <row r="270" spans="1:8" x14ac:dyDescent="0.25">
      <c r="A270" s="44"/>
      <c r="B270" s="44"/>
      <c r="C270" s="44"/>
      <c r="D270" s="44"/>
      <c r="E270" s="44"/>
      <c r="F270" s="44"/>
      <c r="G270" s="44"/>
      <c r="H270" s="44"/>
    </row>
    <row r="271" spans="1:8" x14ac:dyDescent="0.25">
      <c r="A271" s="44"/>
      <c r="B271" s="44"/>
      <c r="C271" s="44"/>
      <c r="D271" s="44"/>
      <c r="E271" s="44"/>
      <c r="F271" s="44"/>
      <c r="G271" s="44"/>
      <c r="H271" s="44"/>
    </row>
    <row r="272" spans="1:8" x14ac:dyDescent="0.25">
      <c r="A272" s="44"/>
      <c r="B272" s="44"/>
      <c r="C272" s="44"/>
      <c r="D272" s="44"/>
      <c r="E272" s="44"/>
      <c r="F272" s="44"/>
      <c r="G272" s="44"/>
      <c r="H272" s="44"/>
    </row>
    <row r="274" spans="1:8" ht="16.5" x14ac:dyDescent="0.25">
      <c r="A274" s="20" t="s">
        <v>13</v>
      </c>
      <c r="B274" s="4">
        <v>20000</v>
      </c>
      <c r="C274" s="5"/>
    </row>
    <row r="275" spans="1:8" ht="16.5" x14ac:dyDescent="0.25">
      <c r="A275" s="3" t="s">
        <v>5</v>
      </c>
      <c r="B275" s="6">
        <v>2</v>
      </c>
      <c r="C275" s="5" t="s">
        <v>6</v>
      </c>
    </row>
    <row r="276" spans="1:8" ht="16.5" x14ac:dyDescent="0.25">
      <c r="A276" s="3" t="s">
        <v>9</v>
      </c>
      <c r="B276" s="11">
        <v>0.03</v>
      </c>
      <c r="C276" s="5" t="s">
        <v>135</v>
      </c>
    </row>
    <row r="278" spans="1:8" ht="16.5" x14ac:dyDescent="0.25">
      <c r="A278" s="12" t="s">
        <v>52</v>
      </c>
      <c r="B278" s="4"/>
    </row>
    <row r="279" spans="1:8" ht="16.5" x14ac:dyDescent="0.25">
      <c r="A279" s="3" t="s">
        <v>5</v>
      </c>
      <c r="B279" s="6">
        <f>+B275*2</f>
        <v>4</v>
      </c>
      <c r="C279" s="5" t="s">
        <v>136</v>
      </c>
    </row>
    <row r="280" spans="1:8" ht="16.5" x14ac:dyDescent="0.25">
      <c r="A280" s="3" t="s">
        <v>9</v>
      </c>
      <c r="B280" s="31">
        <f>+(1+B276)^2-1</f>
        <v>6.0899999999999954E-2</v>
      </c>
      <c r="C280" s="5" t="s">
        <v>124</v>
      </c>
    </row>
    <row r="281" spans="1:8" ht="16.5" x14ac:dyDescent="0.25">
      <c r="A281" s="13" t="s">
        <v>2</v>
      </c>
      <c r="B281" s="14">
        <f>+PMT(B280,B279,-B274)</f>
        <v>5783.7293863859113</v>
      </c>
      <c r="C281" s="5" t="s">
        <v>53</v>
      </c>
    </row>
    <row r="283" spans="1:8" ht="15" customHeight="1" x14ac:dyDescent="0.25">
      <c r="A283" s="44" t="s">
        <v>151</v>
      </c>
      <c r="B283" s="44"/>
      <c r="C283" s="44"/>
      <c r="D283" s="44"/>
      <c r="E283" s="44"/>
      <c r="F283" s="44"/>
      <c r="G283" s="44"/>
      <c r="H283" s="44"/>
    </row>
    <row r="284" spans="1:8" ht="15" customHeight="1" x14ac:dyDescent="0.25">
      <c r="A284" s="44"/>
      <c r="B284" s="44"/>
      <c r="C284" s="44"/>
      <c r="D284" s="44"/>
      <c r="E284" s="44"/>
      <c r="F284" s="44"/>
      <c r="G284" s="44"/>
      <c r="H284" s="44"/>
    </row>
    <row r="285" spans="1:8" ht="15" customHeight="1" x14ac:dyDescent="0.25">
      <c r="A285" s="44"/>
      <c r="B285" s="44"/>
      <c r="C285" s="44"/>
      <c r="D285" s="44"/>
      <c r="E285" s="44"/>
      <c r="F285" s="44"/>
      <c r="G285" s="44"/>
      <c r="H285" s="44"/>
    </row>
    <row r="286" spans="1:8" ht="15" customHeight="1" x14ac:dyDescent="0.25">
      <c r="A286" s="44"/>
      <c r="B286" s="44"/>
      <c r="C286" s="44"/>
      <c r="D286" s="44"/>
      <c r="E286" s="44"/>
      <c r="F286" s="44"/>
      <c r="G286" s="44"/>
      <c r="H286" s="44"/>
    </row>
    <row r="287" spans="1:8" ht="15" customHeight="1" x14ac:dyDescent="0.25">
      <c r="A287" s="44"/>
      <c r="B287" s="44"/>
      <c r="C287" s="44"/>
      <c r="D287" s="44"/>
      <c r="E287" s="44"/>
      <c r="F287" s="44"/>
      <c r="G287" s="44"/>
      <c r="H287" s="44"/>
    </row>
    <row r="288" spans="1:8" ht="15" customHeight="1" x14ac:dyDescent="0.25">
      <c r="A288" s="44"/>
      <c r="B288" s="44"/>
      <c r="C288" s="44"/>
      <c r="D288" s="44"/>
      <c r="E288" s="44"/>
      <c r="F288" s="44"/>
      <c r="G288" s="44"/>
      <c r="H288" s="44"/>
    </row>
    <row r="289" spans="1:16" ht="15" customHeight="1" x14ac:dyDescent="0.25">
      <c r="A289" s="44"/>
      <c r="B289" s="44"/>
      <c r="C289" s="44"/>
      <c r="D289" s="44"/>
      <c r="E289" s="44"/>
      <c r="F289" s="44"/>
      <c r="G289" s="44"/>
      <c r="H289" s="44"/>
    </row>
    <row r="290" spans="1:16" ht="15.75" customHeight="1" x14ac:dyDescent="0.25">
      <c r="A290" s="44"/>
      <c r="B290" s="44"/>
      <c r="C290" s="44"/>
      <c r="D290" s="44"/>
      <c r="E290" s="44"/>
      <c r="F290" s="44"/>
      <c r="G290" s="44"/>
      <c r="H290" s="44"/>
    </row>
    <row r="292" spans="1:16" ht="16.5" x14ac:dyDescent="0.25">
      <c r="A292" s="20" t="s">
        <v>2</v>
      </c>
      <c r="B292" s="4">
        <v>100000</v>
      </c>
      <c r="C292" s="5" t="s">
        <v>152</v>
      </c>
      <c r="F292" s="6" t="s">
        <v>2</v>
      </c>
      <c r="G292" s="6" t="s">
        <v>2</v>
      </c>
      <c r="H292" s="6" t="s">
        <v>2</v>
      </c>
      <c r="I292" s="6" t="s">
        <v>2</v>
      </c>
      <c r="J292" s="6" t="s">
        <v>2</v>
      </c>
      <c r="K292" s="6" t="s">
        <v>2</v>
      </c>
      <c r="L292" s="6" t="s">
        <v>2</v>
      </c>
      <c r="M292" s="6" t="s">
        <v>2</v>
      </c>
    </row>
    <row r="293" spans="1:16" ht="16.5" x14ac:dyDescent="0.25">
      <c r="A293" s="20" t="s">
        <v>57</v>
      </c>
      <c r="B293" s="4">
        <v>800000</v>
      </c>
      <c r="C293" s="5"/>
      <c r="F293" s="8" t="s">
        <v>153</v>
      </c>
      <c r="G293" s="9" t="s">
        <v>154</v>
      </c>
      <c r="H293" s="9" t="s">
        <v>155</v>
      </c>
      <c r="I293" s="9" t="s">
        <v>156</v>
      </c>
      <c r="J293" s="9" t="s">
        <v>157</v>
      </c>
      <c r="K293" s="9" t="s">
        <v>158</v>
      </c>
      <c r="L293" s="9" t="s">
        <v>159</v>
      </c>
      <c r="M293" s="9" t="s">
        <v>160</v>
      </c>
      <c r="N293" s="9" t="s">
        <v>161</v>
      </c>
      <c r="O293" s="9" t="s">
        <v>162</v>
      </c>
      <c r="P293" s="10" t="s">
        <v>163</v>
      </c>
    </row>
    <row r="294" spans="1:16" ht="16.5" x14ac:dyDescent="0.25">
      <c r="A294" s="3" t="s">
        <v>9</v>
      </c>
      <c r="B294" s="31">
        <v>2.5000000000000001E-3</v>
      </c>
      <c r="C294" s="5" t="s">
        <v>105</v>
      </c>
      <c r="F294" s="8">
        <v>1</v>
      </c>
      <c r="G294" s="9">
        <v>2</v>
      </c>
      <c r="H294" s="9">
        <v>3</v>
      </c>
      <c r="I294" s="9">
        <v>4</v>
      </c>
      <c r="J294" s="9">
        <v>5</v>
      </c>
      <c r="K294" s="9">
        <v>6</v>
      </c>
      <c r="L294" s="9">
        <v>7</v>
      </c>
      <c r="M294" s="9">
        <v>8</v>
      </c>
      <c r="N294" s="9">
        <v>9</v>
      </c>
      <c r="O294" s="9">
        <v>10</v>
      </c>
      <c r="P294" s="10">
        <v>11</v>
      </c>
    </row>
    <row r="295" spans="1:16" ht="16.5" x14ac:dyDescent="0.25">
      <c r="F295" s="3"/>
      <c r="G295" s="3"/>
      <c r="H295" s="3"/>
      <c r="I295" s="3"/>
      <c r="J295" s="3"/>
      <c r="K295" s="3"/>
      <c r="L295" s="3"/>
      <c r="M295" s="3" t="s">
        <v>74</v>
      </c>
      <c r="N295" s="3"/>
      <c r="O295" s="3"/>
      <c r="P295" s="3" t="s">
        <v>55</v>
      </c>
    </row>
    <row r="296" spans="1:16" ht="16.5" x14ac:dyDescent="0.25">
      <c r="A296" s="12" t="s">
        <v>72</v>
      </c>
    </row>
    <row r="297" spans="1:16" ht="16.5" x14ac:dyDescent="0.25">
      <c r="A297" s="3" t="s">
        <v>5</v>
      </c>
      <c r="B297" s="6">
        <v>8</v>
      </c>
      <c r="C297" s="5" t="s">
        <v>120</v>
      </c>
    </row>
    <row r="298" spans="1:16" ht="16.5" x14ac:dyDescent="0.25">
      <c r="A298" s="20" t="s">
        <v>2</v>
      </c>
      <c r="B298" s="4">
        <f>+FV(B294,B297,-B292)</f>
        <v>807035.1095940076</v>
      </c>
      <c r="C298" s="5" t="s">
        <v>66</v>
      </c>
    </row>
    <row r="299" spans="1:16" ht="16.5" x14ac:dyDescent="0.25">
      <c r="B299" s="5" t="s">
        <v>164</v>
      </c>
      <c r="C299" s="5"/>
    </row>
    <row r="300" spans="1:16" ht="16.5" x14ac:dyDescent="0.25">
      <c r="C300" s="5"/>
    </row>
    <row r="301" spans="1:16" ht="16.5" x14ac:dyDescent="0.25">
      <c r="A301" s="12" t="s">
        <v>56</v>
      </c>
      <c r="C301" s="5"/>
    </row>
    <row r="302" spans="1:16" ht="16.5" x14ac:dyDescent="0.25">
      <c r="A302" s="3" t="s">
        <v>5</v>
      </c>
      <c r="B302" s="6">
        <v>3</v>
      </c>
      <c r="C302" s="5" t="s">
        <v>120</v>
      </c>
    </row>
    <row r="303" spans="1:16" ht="16.5" x14ac:dyDescent="0.25">
      <c r="A303" s="20" t="s">
        <v>57</v>
      </c>
      <c r="B303" s="4">
        <f>+FV(B294,B302,,-B298)</f>
        <v>813103.01743419096</v>
      </c>
      <c r="C303" s="5" t="s">
        <v>58</v>
      </c>
    </row>
    <row r="305" spans="1:8" ht="16.5" x14ac:dyDescent="0.25">
      <c r="A305" s="13" t="s">
        <v>165</v>
      </c>
      <c r="B305" s="14">
        <f>+B303-B293</f>
        <v>13103.017434190959</v>
      </c>
    </row>
    <row r="307" spans="1:8" x14ac:dyDescent="0.25">
      <c r="A307" s="44" t="s">
        <v>166</v>
      </c>
      <c r="B307" s="44"/>
      <c r="C307" s="44"/>
      <c r="D307" s="44"/>
      <c r="E307" s="44"/>
      <c r="F307" s="44"/>
      <c r="G307" s="44"/>
      <c r="H307" s="44"/>
    </row>
    <row r="308" spans="1:8" x14ac:dyDescent="0.25">
      <c r="A308" s="44"/>
      <c r="B308" s="44"/>
      <c r="C308" s="44"/>
      <c r="D308" s="44"/>
      <c r="E308" s="44"/>
      <c r="F308" s="44"/>
      <c r="G308" s="44"/>
      <c r="H308" s="44"/>
    </row>
    <row r="309" spans="1:8" x14ac:dyDescent="0.25">
      <c r="A309" s="44"/>
      <c r="B309" s="44"/>
      <c r="C309" s="44"/>
      <c r="D309" s="44"/>
      <c r="E309" s="44"/>
      <c r="F309" s="44"/>
      <c r="G309" s="44"/>
      <c r="H309" s="44"/>
    </row>
    <row r="310" spans="1:8" x14ac:dyDescent="0.25">
      <c r="A310" s="44"/>
      <c r="B310" s="44"/>
      <c r="C310" s="44"/>
      <c r="D310" s="44"/>
      <c r="E310" s="44"/>
      <c r="F310" s="44"/>
      <c r="G310" s="44"/>
      <c r="H310" s="44"/>
    </row>
    <row r="311" spans="1:8" x14ac:dyDescent="0.25">
      <c r="A311" s="44"/>
      <c r="B311" s="44"/>
      <c r="C311" s="44"/>
      <c r="D311" s="44"/>
      <c r="E311" s="44"/>
      <c r="F311" s="44"/>
      <c r="G311" s="44"/>
      <c r="H311" s="44"/>
    </row>
    <row r="312" spans="1:8" x14ac:dyDescent="0.25">
      <c r="A312" s="44"/>
      <c r="B312" s="44"/>
      <c r="C312" s="44"/>
      <c r="D312" s="44"/>
      <c r="E312" s="44"/>
      <c r="F312" s="44"/>
      <c r="G312" s="44"/>
      <c r="H312" s="44"/>
    </row>
    <row r="313" spans="1:8" x14ac:dyDescent="0.25">
      <c r="A313" s="44"/>
      <c r="B313" s="44"/>
      <c r="C313" s="44"/>
      <c r="D313" s="44"/>
      <c r="E313" s="44"/>
      <c r="F313" s="44"/>
      <c r="G313" s="44"/>
      <c r="H313" s="44"/>
    </row>
    <row r="314" spans="1:8" x14ac:dyDescent="0.25">
      <c r="A314" s="44"/>
      <c r="B314" s="44"/>
      <c r="C314" s="44"/>
      <c r="D314" s="44"/>
      <c r="E314" s="44"/>
      <c r="F314" s="44"/>
      <c r="G314" s="44"/>
      <c r="H314" s="44"/>
    </row>
    <row r="316" spans="1:8" ht="16.5" x14ac:dyDescent="0.25">
      <c r="A316" s="20" t="s">
        <v>2</v>
      </c>
      <c r="B316" s="38">
        <v>6.99</v>
      </c>
      <c r="C316" s="5" t="s">
        <v>152</v>
      </c>
    </row>
    <row r="317" spans="1:8" ht="16.5" x14ac:dyDescent="0.25">
      <c r="A317" s="20" t="s">
        <v>2</v>
      </c>
      <c r="B317" s="38">
        <v>14.99</v>
      </c>
      <c r="C317" s="5" t="s">
        <v>152</v>
      </c>
    </row>
    <row r="318" spans="1:8" ht="16.5" x14ac:dyDescent="0.25">
      <c r="A318" s="3" t="s">
        <v>5</v>
      </c>
      <c r="B318" s="6">
        <v>2</v>
      </c>
      <c r="C318" s="5" t="s">
        <v>6</v>
      </c>
    </row>
    <row r="319" spans="1:8" ht="16.5" x14ac:dyDescent="0.25">
      <c r="A319" s="3" t="s">
        <v>88</v>
      </c>
      <c r="B319" s="11">
        <v>0.12</v>
      </c>
      <c r="C319" s="5" t="s">
        <v>108</v>
      </c>
    </row>
    <row r="321" spans="1:8" ht="16.5" x14ac:dyDescent="0.25">
      <c r="A321" s="12" t="s">
        <v>12</v>
      </c>
    </row>
    <row r="322" spans="1:8" ht="16.5" x14ac:dyDescent="0.25">
      <c r="A322" s="3" t="s">
        <v>9</v>
      </c>
      <c r="B322" s="11">
        <f>+B319/12</f>
        <v>0.01</v>
      </c>
      <c r="C322" s="5" t="s">
        <v>105</v>
      </c>
    </row>
    <row r="323" spans="1:8" ht="16.5" x14ac:dyDescent="0.25">
      <c r="A323" s="3" t="s">
        <v>5</v>
      </c>
      <c r="B323" s="6">
        <f>+B318*12</f>
        <v>24</v>
      </c>
      <c r="C323" s="5" t="s">
        <v>149</v>
      </c>
    </row>
    <row r="324" spans="1:8" ht="16.5" x14ac:dyDescent="0.25">
      <c r="A324" s="13" t="s">
        <v>13</v>
      </c>
      <c r="B324" s="35">
        <f>+PV(B322,B323,-(B317-B316))</f>
        <v>169.94709806102304</v>
      </c>
      <c r="C324" s="5" t="s">
        <v>14</v>
      </c>
    </row>
    <row r="326" spans="1:8" ht="15" customHeight="1" x14ac:dyDescent="0.25">
      <c r="A326" s="44" t="s">
        <v>167</v>
      </c>
      <c r="B326" s="44"/>
      <c r="C326" s="44"/>
      <c r="D326" s="44"/>
      <c r="E326" s="44"/>
      <c r="F326" s="44"/>
      <c r="G326" s="44"/>
      <c r="H326" s="44"/>
    </row>
    <row r="327" spans="1:8" ht="15" customHeight="1" x14ac:dyDescent="0.25">
      <c r="A327" s="44"/>
      <c r="B327" s="44"/>
      <c r="C327" s="44"/>
      <c r="D327" s="44"/>
      <c r="E327" s="44"/>
      <c r="F327" s="44"/>
      <c r="G327" s="44"/>
      <c r="H327" s="44"/>
    </row>
    <row r="328" spans="1:8" ht="15" customHeight="1" x14ac:dyDescent="0.25">
      <c r="A328" s="44"/>
      <c r="B328" s="44"/>
      <c r="C328" s="44"/>
      <c r="D328" s="44"/>
      <c r="E328" s="44"/>
      <c r="F328" s="44"/>
      <c r="G328" s="44"/>
      <c r="H328" s="44"/>
    </row>
    <row r="329" spans="1:8" ht="15" customHeight="1" x14ac:dyDescent="0.25">
      <c r="A329" s="44"/>
      <c r="B329" s="44"/>
      <c r="C329" s="44"/>
      <c r="D329" s="44"/>
      <c r="E329" s="44"/>
      <c r="F329" s="44"/>
      <c r="G329" s="44"/>
      <c r="H329" s="44"/>
    </row>
    <row r="330" spans="1:8" ht="15" customHeight="1" x14ac:dyDescent="0.25">
      <c r="A330" s="16"/>
      <c r="B330" s="16"/>
      <c r="C330" s="16"/>
      <c r="D330" s="16"/>
      <c r="E330" s="16"/>
      <c r="F330" s="16"/>
      <c r="G330" s="16"/>
      <c r="H330" s="16"/>
    </row>
    <row r="331" spans="1:8" ht="15" customHeight="1" x14ac:dyDescent="0.25">
      <c r="A331" s="16"/>
      <c r="B331" s="16"/>
      <c r="C331" s="16"/>
      <c r="D331" s="16"/>
      <c r="E331" s="16"/>
      <c r="F331" s="16"/>
      <c r="G331" s="16"/>
      <c r="H331" s="16"/>
    </row>
    <row r="332" spans="1:8" ht="15" customHeight="1" x14ac:dyDescent="0.25">
      <c r="A332" s="16"/>
      <c r="B332" s="16"/>
      <c r="C332" s="16"/>
      <c r="D332" s="16"/>
      <c r="E332" s="16"/>
      <c r="F332" s="16"/>
      <c r="G332" s="16"/>
      <c r="H332" s="16"/>
    </row>
    <row r="333" spans="1:8" ht="15" customHeight="1" x14ac:dyDescent="0.25">
      <c r="A333" s="16"/>
      <c r="B333" s="16"/>
      <c r="C333" s="16"/>
      <c r="D333" s="16"/>
      <c r="E333" s="16"/>
      <c r="F333" s="16"/>
      <c r="G333" s="16"/>
      <c r="H333" s="16"/>
    </row>
    <row r="335" spans="1:8" ht="16.5" x14ac:dyDescent="0.25">
      <c r="A335" s="3" t="s">
        <v>88</v>
      </c>
      <c r="B335" s="11">
        <v>0.18</v>
      </c>
      <c r="C335" s="5" t="s">
        <v>131</v>
      </c>
    </row>
    <row r="336" spans="1:8" ht="16.5" x14ac:dyDescent="0.25">
      <c r="A336" s="3"/>
      <c r="B336" s="11"/>
      <c r="C336" s="5"/>
    </row>
    <row r="337" spans="1:8" ht="16.5" x14ac:dyDescent="0.25">
      <c r="A337" s="3" t="s">
        <v>9</v>
      </c>
      <c r="B337" s="24">
        <f>+B335/12</f>
        <v>1.4999999999999999E-2</v>
      </c>
      <c r="C337" s="5" t="s">
        <v>105</v>
      </c>
    </row>
    <row r="339" spans="1:8" ht="16.5" x14ac:dyDescent="0.25">
      <c r="A339" s="12" t="s">
        <v>30</v>
      </c>
    </row>
    <row r="340" spans="1:8" ht="16.5" x14ac:dyDescent="0.25">
      <c r="A340" s="20" t="s">
        <v>2</v>
      </c>
      <c r="B340" s="4">
        <v>2000</v>
      </c>
      <c r="C340" s="5"/>
    </row>
    <row r="341" spans="1:8" ht="16.5" x14ac:dyDescent="0.25">
      <c r="A341" s="3" t="s">
        <v>5</v>
      </c>
      <c r="B341" s="6">
        <v>12</v>
      </c>
      <c r="C341" s="5" t="s">
        <v>120</v>
      </c>
    </row>
    <row r="342" spans="1:8" ht="16.5" x14ac:dyDescent="0.25">
      <c r="A342" s="20" t="s">
        <v>13</v>
      </c>
      <c r="B342" s="4">
        <f>+PV(B337,B341,-B340)</f>
        <v>21815.010413947126</v>
      </c>
      <c r="C342" s="5" t="s">
        <v>14</v>
      </c>
    </row>
    <row r="344" spans="1:8" ht="16.5" x14ac:dyDescent="0.25">
      <c r="A344" s="12" t="s">
        <v>27</v>
      </c>
    </row>
    <row r="345" spans="1:8" ht="16.5" x14ac:dyDescent="0.25">
      <c r="A345" s="20" t="s">
        <v>2</v>
      </c>
      <c r="B345" s="4">
        <v>3000</v>
      </c>
      <c r="C345" s="5"/>
    </row>
    <row r="346" spans="1:8" ht="16.5" x14ac:dyDescent="0.25">
      <c r="A346" s="3" t="s">
        <v>5</v>
      </c>
      <c r="B346" s="6">
        <v>16</v>
      </c>
      <c r="C346" s="5" t="s">
        <v>120</v>
      </c>
    </row>
    <row r="347" spans="1:8" ht="16.5" x14ac:dyDescent="0.25">
      <c r="A347" s="20" t="s">
        <v>13</v>
      </c>
      <c r="B347" s="4">
        <f>+PV(B337,B346,-B345)</f>
        <v>42393.792135997581</v>
      </c>
      <c r="C347" s="5" t="s">
        <v>14</v>
      </c>
    </row>
    <row r="348" spans="1:8" ht="16.5" x14ac:dyDescent="0.25">
      <c r="A348" s="20"/>
      <c r="B348" s="5" t="s">
        <v>168</v>
      </c>
      <c r="C348" s="5"/>
    </row>
    <row r="350" spans="1:8" ht="16.5" x14ac:dyDescent="0.25">
      <c r="A350" s="13" t="s">
        <v>13</v>
      </c>
      <c r="B350" s="14">
        <f>1000+B342+PV(B337,12,,-B347)</f>
        <v>58272.64492294348</v>
      </c>
    </row>
    <row r="352" spans="1:8" ht="15" customHeight="1" x14ac:dyDescent="0.25">
      <c r="A352" s="44" t="s">
        <v>169</v>
      </c>
      <c r="B352" s="44"/>
      <c r="C352" s="44"/>
      <c r="D352" s="44"/>
      <c r="E352" s="44"/>
      <c r="F352" s="44"/>
      <c r="G352" s="44"/>
      <c r="H352" s="44"/>
    </row>
    <row r="353" spans="1:8" ht="15" customHeight="1" x14ac:dyDescent="0.25">
      <c r="A353" s="44"/>
      <c r="B353" s="44"/>
      <c r="C353" s="44"/>
      <c r="D353" s="44"/>
      <c r="E353" s="44"/>
      <c r="F353" s="44"/>
      <c r="G353" s="44"/>
      <c r="H353" s="44"/>
    </row>
    <row r="354" spans="1:8" ht="15" customHeight="1" x14ac:dyDescent="0.25">
      <c r="A354" s="44"/>
      <c r="B354" s="44"/>
      <c r="C354" s="44"/>
      <c r="D354" s="44"/>
      <c r="E354" s="44"/>
      <c r="F354" s="44"/>
      <c r="G354" s="44"/>
      <c r="H354" s="44"/>
    </row>
    <row r="355" spans="1:8" ht="15" customHeight="1" x14ac:dyDescent="0.25">
      <c r="A355" s="44"/>
      <c r="B355" s="44"/>
      <c r="C355" s="44"/>
      <c r="D355" s="44"/>
      <c r="E355" s="44"/>
      <c r="F355" s="44"/>
      <c r="G355" s="44"/>
      <c r="H355" s="44"/>
    </row>
    <row r="356" spans="1:8" x14ac:dyDescent="0.25">
      <c r="A356" s="44"/>
      <c r="B356" s="44"/>
      <c r="C356" s="44"/>
      <c r="D356" s="44"/>
      <c r="E356" s="44"/>
      <c r="F356" s="44"/>
      <c r="G356" s="44"/>
      <c r="H356" s="44"/>
    </row>
    <row r="357" spans="1:8" x14ac:dyDescent="0.25">
      <c r="A357" s="44"/>
      <c r="B357" s="44"/>
      <c r="C357" s="44"/>
      <c r="D357" s="44"/>
      <c r="E357" s="44"/>
      <c r="F357" s="44"/>
      <c r="G357" s="44"/>
      <c r="H357" s="44"/>
    </row>
    <row r="363" spans="1:8" ht="16.5" x14ac:dyDescent="0.25">
      <c r="A363" s="5" t="s">
        <v>170</v>
      </c>
    </row>
    <row r="364" spans="1:8" ht="16.5" x14ac:dyDescent="0.25">
      <c r="A364" s="5" t="s">
        <v>171</v>
      </c>
    </row>
    <row r="366" spans="1:8" ht="16.5" x14ac:dyDescent="0.25">
      <c r="A366" s="3" t="s">
        <v>88</v>
      </c>
      <c r="B366" s="11">
        <v>0.16</v>
      </c>
      <c r="C366" s="5" t="s">
        <v>102</v>
      </c>
    </row>
    <row r="367" spans="1:8" ht="16.5" x14ac:dyDescent="0.25">
      <c r="A367" s="3"/>
      <c r="B367" s="11"/>
      <c r="C367" s="5"/>
    </row>
    <row r="368" spans="1:8" ht="16.5" x14ac:dyDescent="0.25">
      <c r="A368" s="3" t="s">
        <v>9</v>
      </c>
      <c r="B368" s="11">
        <f>+B366/4</f>
        <v>0.04</v>
      </c>
      <c r="C368" s="5" t="s">
        <v>92</v>
      </c>
    </row>
    <row r="369" spans="1:4" ht="16.5" x14ac:dyDescent="0.25">
      <c r="A369" s="3"/>
      <c r="B369" s="11"/>
      <c r="C369" s="5"/>
    </row>
    <row r="370" spans="1:4" ht="16.5" x14ac:dyDescent="0.25">
      <c r="A370" s="12" t="s">
        <v>16</v>
      </c>
    </row>
    <row r="371" spans="1:4" ht="16.5" x14ac:dyDescent="0.25">
      <c r="A371" s="20" t="s">
        <v>57</v>
      </c>
      <c r="B371" s="4">
        <v>1000</v>
      </c>
    </row>
    <row r="372" spans="1:4" ht="16.5" x14ac:dyDescent="0.25">
      <c r="A372" s="3" t="s">
        <v>5</v>
      </c>
      <c r="B372" s="6">
        <v>2</v>
      </c>
      <c r="C372" s="5" t="s">
        <v>128</v>
      </c>
      <c r="D372" s="5" t="s">
        <v>172</v>
      </c>
    </row>
    <row r="373" spans="1:4" ht="16.5" x14ac:dyDescent="0.25">
      <c r="A373" s="41" t="s">
        <v>13</v>
      </c>
      <c r="B373" s="42">
        <f>+PV(B368,B372,,-B371)</f>
        <v>924.55621301775136</v>
      </c>
      <c r="C373" s="5" t="s">
        <v>14</v>
      </c>
    </row>
    <row r="374" spans="1:4" ht="16.5" x14ac:dyDescent="0.25">
      <c r="A374" s="5"/>
      <c r="B374" s="5"/>
      <c r="C374" s="5"/>
    </row>
    <row r="375" spans="1:4" ht="16.5" x14ac:dyDescent="0.25">
      <c r="A375" s="12" t="s">
        <v>30</v>
      </c>
    </row>
    <row r="376" spans="1:4" ht="16.5" x14ac:dyDescent="0.25">
      <c r="A376" s="20" t="s">
        <v>2</v>
      </c>
      <c r="B376" s="4">
        <v>2000</v>
      </c>
      <c r="C376" s="5"/>
    </row>
    <row r="377" spans="1:4" ht="16.5" x14ac:dyDescent="0.25">
      <c r="A377" s="3" t="s">
        <v>5</v>
      </c>
      <c r="B377" s="6">
        <v>2</v>
      </c>
      <c r="C377" s="5" t="s">
        <v>136</v>
      </c>
    </row>
    <row r="378" spans="1:4" ht="16.5" x14ac:dyDescent="0.25">
      <c r="A378" s="20" t="s">
        <v>13</v>
      </c>
      <c r="B378" s="38">
        <f>+PV(B368,B377,-B376)</f>
        <v>3772.1893491124306</v>
      </c>
      <c r="C378" s="5" t="s">
        <v>14</v>
      </c>
    </row>
    <row r="379" spans="1:4" ht="16.5" x14ac:dyDescent="0.25">
      <c r="B379" s="5" t="s">
        <v>173</v>
      </c>
    </row>
    <row r="381" spans="1:4" ht="16.5" x14ac:dyDescent="0.25">
      <c r="A381" s="12" t="s">
        <v>16</v>
      </c>
    </row>
    <row r="382" spans="1:4" ht="16.5" x14ac:dyDescent="0.25">
      <c r="A382" s="3" t="s">
        <v>5</v>
      </c>
      <c r="B382" s="6">
        <v>2</v>
      </c>
      <c r="C382" s="5" t="s">
        <v>128</v>
      </c>
      <c r="D382" s="5" t="s">
        <v>172</v>
      </c>
    </row>
    <row r="383" spans="1:4" ht="16.5" x14ac:dyDescent="0.25">
      <c r="A383" s="41" t="s">
        <v>13</v>
      </c>
      <c r="B383" s="42">
        <f>+PV(B368,B382,,-B378)</f>
        <v>3487.6010994012854</v>
      </c>
      <c r="C383" s="5" t="s">
        <v>17</v>
      </c>
    </row>
    <row r="385" spans="1:4" ht="16.5" x14ac:dyDescent="0.25">
      <c r="A385" s="12" t="s">
        <v>27</v>
      </c>
    </row>
    <row r="386" spans="1:4" ht="16.5" x14ac:dyDescent="0.25">
      <c r="A386" s="20" t="s">
        <v>2</v>
      </c>
      <c r="B386" s="4">
        <v>3000</v>
      </c>
      <c r="C386" s="5"/>
    </row>
    <row r="387" spans="1:4" ht="16.5" x14ac:dyDescent="0.25">
      <c r="A387" s="3" t="s">
        <v>5</v>
      </c>
      <c r="B387" s="6">
        <v>4</v>
      </c>
      <c r="C387" s="5" t="s">
        <v>136</v>
      </c>
    </row>
    <row r="388" spans="1:4" ht="16.5" x14ac:dyDescent="0.25">
      <c r="A388" s="20" t="s">
        <v>13</v>
      </c>
      <c r="B388" s="38">
        <f>+PV(B368,B387,-B386)</f>
        <v>10889.685672770571</v>
      </c>
      <c r="C388" s="5" t="s">
        <v>14</v>
      </c>
    </row>
    <row r="389" spans="1:4" ht="16.5" x14ac:dyDescent="0.25">
      <c r="B389" s="5" t="s">
        <v>174</v>
      </c>
    </row>
    <row r="391" spans="1:4" ht="16.5" x14ac:dyDescent="0.25">
      <c r="A391" s="12" t="s">
        <v>16</v>
      </c>
    </row>
    <row r="392" spans="1:4" ht="16.5" x14ac:dyDescent="0.25">
      <c r="A392" s="3" t="s">
        <v>5</v>
      </c>
      <c r="B392" s="6">
        <v>5</v>
      </c>
      <c r="C392" s="5" t="s">
        <v>128</v>
      </c>
      <c r="D392" s="5" t="s">
        <v>172</v>
      </c>
    </row>
    <row r="393" spans="1:4" ht="16.5" x14ac:dyDescent="0.25">
      <c r="A393" s="41" t="s">
        <v>13</v>
      </c>
      <c r="B393" s="42">
        <f>+PV(B368,B392,,-B388)</f>
        <v>8950.5278385390775</v>
      </c>
      <c r="C393" s="5" t="s">
        <v>17</v>
      </c>
    </row>
    <row r="395" spans="1:4" ht="18" x14ac:dyDescent="0.25">
      <c r="A395" s="41" t="s">
        <v>175</v>
      </c>
      <c r="B395" s="42">
        <f>+B373+B383+B393</f>
        <v>13362.685150958114</v>
      </c>
    </row>
    <row r="397" spans="1:4" ht="16.5" x14ac:dyDescent="0.25">
      <c r="A397" s="12" t="s">
        <v>52</v>
      </c>
    </row>
    <row r="398" spans="1:4" ht="16.5" x14ac:dyDescent="0.25">
      <c r="A398" s="3" t="s">
        <v>5</v>
      </c>
      <c r="B398" s="6">
        <v>9</v>
      </c>
      <c r="C398" s="5" t="s">
        <v>136</v>
      </c>
    </row>
    <row r="399" spans="1:4" ht="16.5" x14ac:dyDescent="0.25">
      <c r="A399" s="13" t="s">
        <v>2</v>
      </c>
      <c r="B399" s="35">
        <f>+PMT(B368,B398,-B395)</f>
        <v>1797.1875164296796</v>
      </c>
      <c r="C399" s="5" t="s">
        <v>53</v>
      </c>
    </row>
    <row r="401" spans="1:8" x14ac:dyDescent="0.25">
      <c r="A401" s="44" t="s">
        <v>176</v>
      </c>
      <c r="B401" s="44"/>
      <c r="C401" s="44"/>
      <c r="D401" s="44"/>
      <c r="E401" s="44"/>
      <c r="F401" s="44"/>
      <c r="G401" s="44"/>
      <c r="H401" s="44"/>
    </row>
    <row r="402" spans="1:8" x14ac:dyDescent="0.25">
      <c r="A402" s="44"/>
      <c r="B402" s="44"/>
      <c r="C402" s="44"/>
      <c r="D402" s="44"/>
      <c r="E402" s="44"/>
      <c r="F402" s="44"/>
      <c r="G402" s="44"/>
      <c r="H402" s="44"/>
    </row>
    <row r="403" spans="1:8" x14ac:dyDescent="0.25">
      <c r="A403" s="44"/>
      <c r="B403" s="44"/>
      <c r="C403" s="44"/>
      <c r="D403" s="44"/>
      <c r="E403" s="44"/>
      <c r="F403" s="44"/>
      <c r="G403" s="44"/>
      <c r="H403" s="44"/>
    </row>
    <row r="404" spans="1:8" x14ac:dyDescent="0.25">
      <c r="A404" s="44"/>
      <c r="B404" s="44"/>
      <c r="C404" s="44"/>
      <c r="D404" s="44"/>
      <c r="E404" s="44"/>
      <c r="F404" s="44"/>
      <c r="G404" s="44"/>
      <c r="H404" s="44"/>
    </row>
    <row r="405" spans="1:8" x14ac:dyDescent="0.25">
      <c r="A405" s="44"/>
      <c r="B405" s="44"/>
      <c r="C405" s="44"/>
      <c r="D405" s="44"/>
      <c r="E405" s="44"/>
      <c r="F405" s="44"/>
      <c r="G405" s="44"/>
      <c r="H405" s="44"/>
    </row>
    <row r="406" spans="1:8" x14ac:dyDescent="0.25">
      <c r="A406" s="44"/>
      <c r="B406" s="44"/>
      <c r="C406" s="44"/>
      <c r="D406" s="44"/>
      <c r="E406" s="44"/>
      <c r="F406" s="44"/>
      <c r="G406" s="44"/>
      <c r="H406" s="44"/>
    </row>
    <row r="408" spans="1:8" ht="16.5" x14ac:dyDescent="0.25">
      <c r="A408" s="20" t="s">
        <v>2</v>
      </c>
      <c r="B408" s="4">
        <v>300</v>
      </c>
      <c r="C408" s="5" t="s">
        <v>152</v>
      </c>
    </row>
    <row r="409" spans="1:8" ht="16.5" x14ac:dyDescent="0.25">
      <c r="A409" s="3" t="s">
        <v>88</v>
      </c>
      <c r="B409" s="11">
        <v>0.06</v>
      </c>
      <c r="C409" s="5" t="s">
        <v>177</v>
      </c>
    </row>
    <row r="410" spans="1:8" ht="16.5" x14ac:dyDescent="0.25">
      <c r="A410" s="3" t="s">
        <v>5</v>
      </c>
      <c r="B410" s="6">
        <v>15</v>
      </c>
      <c r="C410" s="5" t="s">
        <v>6</v>
      </c>
    </row>
    <row r="412" spans="1:8" ht="16.5" x14ac:dyDescent="0.25">
      <c r="A412" s="3" t="s">
        <v>9</v>
      </c>
      <c r="B412" s="11">
        <f>+B409/2</f>
        <v>0.03</v>
      </c>
      <c r="C412" s="5" t="s">
        <v>124</v>
      </c>
    </row>
    <row r="413" spans="1:8" ht="16.5" x14ac:dyDescent="0.25">
      <c r="A413" s="20" t="s">
        <v>2</v>
      </c>
      <c r="B413" s="4">
        <f>+B408*6</f>
        <v>1800</v>
      </c>
      <c r="C413" s="5" t="s">
        <v>178</v>
      </c>
    </row>
    <row r="414" spans="1:8" ht="16.5" x14ac:dyDescent="0.25">
      <c r="A414" s="3"/>
      <c r="B414" s="11"/>
      <c r="C414" s="5"/>
    </row>
    <row r="416" spans="1:8" ht="16.5" x14ac:dyDescent="0.25">
      <c r="A416" s="12" t="s">
        <v>56</v>
      </c>
      <c r="B416" s="4"/>
    </row>
    <row r="417" spans="1:3" ht="16.5" x14ac:dyDescent="0.25">
      <c r="A417" s="3" t="s">
        <v>5</v>
      </c>
      <c r="B417" s="6">
        <f>+B410*2</f>
        <v>30</v>
      </c>
      <c r="C417" s="5" t="s">
        <v>120</v>
      </c>
    </row>
    <row r="418" spans="1:3" ht="16.5" x14ac:dyDescent="0.25">
      <c r="A418" s="13" t="s">
        <v>57</v>
      </c>
      <c r="B418" s="35">
        <f>+FV(B412,B417,-B413)</f>
        <v>85635.748271379547</v>
      </c>
      <c r="C418" s="5" t="s">
        <v>58</v>
      </c>
    </row>
  </sheetData>
  <mergeCells count="27">
    <mergeCell ref="A42:H44"/>
    <mergeCell ref="A1:D2"/>
    <mergeCell ref="A4:H7"/>
    <mergeCell ref="A14:H17"/>
    <mergeCell ref="A24:H27"/>
    <mergeCell ref="A34:H36"/>
    <mergeCell ref="A201:H206"/>
    <mergeCell ref="A49:H51"/>
    <mergeCell ref="A57:H61"/>
    <mergeCell ref="A66:D67"/>
    <mergeCell ref="A69:H73"/>
    <mergeCell ref="A84:H93"/>
    <mergeCell ref="A103:H107"/>
    <mergeCell ref="A119:H128"/>
    <mergeCell ref="A139:H148"/>
    <mergeCell ref="J152:M152"/>
    <mergeCell ref="A166:H175"/>
    <mergeCell ref="A185:H190"/>
    <mergeCell ref="A326:H329"/>
    <mergeCell ref="A352:H357"/>
    <mergeCell ref="A401:H406"/>
    <mergeCell ref="A216:H221"/>
    <mergeCell ref="A232:H237"/>
    <mergeCell ref="A251:H256"/>
    <mergeCell ref="A267:H272"/>
    <mergeCell ref="A283:H290"/>
    <mergeCell ref="A307:H314"/>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Cap. 3 Blank y Tarquin</vt:lpstr>
      <vt:lpstr>Cap. 4 Blank y Tarquin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JIMÉNEZ</dc:creator>
  <cp:lastModifiedBy>MIGUEL JIMÉNEZ</cp:lastModifiedBy>
  <dcterms:created xsi:type="dcterms:W3CDTF">2021-10-12T17:33:55Z</dcterms:created>
  <dcterms:modified xsi:type="dcterms:W3CDTF">2021-10-24T00:41:32Z</dcterms:modified>
</cp:coreProperties>
</file>