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Python\"/>
    </mc:Choice>
  </mc:AlternateContent>
  <xr:revisionPtr revIDLastSave="0" documentId="13_ncr:1_{A0AA2B90-3754-4B9E-83EF-450B2A8C9E6A}" xr6:coauthVersionLast="47" xr6:coauthVersionMax="47" xr10:uidLastSave="{00000000-0000-0000-0000-000000000000}"/>
  <bookViews>
    <workbookView xWindow="-120" yWindow="-120" windowWidth="29040" windowHeight="15840" xr2:uid="{D0F800E6-6D0D-4686-97A6-23A2D8A366C1}"/>
  </bookViews>
  <sheets>
    <sheet name="H&amp;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2" i="1" l="1"/>
  <c r="AB72" i="1"/>
  <c r="AC72" i="1"/>
  <c r="AD72" i="1"/>
  <c r="AE72" i="1"/>
  <c r="Z72" i="1"/>
  <c r="AA62" i="1"/>
  <c r="AA63" i="1"/>
  <c r="AE84" i="1"/>
  <c r="AD84" i="1"/>
  <c r="V41" i="1"/>
  <c r="W41" i="1"/>
  <c r="AE86" i="1"/>
  <c r="AD82" i="1"/>
  <c r="AD85" i="1" s="1"/>
  <c r="AD86" i="1" s="1"/>
  <c r="AE82" i="1"/>
  <c r="AE85" i="1" s="1"/>
  <c r="AD83" i="1"/>
  <c r="AE83" i="1"/>
  <c r="AD76" i="1"/>
  <c r="AE76" i="1"/>
  <c r="AD77" i="1"/>
  <c r="AE77" i="1"/>
  <c r="AD78" i="1"/>
  <c r="AE78" i="1"/>
  <c r="AD71" i="1"/>
  <c r="AE71" i="1"/>
  <c r="AD73" i="1"/>
  <c r="AE73" i="1"/>
  <c r="AD74" i="1"/>
  <c r="AE74" i="1"/>
  <c r="AD59" i="1"/>
  <c r="AE59" i="1"/>
  <c r="AD60" i="1"/>
  <c r="AD61" i="1" s="1"/>
  <c r="AE60" i="1"/>
  <c r="AE61" i="1" s="1"/>
  <c r="AD62" i="1"/>
  <c r="AE62" i="1"/>
  <c r="AD64" i="1"/>
  <c r="AE64" i="1"/>
  <c r="AD65" i="1"/>
  <c r="AE65" i="1"/>
  <c r="AD66" i="1"/>
  <c r="AE66" i="1"/>
  <c r="AD52" i="1"/>
  <c r="AE52" i="1"/>
  <c r="AD53" i="1"/>
  <c r="AE53" i="1"/>
  <c r="AD54" i="1"/>
  <c r="AE54" i="1"/>
  <c r="AD55" i="1"/>
  <c r="AE55" i="1"/>
  <c r="AD45" i="1"/>
  <c r="AE45" i="1"/>
  <c r="AD46" i="1"/>
  <c r="AD47" i="1" s="1"/>
  <c r="AE46" i="1"/>
  <c r="AE47" i="1" s="1"/>
  <c r="AD40" i="1"/>
  <c r="AE40" i="1"/>
  <c r="AD41" i="1"/>
  <c r="AD42" i="1" s="1"/>
  <c r="AE41" i="1"/>
  <c r="AE42" i="1" s="1"/>
  <c r="AC37" i="1"/>
  <c r="AD37" i="1"/>
  <c r="Z34" i="1"/>
  <c r="AD29" i="1"/>
  <c r="AE29" i="1"/>
  <c r="AE30" i="1" s="1"/>
  <c r="AE32" i="1" s="1"/>
  <c r="AE33" i="1" s="1"/>
  <c r="AD30" i="1"/>
  <c r="AD32" i="1" s="1"/>
  <c r="AD33" i="1" s="1"/>
  <c r="AD31" i="1"/>
  <c r="AE31" i="1"/>
  <c r="Z25" i="1"/>
  <c r="AC22" i="1"/>
  <c r="AD22" i="1"/>
  <c r="AD23" i="1" s="1"/>
  <c r="AD24" i="1" s="1"/>
  <c r="AC23" i="1"/>
  <c r="AC24" i="1" s="1"/>
  <c r="Z19" i="1"/>
  <c r="AB16" i="1"/>
  <c r="AC16" i="1"/>
  <c r="AC17" i="1" s="1"/>
  <c r="AC18" i="1" s="1"/>
  <c r="AD16" i="1"/>
  <c r="AD17" i="1" s="1"/>
  <c r="AD18" i="1" s="1"/>
  <c r="AD10" i="1"/>
  <c r="AD11" i="1"/>
  <c r="AD12" i="1" s="1"/>
  <c r="Z7" i="1"/>
  <c r="AC5" i="1"/>
  <c r="AC6" i="1" s="1"/>
  <c r="AD5" i="1"/>
  <c r="AD6" i="1"/>
  <c r="V48" i="1"/>
  <c r="W48" i="1"/>
  <c r="V49" i="1"/>
  <c r="W49" i="1"/>
  <c r="V50" i="1"/>
  <c r="W50" i="1"/>
  <c r="V52" i="1"/>
  <c r="W52" i="1"/>
  <c r="V53" i="1"/>
  <c r="W53" i="1"/>
  <c r="V55" i="1"/>
  <c r="V56" i="1"/>
  <c r="W56" i="1"/>
  <c r="V57" i="1"/>
  <c r="W57" i="1"/>
  <c r="V58" i="1"/>
  <c r="W58" i="1"/>
  <c r="V59" i="1"/>
  <c r="W59" i="1"/>
  <c r="V60" i="1"/>
  <c r="W60" i="1"/>
  <c r="V61" i="1"/>
  <c r="W61" i="1"/>
  <c r="V63" i="1"/>
  <c r="W63" i="1"/>
  <c r="V64" i="1"/>
  <c r="W64" i="1"/>
  <c r="V6" i="1"/>
  <c r="W6" i="1"/>
  <c r="V7" i="1"/>
  <c r="W7" i="1"/>
  <c r="V8" i="1"/>
  <c r="W8" i="1"/>
  <c r="V11" i="1"/>
  <c r="W11" i="1"/>
  <c r="V12" i="1"/>
  <c r="W12" i="1"/>
  <c r="V14" i="1"/>
  <c r="W14" i="1"/>
  <c r="V19" i="1"/>
  <c r="W19" i="1"/>
  <c r="V22" i="1"/>
  <c r="W22" i="1"/>
  <c r="V23" i="1"/>
  <c r="W23" i="1"/>
  <c r="V24" i="1"/>
  <c r="W24" i="1"/>
  <c r="V26" i="1"/>
  <c r="W26" i="1"/>
  <c r="V27" i="1"/>
  <c r="W27" i="1"/>
  <c r="V28" i="1"/>
  <c r="W28" i="1"/>
  <c r="V29" i="1"/>
  <c r="W29" i="1"/>
  <c r="V30" i="1"/>
  <c r="W30" i="1"/>
  <c r="V33" i="1"/>
  <c r="W33" i="1"/>
  <c r="V36" i="1"/>
  <c r="W36" i="1"/>
  <c r="V37" i="1"/>
  <c r="W37" i="1"/>
  <c r="V38" i="1"/>
  <c r="W38" i="1"/>
  <c r="V39" i="1"/>
  <c r="W39" i="1"/>
  <c r="V40" i="1"/>
  <c r="W40" i="1"/>
  <c r="V42" i="1"/>
  <c r="W42" i="1"/>
  <c r="V43" i="1"/>
  <c r="W43" i="1"/>
  <c r="V44" i="1"/>
  <c r="W44" i="1"/>
  <c r="Q63" i="1"/>
  <c r="R63" i="1"/>
  <c r="Q48" i="1"/>
  <c r="R48" i="1"/>
  <c r="Q49" i="1"/>
  <c r="R49" i="1"/>
  <c r="Q52" i="1"/>
  <c r="R52" i="1"/>
  <c r="Q53" i="1"/>
  <c r="R53" i="1"/>
  <c r="Q55" i="1"/>
  <c r="R55" i="1"/>
  <c r="Q57" i="1"/>
  <c r="R57" i="1"/>
  <c r="Q58" i="1"/>
  <c r="R58" i="1"/>
  <c r="Q60" i="1"/>
  <c r="R60" i="1"/>
  <c r="Q6" i="1"/>
  <c r="R6" i="1"/>
  <c r="Q7" i="1"/>
  <c r="R7" i="1"/>
  <c r="Q8" i="1"/>
  <c r="R8" i="1"/>
  <c r="Q11" i="1"/>
  <c r="R11" i="1"/>
  <c r="Q14" i="1"/>
  <c r="R14" i="1"/>
  <c r="Q19" i="1"/>
  <c r="R19" i="1"/>
  <c r="Q24" i="1"/>
  <c r="R24" i="1"/>
  <c r="Q26" i="1"/>
  <c r="R26" i="1"/>
  <c r="Q27" i="1"/>
  <c r="R27" i="1"/>
  <c r="Q28" i="1"/>
  <c r="R28" i="1"/>
  <c r="Q29" i="1"/>
  <c r="R29" i="1"/>
  <c r="Q33" i="1"/>
  <c r="R33" i="1"/>
  <c r="Q36" i="1"/>
  <c r="R36" i="1"/>
  <c r="Q37" i="1"/>
  <c r="R37" i="1"/>
  <c r="R38" i="1"/>
  <c r="Q40" i="1"/>
  <c r="R40" i="1"/>
  <c r="Q41" i="1"/>
  <c r="R41" i="1"/>
  <c r="Q42" i="1"/>
  <c r="R42" i="1"/>
  <c r="L63" i="1"/>
  <c r="M63" i="1"/>
  <c r="L48" i="1"/>
  <c r="M48" i="1"/>
  <c r="L49" i="1"/>
  <c r="M49" i="1"/>
  <c r="L51" i="1"/>
  <c r="M51" i="1"/>
  <c r="L52" i="1"/>
  <c r="M52" i="1"/>
  <c r="L53" i="1"/>
  <c r="M53" i="1"/>
  <c r="L55" i="1"/>
  <c r="M55" i="1"/>
  <c r="L57" i="1"/>
  <c r="M57" i="1"/>
  <c r="L58" i="1"/>
  <c r="M58" i="1"/>
  <c r="L60" i="1"/>
  <c r="M60" i="1"/>
  <c r="G50" i="1"/>
  <c r="G56" i="1" s="1"/>
  <c r="G59" i="1" s="1"/>
  <c r="G61" i="1" s="1"/>
  <c r="M61" i="1" s="1"/>
  <c r="F50" i="1"/>
  <c r="F56" i="1" s="1"/>
  <c r="F59" i="1" s="1"/>
  <c r="F61" i="1" s="1"/>
  <c r="L61" i="1" s="1"/>
  <c r="F43" i="1"/>
  <c r="G43" i="1"/>
  <c r="R43" i="1" s="1"/>
  <c r="G38" i="1"/>
  <c r="F38" i="1"/>
  <c r="G30" i="1"/>
  <c r="F30" i="1"/>
  <c r="G22" i="1"/>
  <c r="F22" i="1"/>
  <c r="G12" i="1"/>
  <c r="F12" i="1"/>
  <c r="AD63" i="1" l="1"/>
  <c r="AE63" i="1"/>
  <c r="R30" i="1"/>
  <c r="R12" i="1"/>
  <c r="R59" i="1"/>
  <c r="R50" i="1"/>
  <c r="R22" i="1"/>
  <c r="R61" i="1"/>
  <c r="R56" i="1"/>
  <c r="L59" i="1"/>
  <c r="L50" i="1"/>
  <c r="M59" i="1"/>
  <c r="F39" i="1"/>
  <c r="M50" i="1"/>
  <c r="F23" i="1"/>
  <c r="M56" i="1"/>
  <c r="L56" i="1"/>
  <c r="G23" i="1"/>
  <c r="G64" i="1"/>
  <c r="F64" i="1"/>
  <c r="G39" i="1"/>
  <c r="G44" i="1"/>
  <c r="AA45" i="1"/>
  <c r="AB45" i="1"/>
  <c r="AC45" i="1"/>
  <c r="Z45" i="1"/>
  <c r="M38" i="1" l="1"/>
  <c r="R23" i="1"/>
  <c r="L22" i="1"/>
  <c r="L43" i="1"/>
  <c r="F44" i="1"/>
  <c r="R44" i="1" s="1"/>
  <c r="R39" i="1"/>
  <c r="L64" i="1"/>
  <c r="M64" i="1"/>
  <c r="R64" i="1"/>
  <c r="M33" i="1"/>
  <c r="M12" i="1"/>
  <c r="M14" i="1"/>
  <c r="M27" i="1"/>
  <c r="M37" i="1"/>
  <c r="M40" i="1"/>
  <c r="M11" i="1"/>
  <c r="M42" i="1"/>
  <c r="M6" i="1"/>
  <c r="M19" i="1"/>
  <c r="M28" i="1"/>
  <c r="M23" i="1"/>
  <c r="M26" i="1"/>
  <c r="M24" i="1"/>
  <c r="M7" i="1"/>
  <c r="M29" i="1"/>
  <c r="M8" i="1"/>
  <c r="M41" i="1"/>
  <c r="M36" i="1"/>
  <c r="M43" i="1"/>
  <c r="L11" i="1"/>
  <c r="L24" i="1"/>
  <c r="L33" i="1"/>
  <c r="L41" i="1"/>
  <c r="L36" i="1"/>
  <c r="L14" i="1"/>
  <c r="L27" i="1"/>
  <c r="L37" i="1"/>
  <c r="L6" i="1"/>
  <c r="L19" i="1"/>
  <c r="L28" i="1"/>
  <c r="L7" i="1"/>
  <c r="L8" i="1"/>
  <c r="L40" i="1"/>
  <c r="L26" i="1"/>
  <c r="L29" i="1"/>
  <c r="L42" i="1"/>
  <c r="L23" i="1"/>
  <c r="L12" i="1"/>
  <c r="L38" i="1"/>
  <c r="M30" i="1"/>
  <c r="L30" i="1"/>
  <c r="M44" i="1"/>
  <c r="M39" i="1"/>
  <c r="L39" i="1"/>
  <c r="M22" i="1"/>
  <c r="AC46" i="1"/>
  <c r="AC47" i="1" s="1"/>
  <c r="AB46" i="1"/>
  <c r="AB47" i="1" s="1"/>
  <c r="AA46" i="1"/>
  <c r="AA47" i="1" s="1"/>
  <c r="AB31" i="1"/>
  <c r="AC31" i="1"/>
  <c r="AA31" i="1"/>
  <c r="AA29" i="1"/>
  <c r="AB29" i="1"/>
  <c r="AC29" i="1"/>
  <c r="Z29" i="1"/>
  <c r="AA22" i="1"/>
  <c r="AA23" i="1" s="1"/>
  <c r="AA24" i="1" s="1"/>
  <c r="AB22" i="1"/>
  <c r="AB23" i="1" s="1"/>
  <c r="AB24" i="1" s="1"/>
  <c r="Z22" i="1"/>
  <c r="Z23" i="1" s="1"/>
  <c r="Z24" i="1" s="1"/>
  <c r="AA16" i="1"/>
  <c r="AA17" i="1" s="1"/>
  <c r="AA18" i="1" s="1"/>
  <c r="AB17" i="1"/>
  <c r="AB18" i="1" s="1"/>
  <c r="Z16" i="1"/>
  <c r="Z17" i="1" s="1"/>
  <c r="Z18" i="1" s="1"/>
  <c r="AA10" i="1"/>
  <c r="AB10" i="1"/>
  <c r="AC10" i="1"/>
  <c r="Z10" i="1"/>
  <c r="U63" i="1"/>
  <c r="T63" i="1"/>
  <c r="S63" i="1"/>
  <c r="P63" i="1"/>
  <c r="O63" i="1"/>
  <c r="N63" i="1"/>
  <c r="K63" i="1"/>
  <c r="J63" i="1"/>
  <c r="I63" i="1"/>
  <c r="H63" i="1"/>
  <c r="I48" i="1"/>
  <c r="J48" i="1"/>
  <c r="K48" i="1"/>
  <c r="I49" i="1"/>
  <c r="J49" i="1"/>
  <c r="K49" i="1"/>
  <c r="K51" i="1"/>
  <c r="I52" i="1"/>
  <c r="J52" i="1"/>
  <c r="K52" i="1"/>
  <c r="I53" i="1"/>
  <c r="J53" i="1"/>
  <c r="K53" i="1"/>
  <c r="I54" i="1"/>
  <c r="I55" i="1"/>
  <c r="J55" i="1"/>
  <c r="K55" i="1"/>
  <c r="I57" i="1"/>
  <c r="J57" i="1"/>
  <c r="K57" i="1"/>
  <c r="I58" i="1"/>
  <c r="J58" i="1"/>
  <c r="K58" i="1"/>
  <c r="I60" i="1"/>
  <c r="J60" i="1"/>
  <c r="K60" i="1"/>
  <c r="H49" i="1"/>
  <c r="H51" i="1"/>
  <c r="H52" i="1"/>
  <c r="H53" i="1"/>
  <c r="H54" i="1"/>
  <c r="H57" i="1"/>
  <c r="H58" i="1"/>
  <c r="H60" i="1"/>
  <c r="H48" i="1"/>
  <c r="T48" i="1"/>
  <c r="U48" i="1"/>
  <c r="T49" i="1"/>
  <c r="U49" i="1"/>
  <c r="U52" i="1"/>
  <c r="T53" i="1"/>
  <c r="U53" i="1"/>
  <c r="T54" i="1"/>
  <c r="T55" i="1"/>
  <c r="U55" i="1"/>
  <c r="T57" i="1"/>
  <c r="U57" i="1"/>
  <c r="T58" i="1"/>
  <c r="U58" i="1"/>
  <c r="T60" i="1"/>
  <c r="U60" i="1"/>
  <c r="S49" i="1"/>
  <c r="S51" i="1"/>
  <c r="S52" i="1"/>
  <c r="S53" i="1"/>
  <c r="S54" i="1"/>
  <c r="S57" i="1"/>
  <c r="S58" i="1"/>
  <c r="S48" i="1"/>
  <c r="O48" i="1"/>
  <c r="P48" i="1"/>
  <c r="O49" i="1"/>
  <c r="P49" i="1"/>
  <c r="O52" i="1"/>
  <c r="P52" i="1"/>
  <c r="O53" i="1"/>
  <c r="P53" i="1"/>
  <c r="O54" i="1"/>
  <c r="O55" i="1"/>
  <c r="P55" i="1"/>
  <c r="O57" i="1"/>
  <c r="P57" i="1"/>
  <c r="O58" i="1"/>
  <c r="P58" i="1"/>
  <c r="O60" i="1"/>
  <c r="P60" i="1"/>
  <c r="N49" i="1"/>
  <c r="N51" i="1"/>
  <c r="N52" i="1"/>
  <c r="N53" i="1"/>
  <c r="N54" i="1"/>
  <c r="N55" i="1"/>
  <c r="N57" i="1"/>
  <c r="N58" i="1"/>
  <c r="N60" i="1"/>
  <c r="N48" i="1"/>
  <c r="T6" i="1"/>
  <c r="U6" i="1"/>
  <c r="T7" i="1"/>
  <c r="U7" i="1"/>
  <c r="T8" i="1"/>
  <c r="U8" i="1"/>
  <c r="T9" i="1"/>
  <c r="T11" i="1"/>
  <c r="U11" i="1"/>
  <c r="T14" i="1"/>
  <c r="U14" i="1"/>
  <c r="U19" i="1"/>
  <c r="T24" i="1"/>
  <c r="U24" i="1"/>
  <c r="T25" i="1"/>
  <c r="T26" i="1"/>
  <c r="U26" i="1"/>
  <c r="T27" i="1"/>
  <c r="U27" i="1"/>
  <c r="U28" i="1"/>
  <c r="U29" i="1"/>
  <c r="U33" i="1"/>
  <c r="T36" i="1"/>
  <c r="U36" i="1"/>
  <c r="T37" i="1"/>
  <c r="U37" i="1"/>
  <c r="T40" i="1"/>
  <c r="U40" i="1"/>
  <c r="T41" i="1"/>
  <c r="U41" i="1"/>
  <c r="T42" i="1"/>
  <c r="U42" i="1"/>
  <c r="S7" i="1"/>
  <c r="S8" i="1"/>
  <c r="S9" i="1"/>
  <c r="S11" i="1"/>
  <c r="S14" i="1"/>
  <c r="S24" i="1"/>
  <c r="S25" i="1"/>
  <c r="S26" i="1"/>
  <c r="S27" i="1"/>
  <c r="S29" i="1"/>
  <c r="S33" i="1"/>
  <c r="S40" i="1"/>
  <c r="S41" i="1"/>
  <c r="S42" i="1"/>
  <c r="S6" i="1"/>
  <c r="O6" i="1"/>
  <c r="P6" i="1"/>
  <c r="O7" i="1"/>
  <c r="P7" i="1"/>
  <c r="O8" i="1"/>
  <c r="P8" i="1"/>
  <c r="O9" i="1"/>
  <c r="O11" i="1"/>
  <c r="P11" i="1"/>
  <c r="O14" i="1"/>
  <c r="P14" i="1"/>
  <c r="O19" i="1"/>
  <c r="P19" i="1"/>
  <c r="O24" i="1"/>
  <c r="P24" i="1"/>
  <c r="O25" i="1"/>
  <c r="O26" i="1"/>
  <c r="P26" i="1"/>
  <c r="O27" i="1"/>
  <c r="P27" i="1"/>
  <c r="O28" i="1"/>
  <c r="P28" i="1"/>
  <c r="O29" i="1"/>
  <c r="P29" i="1"/>
  <c r="O33" i="1"/>
  <c r="P33" i="1"/>
  <c r="O36" i="1"/>
  <c r="P36" i="1"/>
  <c r="O37" i="1"/>
  <c r="P37" i="1"/>
  <c r="O40" i="1"/>
  <c r="P40" i="1"/>
  <c r="O41" i="1"/>
  <c r="P41" i="1"/>
  <c r="O42" i="1"/>
  <c r="P42" i="1"/>
  <c r="N7" i="1"/>
  <c r="N8" i="1"/>
  <c r="N9" i="1"/>
  <c r="N11" i="1"/>
  <c r="N14" i="1"/>
  <c r="N19" i="1"/>
  <c r="N24" i="1"/>
  <c r="N25" i="1"/>
  <c r="N26" i="1"/>
  <c r="N27" i="1"/>
  <c r="N29" i="1"/>
  <c r="N33" i="1"/>
  <c r="N36" i="1"/>
  <c r="N37" i="1"/>
  <c r="N40" i="1"/>
  <c r="N41" i="1"/>
  <c r="N42" i="1"/>
  <c r="N6" i="1"/>
  <c r="E50" i="1"/>
  <c r="D50" i="1"/>
  <c r="D56" i="1" s="1"/>
  <c r="C50" i="1"/>
  <c r="C56" i="1" s="1"/>
  <c r="C64" i="1" s="1"/>
  <c r="AA65" i="1" s="1"/>
  <c r="B50" i="1"/>
  <c r="Z71" i="1" s="1"/>
  <c r="E43" i="1"/>
  <c r="Q43" i="1" s="1"/>
  <c r="D43" i="1"/>
  <c r="C43" i="1"/>
  <c r="B43" i="1"/>
  <c r="E38" i="1"/>
  <c r="Q38" i="1" s="1"/>
  <c r="D38" i="1"/>
  <c r="C38" i="1"/>
  <c r="B38" i="1"/>
  <c r="E30" i="1"/>
  <c r="Q30" i="1" s="1"/>
  <c r="D30" i="1"/>
  <c r="AB53" i="1" s="1"/>
  <c r="C30" i="1"/>
  <c r="AA53" i="1" s="1"/>
  <c r="B30" i="1"/>
  <c r="E22" i="1"/>
  <c r="Q22" i="1" s="1"/>
  <c r="D22" i="1"/>
  <c r="C22" i="1"/>
  <c r="B22" i="1"/>
  <c r="AC66" i="1"/>
  <c r="AB66" i="1"/>
  <c r="AA66" i="1"/>
  <c r="Z66" i="1"/>
  <c r="AC60" i="1"/>
  <c r="AB60" i="1"/>
  <c r="AA60" i="1"/>
  <c r="AB63" i="1" s="1"/>
  <c r="Z60" i="1"/>
  <c r="E12" i="1"/>
  <c r="Q12" i="1" s="1"/>
  <c r="D12" i="1"/>
  <c r="C12" i="1"/>
  <c r="B12" i="1"/>
  <c r="AC55" i="1"/>
  <c r="AB55" i="1"/>
  <c r="AA55" i="1"/>
  <c r="Z55" i="1"/>
  <c r="L44" i="1" l="1"/>
  <c r="E56" i="1"/>
  <c r="Q56" i="1" s="1"/>
  <c r="Q50" i="1"/>
  <c r="AC63" i="1"/>
  <c r="AC30" i="1"/>
  <c r="AC32" i="1" s="1"/>
  <c r="AC33" i="1" s="1"/>
  <c r="AB37" i="1" s="1"/>
  <c r="AC40" i="1"/>
  <c r="AC11" i="1"/>
  <c r="AC12" i="1" s="1"/>
  <c r="AB11" i="1"/>
  <c r="AB12" i="1" s="1"/>
  <c r="P38" i="1"/>
  <c r="AA11" i="1"/>
  <c r="AA12" i="1" s="1"/>
  <c r="AB30" i="1"/>
  <c r="AB32" i="1" s="1"/>
  <c r="AB33" i="1" s="1"/>
  <c r="AA37" i="1" s="1"/>
  <c r="AA30" i="1"/>
  <c r="AA32" i="1" s="1"/>
  <c r="AA33" i="1" s="1"/>
  <c r="Z37" i="1" s="1"/>
  <c r="Z40" i="1"/>
  <c r="AA40" i="1"/>
  <c r="AB40" i="1"/>
  <c r="S22" i="1"/>
  <c r="S43" i="1"/>
  <c r="O12" i="1"/>
  <c r="O22" i="1"/>
  <c r="T43" i="1"/>
  <c r="P30" i="1"/>
  <c r="O38" i="1"/>
  <c r="H50" i="1"/>
  <c r="E64" i="1"/>
  <c r="Q64" i="1" s="1"/>
  <c r="K56" i="1"/>
  <c r="P22" i="1"/>
  <c r="U43" i="1"/>
  <c r="O43" i="1"/>
  <c r="I64" i="1"/>
  <c r="AA73" i="1" s="1"/>
  <c r="P43" i="1"/>
  <c r="U22" i="1"/>
  <c r="N22" i="1"/>
  <c r="T22" i="1"/>
  <c r="P50" i="1"/>
  <c r="U50" i="1"/>
  <c r="I56" i="1"/>
  <c r="K50" i="1"/>
  <c r="T30" i="1"/>
  <c r="S38" i="1"/>
  <c r="S12" i="1"/>
  <c r="O50" i="1"/>
  <c r="T50" i="1"/>
  <c r="J50" i="1"/>
  <c r="P12" i="1"/>
  <c r="D64" i="1"/>
  <c r="AB65" i="1" s="1"/>
  <c r="I50" i="1"/>
  <c r="J56" i="1"/>
  <c r="N12" i="1"/>
  <c r="O30" i="1"/>
  <c r="N50" i="1"/>
  <c r="N43" i="1"/>
  <c r="S30" i="1"/>
  <c r="U38" i="1"/>
  <c r="U12" i="1"/>
  <c r="O56" i="1"/>
  <c r="S50" i="1"/>
  <c r="U30" i="1"/>
  <c r="T12" i="1"/>
  <c r="T56" i="1"/>
  <c r="T38" i="1"/>
  <c r="N38" i="1"/>
  <c r="N30" i="1"/>
  <c r="B23" i="1"/>
  <c r="D23" i="1"/>
  <c r="E39" i="1"/>
  <c r="Q39" i="1" s="1"/>
  <c r="B39" i="1"/>
  <c r="C23" i="1"/>
  <c r="AC52" i="1"/>
  <c r="AC71" i="1"/>
  <c r="AA64" i="1"/>
  <c r="AC53" i="1"/>
  <c r="AA71" i="1"/>
  <c r="B56" i="1"/>
  <c r="N56" i="1" s="1"/>
  <c r="AB71" i="1"/>
  <c r="C39" i="1"/>
  <c r="D39" i="1"/>
  <c r="AA52" i="1"/>
  <c r="E23" i="1"/>
  <c r="AC54" i="1"/>
  <c r="C59" i="1"/>
  <c r="D59" i="1"/>
  <c r="AB52" i="1"/>
  <c r="Z54" i="1"/>
  <c r="AB54" i="1"/>
  <c r="AA54" i="1"/>
  <c r="AB64" i="1"/>
  <c r="Z52" i="1"/>
  <c r="Z53" i="1"/>
  <c r="P56" i="1" l="1"/>
  <c r="E59" i="1"/>
  <c r="Q59" i="1" s="1"/>
  <c r="AC64" i="1"/>
  <c r="U56" i="1"/>
  <c r="K38" i="1"/>
  <c r="Q23" i="1"/>
  <c r="AC41" i="1"/>
  <c r="AC42" i="1" s="1"/>
  <c r="AB62" i="1"/>
  <c r="AB84" i="1" s="1"/>
  <c r="AA84" i="1"/>
  <c r="AC62" i="1"/>
  <c r="AC84" i="1" s="1"/>
  <c r="K64" i="1"/>
  <c r="AC73" i="1" s="1"/>
  <c r="AC65" i="1"/>
  <c r="H39" i="1"/>
  <c r="AB5" i="1"/>
  <c r="AB6" i="1" s="1"/>
  <c r="AC83" i="1" s="1"/>
  <c r="H30" i="1"/>
  <c r="Z5" i="1"/>
  <c r="Z6" i="1" s="1"/>
  <c r="AA83" i="1" s="1"/>
  <c r="AB41" i="1"/>
  <c r="AB42" i="1" s="1"/>
  <c r="AA41" i="1"/>
  <c r="AA42" i="1" s="1"/>
  <c r="I43" i="1"/>
  <c r="AA5" i="1"/>
  <c r="AA6" i="1" s="1"/>
  <c r="AB83" i="1" s="1"/>
  <c r="P64" i="1"/>
  <c r="I38" i="1"/>
  <c r="U64" i="1"/>
  <c r="I12" i="1"/>
  <c r="K36" i="1"/>
  <c r="K6" i="1"/>
  <c r="K28" i="1"/>
  <c r="K23" i="1"/>
  <c r="K41" i="1"/>
  <c r="K22" i="1"/>
  <c r="K37" i="1"/>
  <c r="K7" i="1"/>
  <c r="K24" i="1"/>
  <c r="K29" i="1"/>
  <c r="K42" i="1"/>
  <c r="P23" i="1"/>
  <c r="K14" i="1"/>
  <c r="K8" i="1"/>
  <c r="K19" i="1"/>
  <c r="K26" i="1"/>
  <c r="K33" i="1"/>
  <c r="K40" i="1"/>
  <c r="U23" i="1"/>
  <c r="K11" i="1"/>
  <c r="K27" i="1"/>
  <c r="K43" i="1"/>
  <c r="J6" i="1"/>
  <c r="J23" i="1"/>
  <c r="J28" i="1"/>
  <c r="J41" i="1"/>
  <c r="J27" i="1"/>
  <c r="J37" i="1"/>
  <c r="J29" i="1"/>
  <c r="J42" i="1"/>
  <c r="J7" i="1"/>
  <c r="J24" i="1"/>
  <c r="O23" i="1"/>
  <c r="J14" i="1"/>
  <c r="T23" i="1"/>
  <c r="J22" i="1"/>
  <c r="J8" i="1"/>
  <c r="J19" i="1"/>
  <c r="J11" i="1"/>
  <c r="J26" i="1"/>
  <c r="J40" i="1"/>
  <c r="J33" i="1"/>
  <c r="J36" i="1"/>
  <c r="J12" i="1"/>
  <c r="K30" i="1"/>
  <c r="H9" i="1"/>
  <c r="H33" i="1"/>
  <c r="H11" i="1"/>
  <c r="H40" i="1"/>
  <c r="H29" i="1"/>
  <c r="H14" i="1"/>
  <c r="H7" i="1"/>
  <c r="H41" i="1"/>
  <c r="H23" i="1"/>
  <c r="H42" i="1"/>
  <c r="H27" i="1"/>
  <c r="H24" i="1"/>
  <c r="H25" i="1"/>
  <c r="H26" i="1"/>
  <c r="H6" i="1"/>
  <c r="H8" i="1"/>
  <c r="H38" i="1"/>
  <c r="H12" i="1"/>
  <c r="J43" i="1"/>
  <c r="H22" i="1"/>
  <c r="K12" i="1"/>
  <c r="E61" i="1"/>
  <c r="U59" i="1"/>
  <c r="K59" i="1"/>
  <c r="P59" i="1"/>
  <c r="T64" i="1"/>
  <c r="J64" i="1"/>
  <c r="AB73" i="1" s="1"/>
  <c r="O64" i="1"/>
  <c r="S56" i="1"/>
  <c r="H56" i="1"/>
  <c r="B64" i="1"/>
  <c r="Z65" i="1" s="1"/>
  <c r="D61" i="1"/>
  <c r="AB77" i="1" s="1"/>
  <c r="O59" i="1"/>
  <c r="J59" i="1"/>
  <c r="T59" i="1"/>
  <c r="P39" i="1"/>
  <c r="U39" i="1"/>
  <c r="K39" i="1"/>
  <c r="J39" i="1"/>
  <c r="J30" i="1"/>
  <c r="C61" i="1"/>
  <c r="AA77" i="1" s="1"/>
  <c r="I59" i="1"/>
  <c r="H43" i="1"/>
  <c r="Z61" i="1"/>
  <c r="I7" i="1"/>
  <c r="I24" i="1"/>
  <c r="I29" i="1"/>
  <c r="I42" i="1"/>
  <c r="I14" i="1"/>
  <c r="I8" i="1"/>
  <c r="I25" i="1"/>
  <c r="I26" i="1"/>
  <c r="I11" i="1"/>
  <c r="S23" i="1"/>
  <c r="N23" i="1"/>
  <c r="I27" i="1"/>
  <c r="I36" i="1"/>
  <c r="I9" i="1"/>
  <c r="I40" i="1"/>
  <c r="I6" i="1"/>
  <c r="I23" i="1"/>
  <c r="I41" i="1"/>
  <c r="I37" i="1"/>
  <c r="I30" i="1"/>
  <c r="I22" i="1"/>
  <c r="J38" i="1"/>
  <c r="I39" i="1"/>
  <c r="S39" i="1"/>
  <c r="T39" i="1"/>
  <c r="N39" i="1"/>
  <c r="O39" i="1"/>
  <c r="AB61" i="1"/>
  <c r="AC61" i="1"/>
  <c r="E44" i="1"/>
  <c r="Q44" i="1" s="1"/>
  <c r="C44" i="1"/>
  <c r="B44" i="1"/>
  <c r="H44" i="1" s="1"/>
  <c r="AB59" i="1"/>
  <c r="AC76" i="1"/>
  <c r="Z59" i="1"/>
  <c r="AC59" i="1"/>
  <c r="AA61" i="1"/>
  <c r="AA59" i="1"/>
  <c r="AB76" i="1"/>
  <c r="AA76" i="1"/>
  <c r="Z64" i="1"/>
  <c r="D44" i="1"/>
  <c r="J44" i="1" s="1"/>
  <c r="B59" i="1"/>
  <c r="S59" i="1" s="1"/>
  <c r="AC74" i="1" l="1"/>
  <c r="AC82" i="1" s="1"/>
  <c r="Q61" i="1"/>
  <c r="AC85" i="1"/>
  <c r="AA78" i="1"/>
  <c r="AA74" i="1"/>
  <c r="AA82" i="1" s="1"/>
  <c r="AA85" i="1" s="1"/>
  <c r="AB78" i="1"/>
  <c r="AC77" i="1"/>
  <c r="AC78" i="1"/>
  <c r="P44" i="1"/>
  <c r="U44" i="1"/>
  <c r="K44" i="1"/>
  <c r="B61" i="1"/>
  <c r="S61" i="1" s="1"/>
  <c r="H59" i="1"/>
  <c r="K61" i="1"/>
  <c r="U61" i="1"/>
  <c r="P61" i="1"/>
  <c r="J61" i="1"/>
  <c r="O61" i="1"/>
  <c r="T61" i="1"/>
  <c r="N59" i="1"/>
  <c r="H64" i="1"/>
  <c r="Z73" i="1" s="1"/>
  <c r="S64" i="1"/>
  <c r="N64" i="1"/>
  <c r="AB74" i="1"/>
  <c r="AB82" i="1" s="1"/>
  <c r="AB85" i="1" s="1"/>
  <c r="I61" i="1"/>
  <c r="S44" i="1"/>
  <c r="O44" i="1"/>
  <c r="N44" i="1"/>
  <c r="T44" i="1"/>
  <c r="I44" i="1"/>
  <c r="AA86" i="1" l="1"/>
  <c r="N61" i="1"/>
  <c r="AC86" i="1"/>
  <c r="AB86" i="1"/>
  <c r="Z74" i="1"/>
  <c r="H61" i="1"/>
</calcChain>
</file>

<file path=xl/sharedStrings.xml><?xml version="1.0" encoding="utf-8"?>
<sst xmlns="http://schemas.openxmlformats.org/spreadsheetml/2006/main" count="133" uniqueCount="116">
  <si>
    <t>H&amp;M HENNES &amp; MAURITZ COLOMBIA S.A.S</t>
  </si>
  <si>
    <t>G4771 - Comercio al por menor de prendas de vestir y sus accesorios (incluye artículos de piel) en establecimientos especializados</t>
  </si>
  <si>
    <t>Cifras en miles de pesos</t>
  </si>
  <si>
    <t>Indicadores de Liquidez</t>
  </si>
  <si>
    <t>Efectivo y equivalentes al efectivo</t>
  </si>
  <si>
    <t>Razón corriente</t>
  </si>
  <si>
    <t>Cuentas comerciales por cobrar y otras cuentas por cobrar corrientes</t>
  </si>
  <si>
    <t>Prueba Ácida</t>
  </si>
  <si>
    <t>Inventarios corrientes</t>
  </si>
  <si>
    <t>Capital de trabajo</t>
  </si>
  <si>
    <t>Activos por impuestos corrientes, corriente</t>
  </si>
  <si>
    <t>Liquidez (personalizado)</t>
  </si>
  <si>
    <t>Otros activos financieros corrientes</t>
  </si>
  <si>
    <t>Otros activos no financieros corrientes</t>
  </si>
  <si>
    <t>Indicadores de Endeudamiento</t>
  </si>
  <si>
    <t>Activos corrientes totales</t>
  </si>
  <si>
    <t>Propiedad de inversión</t>
  </si>
  <si>
    <t>Nivel endeudamiento</t>
  </si>
  <si>
    <t>Propiedades, planta y equipo</t>
  </si>
  <si>
    <t>Total Deuda</t>
  </si>
  <si>
    <t>Plusvalía</t>
  </si>
  <si>
    <t>Nivel endeudamiento*</t>
  </si>
  <si>
    <t>Activos intangibles distintos de la plusvalía</t>
  </si>
  <si>
    <t>Cuentas comerciales por cobrar y otras cuentas por cobrar no corrientes</t>
  </si>
  <si>
    <t>Inventarios no corrientes</t>
  </si>
  <si>
    <t>Activos por impuestos diferidos</t>
  </si>
  <si>
    <t>Cobertura de intereses</t>
  </si>
  <si>
    <t>Otros activos financieros no corrientes</t>
  </si>
  <si>
    <t>Impacto carga financiera</t>
  </si>
  <si>
    <t>Otros activos no financieros no corrientes</t>
  </si>
  <si>
    <t>*con Total Deuda</t>
  </si>
  <si>
    <t>Total de activos no corrientes</t>
  </si>
  <si>
    <t>Total de activos</t>
  </si>
  <si>
    <t>Indicadores de Rentabilidad</t>
  </si>
  <si>
    <t>Provisiones corrientes por beneficios a los empleados</t>
  </si>
  <si>
    <t>Otras provisiones corrientes</t>
  </si>
  <si>
    <t>Margen Bruto</t>
  </si>
  <si>
    <t>Cuentas por pagar comerciales y otras cuentas por pagar</t>
  </si>
  <si>
    <t>Margen Operacional</t>
  </si>
  <si>
    <t>Pasivos por impuestos corrientes, corriente</t>
  </si>
  <si>
    <t>EBITDA</t>
  </si>
  <si>
    <t>Otros pasivos financieros corrientes</t>
  </si>
  <si>
    <t>Margen EBITDA</t>
  </si>
  <si>
    <t>Otros pasivos no financieros corrientes</t>
  </si>
  <si>
    <t>Margen Neto</t>
  </si>
  <si>
    <t>Pasivos corrientes totales</t>
  </si>
  <si>
    <t>Provisiones no corrientes por beneficios a los empleados</t>
  </si>
  <si>
    <t>ROA Operacional</t>
  </si>
  <si>
    <t>Otras provisiones no corrientes</t>
  </si>
  <si>
    <t>ROA</t>
  </si>
  <si>
    <t>Cuentas comerciales por pagar y otras cuentas por pagar no corrientes</t>
  </si>
  <si>
    <t>ROE</t>
  </si>
  <si>
    <t>Pasivo por impuestos diferidos</t>
  </si>
  <si>
    <t>Pasivos por impuestos corrientes, no corriente</t>
  </si>
  <si>
    <t>DuPont</t>
  </si>
  <si>
    <t>Otros pasivos financieros no corrientes</t>
  </si>
  <si>
    <t>Otros pasivos no financieros no corrientes</t>
  </si>
  <si>
    <t>Total de pasivos no corrientes</t>
  </si>
  <si>
    <t>Rotación de Activos</t>
  </si>
  <si>
    <t>Total pasivos</t>
  </si>
  <si>
    <t>Apalancamiento financiero</t>
  </si>
  <si>
    <t>Capital emitido</t>
  </si>
  <si>
    <t>Prima de emisión</t>
  </si>
  <si>
    <t>Ganancias acumuladas</t>
  </si>
  <si>
    <t>Patrimonio total</t>
  </si>
  <si>
    <t>Total de patrimonio y pasivos</t>
  </si>
  <si>
    <t>Ingresos de actividades ordinarias</t>
  </si>
  <si>
    <t>Costo de ventas</t>
  </si>
  <si>
    <t>Ganancia bruta</t>
  </si>
  <si>
    <t>Otros ingresos</t>
  </si>
  <si>
    <t>Gastos de ventas</t>
  </si>
  <si>
    <t>Gastos de administración</t>
  </si>
  <si>
    <t>Otros gastos</t>
  </si>
  <si>
    <t>Otras ganancias (pérdidas)</t>
  </si>
  <si>
    <t>Ganancia (pérdida) por actividades de operación</t>
  </si>
  <si>
    <t>Ingresos financieros</t>
  </si>
  <si>
    <t>Costos financieros</t>
  </si>
  <si>
    <t>Ganancia (pérdida), antes de impuestos</t>
  </si>
  <si>
    <t>Ingreso (gasto) por impuestos</t>
  </si>
  <si>
    <t>Ganancia (pérdida)</t>
  </si>
  <si>
    <t>Depreciación y Amortización</t>
  </si>
  <si>
    <t>Análisis vertical</t>
  </si>
  <si>
    <t>Análisis horizontal [$]</t>
  </si>
  <si>
    <t>Análisis horizontal [%]</t>
  </si>
  <si>
    <t>Prom. Activos</t>
  </si>
  <si>
    <t>Rotación Activos</t>
  </si>
  <si>
    <t>Prom. Rotación Activos</t>
  </si>
  <si>
    <t>Activos Fijos (AF)</t>
  </si>
  <si>
    <t>Prom. AF</t>
  </si>
  <si>
    <t>Rotación AF</t>
  </si>
  <si>
    <t>Prom. Rotación AF</t>
  </si>
  <si>
    <t>Prom. Inventarios</t>
  </si>
  <si>
    <t>Rotación Inventarios</t>
  </si>
  <si>
    <t>veces</t>
  </si>
  <si>
    <t>Días de Inventario</t>
  </si>
  <si>
    <t>días</t>
  </si>
  <si>
    <t>Promedio días Inventario</t>
  </si>
  <si>
    <t>Prom. CxC</t>
  </si>
  <si>
    <t>Rotación CxC</t>
  </si>
  <si>
    <t>Días de CxC</t>
  </si>
  <si>
    <t>Promedio días CxC</t>
  </si>
  <si>
    <t>Inventario</t>
  </si>
  <si>
    <t>Compras</t>
  </si>
  <si>
    <t>Prom. CxP</t>
  </si>
  <si>
    <t>Rotación CxP</t>
  </si>
  <si>
    <t>Días de CxP</t>
  </si>
  <si>
    <t>Promedio rotación CxP</t>
  </si>
  <si>
    <t>Ciclo de efectivo</t>
  </si>
  <si>
    <t>KTNO (AC – PC)</t>
  </si>
  <si>
    <t>Prom. KTNO</t>
  </si>
  <si>
    <t>Rotación KTNO</t>
  </si>
  <si>
    <t>KTNO</t>
  </si>
  <si>
    <t>Apalancamiento financiero*</t>
  </si>
  <si>
    <t>**con EBITDA</t>
  </si>
  <si>
    <t>Cobertura de intereses**</t>
  </si>
  <si>
    <t>Multiplicador de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</si>
</sst>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8" formatCode="&quot;$&quot;\ #,##0.00;[Red]\-&quot;$&quot;\ #,##0.00"/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0.0000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12"/>
      <name val="Franklin Gothic Book"/>
      <family val="2"/>
    </font>
    <font>
      <sz val="12"/>
      <name val="Franklin Gothic Book"/>
      <family val="2"/>
    </font>
    <font>
      <sz val="12"/>
      <color theme="9" tint="-0.499984740745262"/>
      <name val="Franklin Gothic Book"/>
      <family val="2"/>
    </font>
    <font>
      <b/>
      <sz val="12"/>
      <color theme="1"/>
      <name val="Franklin Gothic Book"/>
      <family val="2"/>
    </font>
    <font>
      <sz val="10"/>
      <name val="Franklin Gothic Book"/>
      <family val="2"/>
    </font>
    <font>
      <sz val="12"/>
      <color theme="1"/>
      <name val="Calibri"/>
      <family val="2"/>
      <scheme val="minor"/>
    </font>
    <font>
      <b/>
      <sz val="12"/>
      <color rgb="FF14085C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7">
    <xf numFmtId="0" fontId="0" fillId="0" borderId="0" xfId="0"/>
    <xf numFmtId="165" fontId="3" fillId="0" borderId="0" xfId="2" applyNumberFormat="1" applyFont="1" applyBorder="1" applyAlignment="1">
      <alignment vertical="center"/>
    </xf>
    <xf numFmtId="165" fontId="4" fillId="0" borderId="0" xfId="2" applyNumberFormat="1" applyFont="1" applyBorder="1" applyAlignment="1">
      <alignment vertical="center"/>
    </xf>
    <xf numFmtId="49" fontId="3" fillId="0" borderId="1" xfId="2" applyNumberFormat="1" applyFont="1" applyBorder="1" applyAlignment="1">
      <alignment horizontal="center" vertical="center"/>
    </xf>
    <xf numFmtId="6" fontId="5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4" fillId="0" borderId="0" xfId="2" applyNumberFormat="1" applyFont="1" applyFill="1" applyBorder="1" applyAlignment="1">
      <alignment vertical="center"/>
    </xf>
    <xf numFmtId="6" fontId="6" fillId="0" borderId="2" xfId="0" applyNumberFormat="1" applyFont="1" applyBorder="1" applyAlignment="1">
      <alignment horizontal="center" vertical="center"/>
    </xf>
    <xf numFmtId="9" fontId="5" fillId="2" borderId="1" xfId="1" applyFont="1" applyFill="1" applyBorder="1" applyAlignment="1">
      <alignment horizontal="center" vertical="center"/>
    </xf>
    <xf numFmtId="165" fontId="7" fillId="0" borderId="0" xfId="2" applyNumberFormat="1" applyFont="1" applyFill="1" applyBorder="1" applyAlignment="1">
      <alignment vertical="center"/>
    </xf>
    <xf numFmtId="6" fontId="0" fillId="0" borderId="0" xfId="0" applyNumberFormat="1"/>
    <xf numFmtId="9" fontId="6" fillId="0" borderId="2" xfId="1" applyFont="1" applyBorder="1" applyAlignment="1">
      <alignment horizontal="center" vertical="center"/>
    </xf>
    <xf numFmtId="49" fontId="3" fillId="0" borderId="0" xfId="2" applyNumberFormat="1" applyFont="1" applyBorder="1" applyAlignment="1">
      <alignment horizontal="center" vertical="center"/>
    </xf>
    <xf numFmtId="165" fontId="3" fillId="0" borderId="0" xfId="2" applyNumberFormat="1" applyFont="1" applyBorder="1" applyAlignment="1">
      <alignment horizontal="center" vertical="center"/>
    </xf>
    <xf numFmtId="0" fontId="8" fillId="0" borderId="0" xfId="0" applyFont="1"/>
    <xf numFmtId="6" fontId="5" fillId="2" borderId="0" xfId="0" applyNumberFormat="1" applyFont="1" applyFill="1" applyAlignment="1">
      <alignment horizontal="center" vertical="center"/>
    </xf>
    <xf numFmtId="165" fontId="9" fillId="0" borderId="0" xfId="2" applyNumberFormat="1" applyFont="1" applyBorder="1" applyAlignment="1">
      <alignment vertical="center"/>
    </xf>
    <xf numFmtId="166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left" vertical="center"/>
    </xf>
    <xf numFmtId="8" fontId="0" fillId="0" borderId="0" xfId="0" applyNumberFormat="1"/>
    <xf numFmtId="166" fontId="5" fillId="2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5" fontId="3" fillId="0" borderId="0" xfId="2" applyNumberFormat="1" applyFont="1" applyBorder="1" applyAlignment="1">
      <alignment horizontal="center" vertical="center"/>
    </xf>
    <xf numFmtId="165" fontId="4" fillId="0" borderId="0" xfId="2" applyNumberFormat="1" applyFont="1" applyFill="1" applyBorder="1" applyAlignment="1">
      <alignment horizontal="left" vertical="center"/>
    </xf>
    <xf numFmtId="165" fontId="4" fillId="0" borderId="3" xfId="2" applyNumberFormat="1" applyFont="1" applyFill="1" applyBorder="1" applyAlignment="1">
      <alignment horizontal="left" vertical="center"/>
    </xf>
    <xf numFmtId="165" fontId="9" fillId="0" borderId="0" xfId="2" applyNumberFormat="1" applyFont="1" applyBorder="1" applyAlignment="1">
      <alignment horizontal="center" vertical="center"/>
    </xf>
  </cellXfs>
  <cellStyles count="3">
    <cellStyle name="Comma 28" xfId="2" xr:uid="{C047A1F8-4E0E-4162-A0BB-B6B98A232EDB}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B29DED"/>
      <color rgb="FF8767E3"/>
      <color rgb="FF81C99E"/>
      <color rgb="FF71BED9"/>
      <color rgb="FF709BDA"/>
      <color rgb="FF1408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Activos corrientes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'H&amp;M'!$A$6</c:f>
              <c:strCache>
                <c:ptCount val="1"/>
                <c:pt idx="0">
                  <c:v> Efectivo y equivalentes al efectivo 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'H&amp;M'!$B$5:$G$5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'H&amp;M'!$B$6:$G$6</c:f>
              <c:numCache>
                <c:formatCode>"$"#,##0_);[Red]\("$"#,##0\)</c:formatCode>
                <c:ptCount val="6"/>
                <c:pt idx="0">
                  <c:v>61719652</c:v>
                </c:pt>
                <c:pt idx="1">
                  <c:v>75907248</c:v>
                </c:pt>
                <c:pt idx="2">
                  <c:v>43692134</c:v>
                </c:pt>
                <c:pt idx="3">
                  <c:v>92566164</c:v>
                </c:pt>
                <c:pt idx="4">
                  <c:v>87939213</c:v>
                </c:pt>
                <c:pt idx="5">
                  <c:v>136074502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8-47D9-8859-0BB15C7EBBDF}"/>
            </c:ext>
          </c:extLst>
        </c:ser>
        <c:ser>
          <c:idx val="1"/>
          <c:order val="1"/>
          <c:tx>
            <c:strRef>
              <c:f>'H&amp;M'!$A$7</c:f>
              <c:strCache>
                <c:ptCount val="1"/>
                <c:pt idx="0">
                  <c:v> Cuentas comerciales por cobrar y otras cuentas por cobrar corrientes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'H&amp;M'!$B$5:$G$5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'H&amp;M'!$B$7:$G$7</c:f>
              <c:numCache>
                <c:formatCode>"$"#,##0_);[Red]\("$"#,##0\)</c:formatCode>
                <c:ptCount val="6"/>
                <c:pt idx="0">
                  <c:v>16010669</c:v>
                </c:pt>
                <c:pt idx="1">
                  <c:v>17048669</c:v>
                </c:pt>
                <c:pt idx="2">
                  <c:v>4264339</c:v>
                </c:pt>
                <c:pt idx="3">
                  <c:v>5860535</c:v>
                </c:pt>
                <c:pt idx="4">
                  <c:v>3672408</c:v>
                </c:pt>
                <c:pt idx="5">
                  <c:v>7466405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8-47D9-8859-0BB15C7EBBDF}"/>
            </c:ext>
          </c:extLst>
        </c:ser>
        <c:ser>
          <c:idx val="2"/>
          <c:order val="2"/>
          <c:tx>
            <c:strRef>
              <c:f>'H&amp;M'!$A$8</c:f>
              <c:strCache>
                <c:ptCount val="1"/>
                <c:pt idx="0">
                  <c:v> Inventarios corrientes 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'H&amp;M'!$B$5:$G$5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'H&amp;M'!$B$8:$G$8</c:f>
              <c:numCache>
                <c:formatCode>"$"#,##0_);[Red]\("$"#,##0\)</c:formatCode>
                <c:ptCount val="6"/>
                <c:pt idx="0">
                  <c:v>41791255</c:v>
                </c:pt>
                <c:pt idx="1">
                  <c:v>28159599</c:v>
                </c:pt>
                <c:pt idx="2">
                  <c:v>41724993</c:v>
                </c:pt>
                <c:pt idx="3">
                  <c:v>74369335</c:v>
                </c:pt>
                <c:pt idx="4">
                  <c:v>104557272</c:v>
                </c:pt>
                <c:pt idx="5">
                  <c:v>152628918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8-47D9-8859-0BB15C7EBBDF}"/>
            </c:ext>
          </c:extLst>
        </c:ser>
        <c:ser>
          <c:idx val="3"/>
          <c:order val="3"/>
          <c:tx>
            <c:strRef>
              <c:f>'H&amp;M'!$A$9</c:f>
              <c:strCache>
                <c:ptCount val="1"/>
                <c:pt idx="0">
                  <c:v> Activos por impuestos corrientes, corriente 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'H&amp;M'!$B$5:$G$5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'H&amp;M'!$B$9:$G$9</c:f>
              <c:numCache>
                <c:formatCode>"$"#,##0_);[Red]\("$"#,##0\)</c:formatCode>
                <c:ptCount val="6"/>
                <c:pt idx="0">
                  <c:v>1485552</c:v>
                </c:pt>
                <c:pt idx="1">
                  <c:v>236088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8-47D9-8859-0BB15C7EBBDF}"/>
            </c:ext>
          </c:extLst>
        </c:ser>
        <c:ser>
          <c:idx val="4"/>
          <c:order val="4"/>
          <c:tx>
            <c:strRef>
              <c:f>'H&amp;M'!$A$10</c:f>
              <c:strCache>
                <c:ptCount val="1"/>
                <c:pt idx="0">
                  <c:v> Otros activos financieros corrientes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'H&amp;M'!$B$5:$G$5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'H&amp;M'!$B$10:$G$10</c:f>
              <c:numCache>
                <c:formatCode>"$"#,##0_);[Red]\("$"#,##0\)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18-47D9-8859-0BB15C7EBBDF}"/>
            </c:ext>
          </c:extLst>
        </c:ser>
        <c:ser>
          <c:idx val="5"/>
          <c:order val="5"/>
          <c:tx>
            <c:strRef>
              <c:f>'H&amp;M'!$A$11</c:f>
              <c:strCache>
                <c:ptCount val="1"/>
                <c:pt idx="0">
                  <c:v> Otros activos no financieros corrientes </c:v>
                </c:pt>
              </c:strCache>
            </c:strRef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'H&amp;M'!$B$5:$G$5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'H&amp;M'!$B$11:$G$11</c:f>
              <c:numCache>
                <c:formatCode>"$"#,##0_);[Red]\("$"#,##0\)</c:formatCode>
                <c:ptCount val="6"/>
                <c:pt idx="0">
                  <c:v>2669096</c:v>
                </c:pt>
                <c:pt idx="1">
                  <c:v>61487</c:v>
                </c:pt>
                <c:pt idx="2">
                  <c:v>62370</c:v>
                </c:pt>
                <c:pt idx="3">
                  <c:v>26676</c:v>
                </c:pt>
                <c:pt idx="4">
                  <c:v>70772</c:v>
                </c:pt>
                <c:pt idx="5">
                  <c:v>277184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18-47D9-8859-0BB15C7E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51535"/>
        <c:axId val="1924039887"/>
      </c:scatterChart>
      <c:valAx>
        <c:axId val="1924051535"/>
        <c:scaling>
          <c:orientation val="minMax"/>
          <c:max val="2022"/>
          <c:min val="2017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crossBetween val="midCat"/>
        <c:majorUnit val="1"/>
      </c:valAx>
      <c:valAx>
        <c:axId val="1924039887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96519794223436"/>
          <c:y val="0.76018860239467889"/>
          <c:w val="0.8000587363676066"/>
          <c:h val="0.22548292057629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Indicadores de Rentabilidad (ROA y ROE)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879112604497702"/>
          <c:y val="8.1875239278279915E-2"/>
          <c:w val="0.80837082768252944"/>
          <c:h val="0.76906691614043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'H&amp;M'!$Y$76</c:f>
              <c:strCache>
                <c:ptCount val="1"/>
                <c:pt idx="0">
                  <c:v> ROA Operacional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'H&amp;M'!$AA$70:$AE$70</c:f>
              <c:numCache>
                <c:formatCode>@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'H&amp;M'!$AA$76:$AE$76</c:f>
              <c:numCache>
                <c:formatCode>0%</c:formatCode>
                <c:ptCount val="5"/>
                <c:pt idx="0">
                  <c:v>3.904832623309272E-2</c:v>
                </c:pt>
                <c:pt idx="1">
                  <c:v>0.10806667406641401</c:v>
                </c:pt>
                <c:pt idx="2">
                  <c:v>9.4857165987434308E-2</c:v>
                </c:pt>
                <c:pt idx="3">
                  <c:v>0.20343008617708289</c:v>
                </c:pt>
                <c:pt idx="4">
                  <c:v>0.13897681357411221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4-4BA0-97B1-8A2A73907A90}"/>
            </c:ext>
          </c:extLst>
        </c:ser>
        <c:ser>
          <c:idx val="1"/>
          <c:order val="1"/>
          <c:tx>
            <c:strRef>
              <c:f>'H&amp;M'!$Y$77</c:f>
              <c:strCache>
                <c:ptCount val="1"/>
                <c:pt idx="0">
                  <c:v> ROA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'H&amp;M'!$AA$70:$AE$70</c:f>
              <c:numCache>
                <c:formatCode>@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'H&amp;M'!$AA$77:$AE$77</c:f>
              <c:numCache>
                <c:formatCode>0%</c:formatCode>
                <c:ptCount val="5"/>
                <c:pt idx="0">
                  <c:v>-1.5830260352100372E-2</c:v>
                </c:pt>
                <c:pt idx="1">
                  <c:v>1.1212644529384532E-2</c:v>
                </c:pt>
                <c:pt idx="2">
                  <c:v>4.3890045305384331E-2</c:v>
                </c:pt>
                <c:pt idx="3">
                  <c:v>9.7684141946498423E-2</c:v>
                </c:pt>
                <c:pt idx="4">
                  <c:v>9.2038032727247809E-2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4-4BA0-97B1-8A2A73907A90}"/>
            </c:ext>
          </c:extLst>
        </c:ser>
        <c:ser>
          <c:idx val="2"/>
          <c:order val="2"/>
          <c:tx>
            <c:strRef>
              <c:f>'H&amp;M'!$Y$78</c:f>
              <c:strCache>
                <c:ptCount val="1"/>
                <c:pt idx="0">
                  <c:v> ROE </c:v>
                </c:pt>
              </c:strCache>
            </c:strRef>
          </c:tx>
          <c:spPr>
            <a:solidFill>
              <a:srgbClr val="B29DED"/>
            </a:solidFill>
            <a:ln>
              <a:solidFill>
                <a:srgbClr val="B29DED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'H&amp;M'!$AA$70:$AE$70</c:f>
              <c:numCache>
                <c:formatCode>@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'H&amp;M'!$AA$78:$AE$78</c:f>
              <c:numCache>
                <c:formatCode>0%</c:formatCode>
                <c:ptCount val="5"/>
                <c:pt idx="0">
                  <c:v>-0.60580553262894599</c:v>
                </c:pt>
                <c:pt idx="1">
                  <c:v>5.9555726780071178E-2</c:v>
                </c:pt>
                <c:pt idx="2">
                  <c:v>0.14425305560235707</c:v>
                </c:pt>
                <c:pt idx="3">
                  <c:v>0.31758482000563221</c:v>
                </c:pt>
                <c:pt idx="4">
                  <c:v>0.27558411889345252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4-4BA0-97B1-8A2A73907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051535"/>
        <c:axId val="1924039887"/>
      </c:barChart>
      <c:catAx>
        <c:axId val="1924051535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auto val="1"/>
        <c:lblAlgn val="ctr"/>
        <c:lblOffset val="100"/>
        <c:noMultiLvlLbl val="1"/>
      </c:catAx>
      <c:valAx>
        <c:axId val="1924039887"/>
        <c:scaling>
          <c:orientation val="minMax"/>
          <c:min val="-0.6200000000000001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90858854725419"/>
          <c:y val="0.91068361009329279"/>
          <c:w val="0.34446959436192925"/>
          <c:h val="4.4153621113566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Indicadores de Rentabilidad (DuPont)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879112604497702"/>
          <c:y val="8.1875239278279915E-2"/>
          <c:w val="0.80837082768252944"/>
          <c:h val="0.76906691614043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'H&amp;M'!$Y$82:$Z$82</c:f>
              <c:strCache>
                <c:ptCount val="2"/>
                <c:pt idx="0">
                  <c:v> Margen Neto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565552699228981E-3"/>
                  <c:y val="6.3241314203313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CA-4BA1-A0DF-06552CC1A9D5}"/>
                </c:ext>
              </c:extLst>
            </c:dLbl>
            <c:dLbl>
              <c:idx val="1"/>
              <c:layout>
                <c:manualLayout>
                  <c:x val="5.1413881748071981E-2"/>
                  <c:y val="3.4255599472990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CA-4BA1-A0DF-06552CC1A9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CA-4BA1-A0DF-06552CC1A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'H&amp;M'!$AA$81:$AE$81</c:f>
              <c:numCache>
                <c:formatCode>@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'H&amp;M'!$AA$82:$AE$82</c:f>
              <c:numCache>
                <c:formatCode>0%</c:formatCode>
                <c:ptCount val="5"/>
                <c:pt idx="0">
                  <c:v>-1.9535248274576918E-2</c:v>
                </c:pt>
                <c:pt idx="1">
                  <c:v>9.8535487300329908E-3</c:v>
                </c:pt>
                <c:pt idx="2">
                  <c:v>4.8476472365310309E-2</c:v>
                </c:pt>
                <c:pt idx="3">
                  <c:v>4.8939720055455257E-2</c:v>
                </c:pt>
                <c:pt idx="4">
                  <c:v>8.5801501254404042E-2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CA-4BA1-A0DF-06552CC1A9D5}"/>
            </c:ext>
          </c:extLst>
        </c:ser>
        <c:ser>
          <c:idx val="1"/>
          <c:order val="1"/>
          <c:tx>
            <c:strRef>
              <c:f>'H&amp;M'!$Y$83:$Z$83</c:f>
              <c:strCache>
                <c:ptCount val="2"/>
                <c:pt idx="0">
                  <c:v> Rotación de Activos 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3.290488431876606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CA-4BA1-A0DF-06552CC1A9D5}"/>
                </c:ext>
              </c:extLst>
            </c:dLbl>
            <c:dLbl>
              <c:idx val="1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CA-4BA1-A0DF-06552CC1A9D5}"/>
                </c:ext>
              </c:extLst>
            </c:dLbl>
            <c:dLbl>
              <c:idx val="2"/>
              <c:layout>
                <c:manualLayout>
                  <c:x val="-4.1131105398457581E-3"/>
                  <c:y val="-2.6350461133069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CA-4BA1-A0DF-06552CC1A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'H&amp;M'!$AA$81:$AE$81</c:f>
              <c:numCache>
                <c:formatCode>@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'H&amp;M'!$AA$83:$AE$83</c:f>
              <c:numCache>
                <c:formatCode>0.00</c:formatCode>
                <c:ptCount val="5"/>
                <c:pt idx="0">
                  <c:v>0.81034344327744212</c:v>
                </c:pt>
                <c:pt idx="1">
                  <c:v>1.1379295760936465</c:v>
                </c:pt>
                <c:pt idx="2">
                  <c:v>0.90538859706285024</c:v>
                </c:pt>
                <c:pt idx="3">
                  <c:v>1.9960094139445264</c:v>
                </c:pt>
                <c:pt idx="4">
                  <c:v>1.0726855752133317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CA-4BA1-A0DF-06552CC1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051535"/>
        <c:axId val="1924039887"/>
      </c:barChart>
      <c:lineChart>
        <c:grouping val="stacked"/>
        <c:varyColors val="0"/>
        <c:ser>
          <c:idx val="3"/>
          <c:order val="3"/>
          <c:tx>
            <c:strRef>
              <c:f>'H&amp;M'!$Y$85:$Z$85</c:f>
              <c:strCache>
                <c:ptCount val="2"/>
                <c:pt idx="0">
                  <c:v> ROE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6092544987146543E-2"/>
                  <c:y val="1.58102766798418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CA-4BA1-A0DF-06552CC1A9D5}"/>
                </c:ext>
              </c:extLst>
            </c:dLbl>
            <c:dLbl>
              <c:idx val="1"/>
              <c:layout>
                <c:manualLayout>
                  <c:x val="-3.4961439588688949E-2"/>
                  <c:y val="-3.689064558629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CA-4BA1-A0DF-06552CC1A9D5}"/>
                </c:ext>
              </c:extLst>
            </c:dLbl>
            <c:dLbl>
              <c:idx val="2"/>
              <c:layout>
                <c:manualLayout>
                  <c:x val="-4.3187660668380541E-2"/>
                  <c:y val="-3.9525691699604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CA-4BA1-A0DF-06552CC1A9D5}"/>
                </c:ext>
              </c:extLst>
            </c:dLbl>
            <c:dLbl>
              <c:idx val="3"/>
              <c:layout>
                <c:manualLayout>
                  <c:x val="-4.3187660668380541E-2"/>
                  <c:y val="-3.95256916996047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CA-4BA1-A0DF-06552CC1A9D5}"/>
                </c:ext>
              </c:extLst>
            </c:dLbl>
            <c:dLbl>
              <c:idx val="4"/>
              <c:layout>
                <c:manualLayout>
                  <c:x val="-4.5244215938303495E-2"/>
                  <c:y val="-4.2160737812911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CA-4BA1-A0DF-06552CC1A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'H&amp;M'!$AA$81:$AE$81</c:f>
              <c:numCache>
                <c:formatCode>@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'H&amp;M'!$AA$85:$AE$85</c:f>
              <c:numCache>
                <c:formatCode>0%</c:formatCode>
                <c:ptCount val="5"/>
                <c:pt idx="0">
                  <c:v>-0.60580553262894599</c:v>
                </c:pt>
                <c:pt idx="1">
                  <c:v>5.9555726780071164E-2</c:v>
                </c:pt>
                <c:pt idx="2">
                  <c:v>0.14425305560235704</c:v>
                </c:pt>
                <c:pt idx="3">
                  <c:v>0.31758482000563226</c:v>
                </c:pt>
                <c:pt idx="4">
                  <c:v>0.27558411889345247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CA-4BA1-A0DF-06552CC1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51535"/>
        <c:axId val="1924039887"/>
      </c:lineChart>
      <c:lineChart>
        <c:grouping val="stacked"/>
        <c:varyColors val="0"/>
        <c:ser>
          <c:idx val="2"/>
          <c:order val="2"/>
          <c:tx>
            <c:strRef>
              <c:f>'H&amp;M'!$Y$84:$Z$84</c:f>
              <c:strCache>
                <c:ptCount val="2"/>
                <c:pt idx="0">
                  <c:v> Multiplicador de Capital 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2339331619537276E-2"/>
                  <c:y val="-1.58102766798418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9CA-4BA1-A0DF-06552CC1A9D5}"/>
                </c:ext>
              </c:extLst>
            </c:dLbl>
            <c:dLbl>
              <c:idx val="1"/>
              <c:layout>
                <c:manualLayout>
                  <c:x val="-6.7866323907455006E-2"/>
                  <c:y val="2.37154150197627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9CA-4BA1-A0DF-06552CC1A9D5}"/>
                </c:ext>
              </c:extLst>
            </c:dLbl>
            <c:dLbl>
              <c:idx val="2"/>
              <c:layout>
                <c:manualLayout>
                  <c:x val="-3.9074550128534703E-2"/>
                  <c:y val="-3.4255599472990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9CA-4BA1-A0DF-06552CC1A9D5}"/>
                </c:ext>
              </c:extLst>
            </c:dLbl>
            <c:dLbl>
              <c:idx val="3"/>
              <c:layout>
                <c:manualLayout>
                  <c:x val="-4.3187660668380541E-2"/>
                  <c:y val="3.16205533596837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9CA-4BA1-A0DF-06552CC1A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'H&amp;M'!$AA$81:$AE$81</c:f>
              <c:numCache>
                <c:formatCode>@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'H&amp;M'!$AA$84:$AE$84</c:f>
              <c:numCache>
                <c:formatCode>0.00</c:formatCode>
                <c:ptCount val="5"/>
                <c:pt idx="0">
                  <c:v>38.268829390956121</c:v>
                </c:pt>
                <c:pt idx="1">
                  <c:v>5.3114790738256126</c:v>
                </c:pt>
                <c:pt idx="2">
                  <c:v>3.2866918819211248</c:v>
                </c:pt>
                <c:pt idx="3">
                  <c:v>3.251139987282412</c:v>
                </c:pt>
                <c:pt idx="4">
                  <c:v>2.9942417360238291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9CA-4BA1-A0DF-06552CC1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708799"/>
        <c:axId val="1289725167"/>
      </c:lineChart>
      <c:catAx>
        <c:axId val="1924051535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auto val="1"/>
        <c:lblAlgn val="ctr"/>
        <c:lblOffset val="100"/>
        <c:noMultiLvlLbl val="1"/>
      </c:catAx>
      <c:valAx>
        <c:axId val="1924039887"/>
        <c:scaling>
          <c:orientation val="minMax"/>
          <c:max val="1.4"/>
          <c:min val="-0.8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between"/>
      </c:valAx>
      <c:valAx>
        <c:axId val="1289725167"/>
        <c:scaling>
          <c:orientation val="minMax"/>
          <c:max val="45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9708799"/>
        <c:crosses val="max"/>
        <c:crossBetween val="between"/>
      </c:valAx>
      <c:catAx>
        <c:axId val="1289708799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1289725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90858854725419"/>
          <c:y val="0.91068361009329279"/>
          <c:w val="0.82809141145274578"/>
          <c:h val="4.4153621113566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Pasivos corrientes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'H&amp;M'!$A$24</c:f>
              <c:strCache>
                <c:ptCount val="1"/>
                <c:pt idx="0">
                  <c:v> Provisiones corrientes por beneficios a los empleados 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'H&amp;M'!$B$5:$G$5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'H&amp;M'!$B$24:$G$24</c:f>
              <c:numCache>
                <c:formatCode>"$"#,##0_);[Red]\("$"#,##0\)</c:formatCode>
                <c:ptCount val="6"/>
                <c:pt idx="0">
                  <c:v>920670</c:v>
                </c:pt>
                <c:pt idx="1">
                  <c:v>777985</c:v>
                </c:pt>
                <c:pt idx="2">
                  <c:v>1145927</c:v>
                </c:pt>
                <c:pt idx="3">
                  <c:v>1057416</c:v>
                </c:pt>
                <c:pt idx="4">
                  <c:v>1715105</c:v>
                </c:pt>
                <c:pt idx="5">
                  <c:v>2674614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1-4241-8A2F-58459B980BBB}"/>
            </c:ext>
          </c:extLst>
        </c:ser>
        <c:ser>
          <c:idx val="1"/>
          <c:order val="1"/>
          <c:tx>
            <c:strRef>
              <c:f>'H&amp;M'!$A$25</c:f>
              <c:strCache>
                <c:ptCount val="1"/>
                <c:pt idx="0">
                  <c:v> Otras provisiones corrientes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'H&amp;M'!$B$5:$G$5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'H&amp;M'!$B$25:$G$25</c:f>
              <c:numCache>
                <c:formatCode>"$"#,##0_);[Red]\("$"#,##0\)</c:formatCode>
                <c:ptCount val="6"/>
                <c:pt idx="0">
                  <c:v>610000</c:v>
                </c:pt>
                <c:pt idx="1">
                  <c:v>3582232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1-4241-8A2F-58459B980BBB}"/>
            </c:ext>
          </c:extLst>
        </c:ser>
        <c:ser>
          <c:idx val="2"/>
          <c:order val="2"/>
          <c:tx>
            <c:strRef>
              <c:f>'H&amp;M'!$A$26</c:f>
              <c:strCache>
                <c:ptCount val="1"/>
                <c:pt idx="0">
                  <c:v> Cuentas por pagar comerciales y otras cuentas por pagar 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'H&amp;M'!$B$5:$G$5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'H&amp;M'!$B$26:$G$26</c:f>
              <c:numCache>
                <c:formatCode>"$"#,##0_);[Red]\("$"#,##0\)</c:formatCode>
                <c:ptCount val="6"/>
                <c:pt idx="0">
                  <c:v>116865783</c:v>
                </c:pt>
                <c:pt idx="1">
                  <c:v>60603760</c:v>
                </c:pt>
                <c:pt idx="2">
                  <c:v>44475434</c:v>
                </c:pt>
                <c:pt idx="3">
                  <c:v>27356986</c:v>
                </c:pt>
                <c:pt idx="4">
                  <c:v>51970610</c:v>
                </c:pt>
                <c:pt idx="5">
                  <c:v>54781299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A1-4241-8A2F-58459B980BBB}"/>
            </c:ext>
          </c:extLst>
        </c:ser>
        <c:ser>
          <c:idx val="3"/>
          <c:order val="3"/>
          <c:tx>
            <c:strRef>
              <c:f>'H&amp;M'!$A$27</c:f>
              <c:strCache>
                <c:ptCount val="1"/>
                <c:pt idx="0">
                  <c:v> Pasivos por impuestos corrientes, corriente 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'H&amp;M'!$B$5:$G$5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'H&amp;M'!$B$27:$G$27</c:f>
              <c:numCache>
                <c:formatCode>"$"#,##0_);[Red]\("$"#,##0\)</c:formatCode>
                <c:ptCount val="6"/>
                <c:pt idx="0">
                  <c:v>588184</c:v>
                </c:pt>
                <c:pt idx="1">
                  <c:v>6871218</c:v>
                </c:pt>
                <c:pt idx="2">
                  <c:v>20341366</c:v>
                </c:pt>
                <c:pt idx="3">
                  <c:v>11817178</c:v>
                </c:pt>
                <c:pt idx="4">
                  <c:v>16324507</c:v>
                </c:pt>
                <c:pt idx="5">
                  <c:v>10110336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A1-4241-8A2F-58459B980BBB}"/>
            </c:ext>
          </c:extLst>
        </c:ser>
        <c:ser>
          <c:idx val="4"/>
          <c:order val="4"/>
          <c:tx>
            <c:strRef>
              <c:f>'H&amp;M'!$A$28</c:f>
              <c:strCache>
                <c:ptCount val="1"/>
                <c:pt idx="0">
                  <c:v> Otros pasivos financieros corrientes </c:v>
                </c:pt>
              </c:strCache>
            </c:strRef>
          </c:tx>
          <c:spPr>
            <a:ln w="1905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'H&amp;M'!$B$5:$G$5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'H&amp;M'!$B$28:$G$28</c:f>
              <c:numCache>
                <c:formatCode>"$"#,##0_);[Red]\("$"#,##0\)</c:formatCode>
                <c:ptCount val="6"/>
                <c:pt idx="2">
                  <c:v>3319970</c:v>
                </c:pt>
                <c:pt idx="3">
                  <c:v>4567100</c:v>
                </c:pt>
                <c:pt idx="4">
                  <c:v>5324931</c:v>
                </c:pt>
                <c:pt idx="5">
                  <c:v>5696465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A1-4241-8A2F-58459B980BBB}"/>
            </c:ext>
          </c:extLst>
        </c:ser>
        <c:ser>
          <c:idx val="5"/>
          <c:order val="5"/>
          <c:tx>
            <c:strRef>
              <c:f>'H&amp;M'!$A$29</c:f>
              <c:strCache>
                <c:ptCount val="1"/>
                <c:pt idx="0">
                  <c:v> Otros pasivos no financieros corrientes 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'H&amp;M'!$B$5:$G$5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'H&amp;M'!$B$29:$G$29</c:f>
              <c:numCache>
                <c:formatCode>"$"#,##0_);[Red]\("$"#,##0\)</c:formatCode>
                <c:ptCount val="6"/>
                <c:pt idx="0">
                  <c:v>831606</c:v>
                </c:pt>
                <c:pt idx="2">
                  <c:v>2788402</c:v>
                </c:pt>
                <c:pt idx="3">
                  <c:v>1853237</c:v>
                </c:pt>
                <c:pt idx="4">
                  <c:v>3729390</c:v>
                </c:pt>
                <c:pt idx="5">
                  <c:v>4275037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A1-4241-8A2F-58459B98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51535"/>
        <c:axId val="1924039887"/>
      </c:scatterChart>
      <c:valAx>
        <c:axId val="1924051535"/>
        <c:scaling>
          <c:orientation val="minMax"/>
          <c:max val="2022"/>
          <c:min val="2017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crossBetween val="midCat"/>
        <c:majorUnit val="1"/>
      </c:valAx>
      <c:valAx>
        <c:axId val="1924039887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96519794223436"/>
          <c:y val="0.76018860239467889"/>
          <c:w val="0.8000587363676066"/>
          <c:h val="0.22548292057629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Activos corrientes y Pasivos corrientes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879112604497702"/>
          <c:y val="7.5008968573254869E-2"/>
          <c:w val="0.80837082768252944"/>
          <c:h val="0.8149536411607006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'H&amp;M'!$Y$41</c:f>
              <c:strCache>
                <c:ptCount val="1"/>
                <c:pt idx="0">
                  <c:v> Prom. KTNO </c:v>
                </c:pt>
              </c:strCache>
            </c:strRef>
          </c:tx>
          <c:spPr>
            <a:solidFill>
              <a:srgbClr val="81C99E"/>
            </a:solidFill>
            <a:ln>
              <a:solidFill>
                <a:srgbClr val="81C99E"/>
              </a:solidFill>
            </a:ln>
            <a:effectLst/>
          </c:spPr>
          <c:invertIfNegative val="0"/>
          <c:cat>
            <c:numRef>
              <c:f>'H&amp;M'!$AA$39:$AE$39</c:f>
              <c:numCache>
                <c:formatCode>@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'H&amp;M'!$Z$41:$AE$41</c:f>
              <c:numCache>
                <c:formatCode>"$"#,##0_);[Red]\("$"#,##0\)</c:formatCode>
                <c:ptCount val="6"/>
                <c:pt idx="1">
                  <c:v>26718938.5</c:v>
                </c:pt>
                <c:pt idx="2">
                  <c:v>33625316.5</c:v>
                </c:pt>
                <c:pt idx="3">
                  <c:v>71921765</c:v>
                </c:pt>
                <c:pt idx="4">
                  <c:v>121672957.5</c:v>
                </c:pt>
                <c:pt idx="5">
                  <c:v>168042190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C-4459-A8F6-76BF5C8B3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9646367"/>
        <c:axId val="1299655967"/>
      </c:barChart>
      <c:lineChart>
        <c:grouping val="stacked"/>
        <c:varyColors val="0"/>
        <c:ser>
          <c:idx val="0"/>
          <c:order val="0"/>
          <c:tx>
            <c:strRef>
              <c:f>'H&amp;M'!$A$12</c:f>
              <c:strCache>
                <c:ptCount val="1"/>
                <c:pt idx="0">
                  <c:v> Activos corrientes totales 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'H&amp;M'!$B$5:$G$5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'H&amp;M'!$B$12:$G$12</c:f>
              <c:numCache>
                <c:formatCode>"$"#,##0_);[Red]\("$"#,##0\)</c:formatCode>
                <c:ptCount val="6"/>
                <c:pt idx="0">
                  <c:v>123676224</c:v>
                </c:pt>
                <c:pt idx="1">
                  <c:v>121413091</c:v>
                </c:pt>
                <c:pt idx="2">
                  <c:v>89743836</c:v>
                </c:pt>
                <c:pt idx="3">
                  <c:v>172822710</c:v>
                </c:pt>
                <c:pt idx="4">
                  <c:v>196239665</c:v>
                </c:pt>
                <c:pt idx="5">
                  <c:v>296447009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C-4459-A8F6-76BF5C8B38DF}"/>
            </c:ext>
          </c:extLst>
        </c:ser>
        <c:ser>
          <c:idx val="1"/>
          <c:order val="1"/>
          <c:tx>
            <c:strRef>
              <c:f>'H&amp;M'!$A$30</c:f>
              <c:strCache>
                <c:ptCount val="1"/>
                <c:pt idx="0">
                  <c:v> Pasivos corrientes totales 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'H&amp;M'!$B$5:$G$5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'H&amp;M'!$B$30:$G$30</c:f>
              <c:numCache>
                <c:formatCode>"$"#,##0_);[Red]\("$"#,##0\)</c:formatCode>
                <c:ptCount val="6"/>
                <c:pt idx="0">
                  <c:v>119816243</c:v>
                </c:pt>
                <c:pt idx="1">
                  <c:v>71835195</c:v>
                </c:pt>
                <c:pt idx="2">
                  <c:v>72071099</c:v>
                </c:pt>
                <c:pt idx="3">
                  <c:v>46651917</c:v>
                </c:pt>
                <c:pt idx="4">
                  <c:v>79064543</c:v>
                </c:pt>
                <c:pt idx="5">
                  <c:v>77537751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C-4459-A8F6-76BF5C8B3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51535"/>
        <c:axId val="1924039887"/>
      </c:lineChart>
      <c:catAx>
        <c:axId val="1924051535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auto val="1"/>
        <c:lblAlgn val="ctr"/>
        <c:lblOffset val="100"/>
        <c:noMultiLvlLbl val="0"/>
      </c:catAx>
      <c:valAx>
        <c:axId val="1924039887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between"/>
      </c:valAx>
      <c:valAx>
        <c:axId val="12996559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646367"/>
        <c:crosses val="max"/>
        <c:crossBetween val="between"/>
      </c:valAx>
      <c:catAx>
        <c:axId val="1299646367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12996559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1348096269457"/>
          <c:y val="0.92689760362604101"/>
          <c:w val="0.6852642211831842"/>
          <c:h val="3.4066171021927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Indicadores de Liquidez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879112604497702"/>
          <c:y val="7.5008968573254869E-2"/>
          <c:w val="0.80837082768252944"/>
          <c:h val="0.814953641160700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'H&amp;M'!$A$12</c:f>
              <c:strCache>
                <c:ptCount val="1"/>
                <c:pt idx="0">
                  <c:v> Activos corrientes totales 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254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'H&amp;M'!$B$5:$G$5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'H&amp;M'!$B$12:$G$12</c:f>
              <c:numCache>
                <c:formatCode>"$"#,##0_);[Red]\("$"#,##0\)</c:formatCode>
                <c:ptCount val="6"/>
                <c:pt idx="0">
                  <c:v>123676224</c:v>
                </c:pt>
                <c:pt idx="1">
                  <c:v>121413091</c:v>
                </c:pt>
                <c:pt idx="2">
                  <c:v>89743836</c:v>
                </c:pt>
                <c:pt idx="3">
                  <c:v>172822710</c:v>
                </c:pt>
                <c:pt idx="4">
                  <c:v>196239665</c:v>
                </c:pt>
                <c:pt idx="5">
                  <c:v>296447009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A-4DC2-8627-935D083BED8C}"/>
            </c:ext>
          </c:extLst>
        </c:ser>
        <c:ser>
          <c:idx val="1"/>
          <c:order val="1"/>
          <c:tx>
            <c:strRef>
              <c:f>'H&amp;M'!$A$30</c:f>
              <c:strCache>
                <c:ptCount val="1"/>
                <c:pt idx="0">
                  <c:v> Pasivos corrientes totales 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'H&amp;M'!$B$5:$G$5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'H&amp;M'!$B$30:$G$30</c:f>
              <c:numCache>
                <c:formatCode>"$"#,##0_);[Red]\("$"#,##0\)</c:formatCode>
                <c:ptCount val="6"/>
                <c:pt idx="0">
                  <c:v>119816243</c:v>
                </c:pt>
                <c:pt idx="1">
                  <c:v>71835195</c:v>
                </c:pt>
                <c:pt idx="2">
                  <c:v>72071099</c:v>
                </c:pt>
                <c:pt idx="3">
                  <c:v>46651917</c:v>
                </c:pt>
                <c:pt idx="4">
                  <c:v>79064543</c:v>
                </c:pt>
                <c:pt idx="5">
                  <c:v>77537751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A-4DC2-8627-935D083B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051535"/>
        <c:axId val="1924039887"/>
      </c:barChart>
      <c:lineChart>
        <c:grouping val="stacked"/>
        <c:varyColors val="0"/>
        <c:ser>
          <c:idx val="2"/>
          <c:order val="2"/>
          <c:tx>
            <c:strRef>
              <c:f>'H&amp;M'!$Y$52</c:f>
              <c:strCache>
                <c:ptCount val="1"/>
                <c:pt idx="0">
                  <c:v> Razón corriente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'H&amp;M'!$Z$51:$AE$51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'H&amp;M'!$Z$52:$AE$52</c:f>
              <c:numCache>
                <c:formatCode>0.00</c:formatCode>
                <c:ptCount val="6"/>
                <c:pt idx="0">
                  <c:v>1.0322158407186912</c:v>
                </c:pt>
                <c:pt idx="1">
                  <c:v>1.6901616401264032</c:v>
                </c:pt>
                <c:pt idx="2">
                  <c:v>1.2452125365814111</c:v>
                </c:pt>
                <c:pt idx="3">
                  <c:v>3.7045146504912112</c:v>
                </c:pt>
                <c:pt idx="4">
                  <c:v>2.4820185832225703</c:v>
                </c:pt>
                <c:pt idx="5">
                  <c:v>3.8232603496585811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A-4DC2-8627-935D083BED8C}"/>
            </c:ext>
          </c:extLst>
        </c:ser>
        <c:ser>
          <c:idx val="3"/>
          <c:order val="3"/>
          <c:tx>
            <c:strRef>
              <c:f>'H&amp;M'!$Y$53</c:f>
              <c:strCache>
                <c:ptCount val="1"/>
                <c:pt idx="0">
                  <c:v> Prueba Ácida 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'H&amp;M'!$Z$51:$AE$51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'H&amp;M'!$Z$53:$AE$53</c:f>
              <c:numCache>
                <c:formatCode>0.00</c:formatCode>
                <c:ptCount val="6"/>
                <c:pt idx="0">
                  <c:v>0.64874610531728993</c:v>
                </c:pt>
                <c:pt idx="1">
                  <c:v>1.2940163522908235</c:v>
                </c:pt>
                <c:pt idx="2">
                  <c:v>0.66540504675806322</c:v>
                </c:pt>
                <c:pt idx="3">
                  <c:v>2.109810385712553</c:v>
                </c:pt>
                <c:pt idx="4">
                  <c:v>1.1586941190566296</c:v>
                </c:pt>
                <c:pt idx="5">
                  <c:v>1.8512389790619539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3A-4DC2-8627-935D083BED8C}"/>
            </c:ext>
          </c:extLst>
        </c:ser>
        <c:ser>
          <c:idx val="4"/>
          <c:order val="4"/>
          <c:tx>
            <c:strRef>
              <c:f>'H&amp;M'!$Y$55</c:f>
              <c:strCache>
                <c:ptCount val="1"/>
                <c:pt idx="0">
                  <c:v> Liquidez (personalizado) 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3A-4DC2-8627-935D083BED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'H&amp;M'!$Z$51:$AE$51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'H&amp;M'!$Z$55:$AE$55</c:f>
              <c:numCache>
                <c:formatCode>0.00</c:formatCode>
                <c:ptCount val="6"/>
                <c:pt idx="0">
                  <c:v>0.52399618485837252</c:v>
                </c:pt>
                <c:pt idx="1">
                  <c:v>1.2366420667903788</c:v>
                </c:pt>
                <c:pt idx="2">
                  <c:v>0.8927451114886924</c:v>
                </c:pt>
                <c:pt idx="3">
                  <c:v>2.8066085043670843</c:v>
                </c:pt>
                <c:pt idx="4">
                  <c:v>1.4902262381604838</c:v>
                </c:pt>
                <c:pt idx="5">
                  <c:v>2.1547011578883062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3A-4DC2-8627-935D083B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060975"/>
        <c:axId val="1302059535"/>
      </c:lineChart>
      <c:catAx>
        <c:axId val="1924051535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auto val="1"/>
        <c:lblAlgn val="ctr"/>
        <c:lblOffset val="100"/>
        <c:noMultiLvlLbl val="0"/>
      </c:catAx>
      <c:valAx>
        <c:axId val="1924039887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between"/>
      </c:valAx>
      <c:valAx>
        <c:axId val="130205953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2060975"/>
        <c:crosses val="max"/>
        <c:crossBetween val="between"/>
      </c:valAx>
      <c:catAx>
        <c:axId val="1302060975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1302059535"/>
        <c:auto val="1"/>
        <c:lblAlgn val="ctr"/>
        <c:lblOffset val="100"/>
        <c:noMultiLvlLbl val="0"/>
      </c:catAx>
      <c:spPr>
        <a:noFill/>
        <a:ln>
          <a:solidFill>
            <a:schemeClr val="accent5">
              <a:lumMod val="40000"/>
              <a:lumOff val="6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01348096269457"/>
          <c:y val="0.92689760362604101"/>
          <c:w val="0.77946872596710026"/>
          <c:h val="3.6679676490522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79117682758827"/>
          <c:y val="5.0045044104234979E-2"/>
          <c:w val="0.80837082768252944"/>
          <c:h val="0.76906691614043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'H&amp;M'!$A$23</c:f>
              <c:strCache>
                <c:ptCount val="1"/>
                <c:pt idx="0">
                  <c:v> Total de activos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'H&amp;M'!$B$5:$G$5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'H&amp;M'!$B$23:$G$23</c:f>
              <c:numCache>
                <c:formatCode>"$"#,##0_);[Red]\("$"#,##0\)</c:formatCode>
                <c:ptCount val="6"/>
                <c:pt idx="0">
                  <c:v>181453670</c:v>
                </c:pt>
                <c:pt idx="1">
                  <c:v>180111072</c:v>
                </c:pt>
                <c:pt idx="2">
                  <c:v>184414887</c:v>
                </c:pt>
                <c:pt idx="3">
                  <c:v>278453717</c:v>
                </c:pt>
                <c:pt idx="4">
                  <c:v>324000651</c:v>
                </c:pt>
                <c:pt idx="5">
                  <c:v>421707639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3-45CD-ACEB-A77540E87D63}"/>
            </c:ext>
          </c:extLst>
        </c:ser>
        <c:ser>
          <c:idx val="1"/>
          <c:order val="1"/>
          <c:tx>
            <c:strRef>
              <c:f>'H&amp;M'!$A$39</c:f>
              <c:strCache>
                <c:ptCount val="1"/>
                <c:pt idx="0">
                  <c:v> Total pasivos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'H&amp;M'!$B$5:$G$5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'H&amp;M'!$B$39:$G$39</c:f>
              <c:numCache>
                <c:formatCode>"$"#,##0_);[Red]\("$"#,##0\)</c:formatCode>
                <c:ptCount val="6"/>
                <c:pt idx="0">
                  <c:v>175298743</c:v>
                </c:pt>
                <c:pt idx="1">
                  <c:v>176817977</c:v>
                </c:pt>
                <c:pt idx="2">
                  <c:v>119078142</c:v>
                </c:pt>
                <c:pt idx="3">
                  <c:v>202959310</c:v>
                </c:pt>
                <c:pt idx="4">
                  <c:v>214189482</c:v>
                </c:pt>
                <c:pt idx="5">
                  <c:v>282471351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3-45CD-ACEB-A77540E87D63}"/>
            </c:ext>
          </c:extLst>
        </c:ser>
        <c:ser>
          <c:idx val="2"/>
          <c:order val="2"/>
          <c:tx>
            <c:strRef>
              <c:f>'H&amp;M'!$A$43</c:f>
              <c:strCache>
                <c:ptCount val="1"/>
                <c:pt idx="0">
                  <c:v> Patrimonio total 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'H&amp;M'!$B$5:$G$5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'H&amp;M'!$B$43:$G$43</c:f>
              <c:numCache>
                <c:formatCode>"$"#,##0_);[Red]\("$"#,##0\)</c:formatCode>
                <c:ptCount val="6"/>
                <c:pt idx="0">
                  <c:v>6154927</c:v>
                </c:pt>
                <c:pt idx="1">
                  <c:v>3293095</c:v>
                </c:pt>
                <c:pt idx="2">
                  <c:v>65336745</c:v>
                </c:pt>
                <c:pt idx="3">
                  <c:v>75494407</c:v>
                </c:pt>
                <c:pt idx="4">
                  <c:v>109811169</c:v>
                </c:pt>
                <c:pt idx="5">
                  <c:v>139236288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3-45CD-ACEB-A77540E87D63}"/>
            </c:ext>
          </c:extLst>
        </c:ser>
        <c:ser>
          <c:idx val="3"/>
          <c:order val="3"/>
          <c:tx>
            <c:strRef>
              <c:f>'H&amp;M'!$Y$60</c:f>
              <c:strCache>
                <c:ptCount val="1"/>
                <c:pt idx="0">
                  <c:v> Total Deuda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'H&amp;M'!$Z$58:$AE$58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'H&amp;M'!$Z$60:$AE$60</c:f>
              <c:numCache>
                <c:formatCode>"$"#,##0_);[Red]\("$"#,##0\)</c:formatCode>
                <c:ptCount val="6"/>
                <c:pt idx="0">
                  <c:v>0</c:v>
                </c:pt>
                <c:pt idx="1">
                  <c:v>103658589</c:v>
                </c:pt>
                <c:pt idx="2">
                  <c:v>7954861</c:v>
                </c:pt>
                <c:pt idx="3">
                  <c:v>5758703</c:v>
                </c:pt>
                <c:pt idx="4">
                  <c:v>12435304</c:v>
                </c:pt>
                <c:pt idx="5">
                  <c:v>7349819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83-45CD-ACEB-A77540E87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051535"/>
        <c:axId val="1924039887"/>
      </c:barChart>
      <c:catAx>
        <c:axId val="1924051535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auto val="1"/>
        <c:lblAlgn val="ctr"/>
        <c:lblOffset val="100"/>
        <c:noMultiLvlLbl val="0"/>
      </c:catAx>
      <c:valAx>
        <c:axId val="1924039887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90858854725419"/>
          <c:y val="0.91068361009329279"/>
          <c:w val="0.68787680616013636"/>
          <c:h val="4.5337447231899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Indicadores de endeudamiento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0929052891524808E-2"/>
          <c:y val="0.10894489701882197"/>
          <c:w val="0.84207987369188109"/>
          <c:h val="0.6416661089695348"/>
        </c:manualLayout>
      </c:layout>
      <c:scatterChart>
        <c:scatterStyle val="lineMarker"/>
        <c:varyColors val="0"/>
        <c:ser>
          <c:idx val="1"/>
          <c:order val="1"/>
          <c:tx>
            <c:strRef>
              <c:f>'H&amp;M'!$A$56</c:f>
              <c:strCache>
                <c:ptCount val="1"/>
                <c:pt idx="0">
                  <c:v> Ganancia (pérdida) por actividades de operación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'H&amp;M'!$B$47:$G$47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'H&amp;M'!$B$56:$G$56</c:f>
              <c:numCache>
                <c:formatCode>"$"#,##0_);[Red]\("$"#,##0\)</c:formatCode>
                <c:ptCount val="6"/>
                <c:pt idx="0">
                  <c:v>-9511037</c:v>
                </c:pt>
                <c:pt idx="1">
                  <c:v>7059249</c:v>
                </c:pt>
                <c:pt idx="2">
                  <c:v>19696554</c:v>
                </c:pt>
                <c:pt idx="3">
                  <c:v>21953202</c:v>
                </c:pt>
                <c:pt idx="4">
                  <c:v>61278672</c:v>
                </c:pt>
                <c:pt idx="5">
                  <c:v>51818081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9-4D9C-A07E-126DA122DDE3}"/>
            </c:ext>
          </c:extLst>
        </c:ser>
        <c:ser>
          <c:idx val="2"/>
          <c:order val="2"/>
          <c:tx>
            <c:strRef>
              <c:f>'H&amp;M'!$A$58</c:f>
              <c:strCache>
                <c:ptCount val="1"/>
                <c:pt idx="0">
                  <c:v> Costos financieros 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'H&amp;M'!$B$47:$G$47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'H&amp;M'!$B$58:$G$58</c:f>
              <c:numCache>
                <c:formatCode>"$"#,##0_);[Red]\("$"#,##0\)</c:formatCode>
                <c:ptCount val="6"/>
                <c:pt idx="0">
                  <c:v>7196584</c:v>
                </c:pt>
                <c:pt idx="1">
                  <c:v>6052503</c:v>
                </c:pt>
                <c:pt idx="2">
                  <c:v>8309315</c:v>
                </c:pt>
                <c:pt idx="3">
                  <c:v>5544644</c:v>
                </c:pt>
                <c:pt idx="4">
                  <c:v>16652083</c:v>
                </c:pt>
                <c:pt idx="5">
                  <c:v>4839424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39-4D9C-A07E-126DA122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51535"/>
        <c:axId val="1924039887"/>
      </c:scatterChart>
      <c:scatterChart>
        <c:scatterStyle val="lineMarker"/>
        <c:varyColors val="0"/>
        <c:ser>
          <c:idx val="0"/>
          <c:order val="0"/>
          <c:tx>
            <c:strRef>
              <c:f>'H&amp;M'!$A$48</c:f>
              <c:strCache>
                <c:ptCount val="1"/>
                <c:pt idx="0">
                  <c:v> Ingresos de actividades ordinarias 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'H&amp;M'!$B$47:$G$47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'H&amp;M'!$B$48:$G$48</c:f>
              <c:numCache>
                <c:formatCode>"$"#,##0_);[Red]\("$"#,##0\)</c:formatCode>
                <c:ptCount val="6"/>
                <c:pt idx="0">
                  <c:v>95221493</c:v>
                </c:pt>
                <c:pt idx="1">
                  <c:v>146495809</c:v>
                </c:pt>
                <c:pt idx="2">
                  <c:v>207402435</c:v>
                </c:pt>
                <c:pt idx="3">
                  <c:v>209537978</c:v>
                </c:pt>
                <c:pt idx="4">
                  <c:v>601252295</c:v>
                </c:pt>
                <c:pt idx="5">
                  <c:v>399955263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39-4D9C-A07E-126DA122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902671"/>
        <c:axId val="2133902255"/>
      </c:scatterChart>
      <c:valAx>
        <c:axId val="1924051535"/>
        <c:scaling>
          <c:orientation val="minMax"/>
          <c:max val="2022"/>
          <c:min val="2017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crossBetween val="midCat"/>
        <c:majorUnit val="1"/>
        <c:minorUnit val="1"/>
      </c:valAx>
      <c:valAx>
        <c:axId val="1924039887"/>
        <c:scaling>
          <c:orientation val="minMax"/>
          <c:max val="87000000"/>
          <c:min val="-10000000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midCat"/>
      </c:valAx>
      <c:valAx>
        <c:axId val="2133902255"/>
        <c:scaling>
          <c:orientation val="minMax"/>
          <c:max val="610000000"/>
          <c:min val="-30000000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133902671"/>
        <c:crosses val="max"/>
        <c:crossBetween val="midCat"/>
      </c:valAx>
      <c:valAx>
        <c:axId val="2133902671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213390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589822480416163E-2"/>
          <c:y val="0.82232450843875848"/>
          <c:w val="0.68917579904054405"/>
          <c:h val="0.14373121922145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Indicadores de endeudamiento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0929052891524808E-2"/>
          <c:y val="0.10894489701882197"/>
          <c:w val="0.84207987369188109"/>
          <c:h val="0.64166610896953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'H&amp;M'!$Y$64</c:f>
              <c:strCache>
                <c:ptCount val="1"/>
                <c:pt idx="0">
                  <c:v> Cobertura de intereses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5452765540871267E-2"/>
                  <c:y val="2.21913950157427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CC-4A98-93AA-965A461810CE}"/>
                </c:ext>
              </c:extLst>
            </c:dLbl>
            <c:dLbl>
              <c:idx val="2"/>
              <c:layout>
                <c:manualLayout>
                  <c:x val="-5.2863436123348088E-2"/>
                  <c:y val="-2.66296740188913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CC-4A98-93AA-965A461810CE}"/>
                </c:ext>
              </c:extLst>
            </c:dLbl>
            <c:dLbl>
              <c:idx val="3"/>
              <c:layout>
                <c:manualLayout>
                  <c:x val="-7.0484581497797363E-2"/>
                  <c:y val="-1.77531160125942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CC-4A98-93AA-965A46181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'H&amp;M'!$Z$58:$AE$58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'H&amp;M'!$Z$64:$AE$64</c:f>
              <c:numCache>
                <c:formatCode>0.00</c:formatCode>
                <c:ptCount val="6"/>
                <c:pt idx="0">
                  <c:v>-1.3216043889712119</c:v>
                </c:pt>
                <c:pt idx="1">
                  <c:v>1.1663354813702695</c:v>
                </c:pt>
                <c:pt idx="2">
                  <c:v>2.3704185002012803</c:v>
                </c:pt>
                <c:pt idx="3">
                  <c:v>3.9593528457372558</c:v>
                </c:pt>
                <c:pt idx="4">
                  <c:v>3.6799403413975296</c:v>
                </c:pt>
                <c:pt idx="5">
                  <c:v>10.707489362370398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CC-4A98-93AA-965A46181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51535"/>
        <c:axId val="1924039887"/>
      </c:scatterChart>
      <c:scatterChart>
        <c:scatterStyle val="lineMarker"/>
        <c:varyColors val="0"/>
        <c:ser>
          <c:idx val="1"/>
          <c:order val="1"/>
          <c:tx>
            <c:strRef>
              <c:f>'H&amp;M'!$Y$66</c:f>
              <c:strCache>
                <c:ptCount val="1"/>
                <c:pt idx="0">
                  <c:v> Impacto carga financiera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158100832109646E-3"/>
                  <c:y val="-1.99722555141685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CC-4A98-93AA-965A461810CE}"/>
                </c:ext>
              </c:extLst>
            </c:dLbl>
            <c:dLbl>
              <c:idx val="1"/>
              <c:layout>
                <c:manualLayout>
                  <c:x val="-2.3494860499265784E-2"/>
                  <c:y val="-2.4410534517317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CC-4A98-93AA-965A461810CE}"/>
                </c:ext>
              </c:extLst>
            </c:dLbl>
            <c:dLbl>
              <c:idx val="2"/>
              <c:layout>
                <c:manualLayout>
                  <c:x val="-3.5242290748898751E-2"/>
                  <c:y val="-2.66296740188913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CC-4A98-93AA-965A461810CE}"/>
                </c:ext>
              </c:extLst>
            </c:dLbl>
            <c:dLbl>
              <c:idx val="3"/>
              <c:layout>
                <c:manualLayout>
                  <c:x val="-5.2863436123348019E-2"/>
                  <c:y val="-3.3287092523614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CC-4A98-93AA-965A46181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'H&amp;M'!$Z$58:$AE$58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'H&amp;M'!$Z$66:$AE$66</c:f>
              <c:numCache>
                <c:formatCode>0%</c:formatCode>
                <c:ptCount val="6"/>
                <c:pt idx="0">
                  <c:v>7.5577306900659502E-2</c:v>
                </c:pt>
                <c:pt idx="1">
                  <c:v>4.1315195576687114E-2</c:v>
                </c:pt>
                <c:pt idx="2">
                  <c:v>4.0063729242137393E-2</c:v>
                </c:pt>
                <c:pt idx="3">
                  <c:v>2.646128426418241E-2</c:v>
                </c:pt>
                <c:pt idx="4">
                  <c:v>2.7695666425689068E-2</c:v>
                </c:pt>
                <c:pt idx="5">
                  <c:v>1.2099913284551527E-2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CC-4A98-93AA-965A461810CE}"/>
            </c:ext>
          </c:extLst>
        </c:ser>
        <c:ser>
          <c:idx val="2"/>
          <c:order val="2"/>
          <c:tx>
            <c:strRef>
              <c:f>'H&amp;M'!$Y$72</c:f>
              <c:strCache>
                <c:ptCount val="1"/>
                <c:pt idx="0">
                  <c:v> Margen Operacional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'H&amp;M'!$Z$70:$AE$70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'H&amp;M'!$Z$72:$AE$72</c:f>
              <c:numCache>
                <c:formatCode>0%</c:formatCode>
                <c:ptCount val="6"/>
                <c:pt idx="0">
                  <c:v>-9.9883300506535849E-2</c:v>
                </c:pt>
                <c:pt idx="1">
                  <c:v>4.8187378520842192E-2</c:v>
                </c:pt>
                <c:pt idx="2">
                  <c:v>9.496780498261749E-2</c:v>
                </c:pt>
                <c:pt idx="3">
                  <c:v>0.10476956115325309</c:v>
                </c:pt>
                <c:pt idx="4">
                  <c:v>0.10191840016178233</c:v>
                </c:pt>
                <c:pt idx="5">
                  <c:v>0.12955969277993973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CC-4A98-93AA-965A46181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163599"/>
        <c:axId val="2053163183"/>
      </c:scatterChart>
      <c:valAx>
        <c:axId val="1924051535"/>
        <c:scaling>
          <c:orientation val="minMax"/>
          <c:max val="2023"/>
          <c:min val="2016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crossBetween val="midCat"/>
        <c:majorUnit val="1"/>
        <c:minorUnit val="1"/>
      </c:valAx>
      <c:valAx>
        <c:axId val="1924039887"/>
        <c:scaling>
          <c:orientation val="minMax"/>
          <c:min val="-1.5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midCat"/>
      </c:valAx>
      <c:valAx>
        <c:axId val="2053163183"/>
        <c:scaling>
          <c:orientation val="minMax"/>
          <c:max val="0.31000000000000005"/>
          <c:min val="-0.30000000000000004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53163599"/>
        <c:crosses val="max"/>
        <c:crossBetween val="midCat"/>
      </c:valAx>
      <c:valAx>
        <c:axId val="2053163599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2053163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589822480416163E-2"/>
          <c:y val="0.82232450843875848"/>
          <c:w val="0.83913605512967271"/>
          <c:h val="3.7184565482875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Indicadores de endeudamiento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0929052891524808E-2"/>
          <c:y val="0.10894489701882197"/>
          <c:w val="0.87640426694735141"/>
          <c:h val="0.75566860833845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'H&amp;M'!$Y$59</c:f>
              <c:strCache>
                <c:ptCount val="1"/>
                <c:pt idx="0">
                  <c:v> Nivel endeudamiento 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56555269922879E-2"/>
                  <c:y val="-2.21913950157427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CF-4CCE-ADE9-5CE94A06408E}"/>
                </c:ext>
              </c:extLst>
            </c:dLbl>
            <c:dLbl>
              <c:idx val="1"/>
              <c:layout>
                <c:manualLayout>
                  <c:x val="-3.0848329048843225E-2"/>
                  <c:y val="-1.9972255514168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CF-4CCE-ADE9-5CE94A06408E}"/>
                </c:ext>
              </c:extLst>
            </c:dLbl>
            <c:dLbl>
              <c:idx val="2"/>
              <c:layout>
                <c:manualLayout>
                  <c:x val="-2.6735218508997429E-2"/>
                  <c:y val="-2.4410534517317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CF-4CCE-ADE9-5CE94A06408E}"/>
                </c:ext>
              </c:extLst>
            </c:dLbl>
            <c:dLbl>
              <c:idx val="3"/>
              <c:layout>
                <c:manualLayout>
                  <c:x val="-4.7300771208226372E-2"/>
                  <c:y val="-2.21913950157427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CF-4CCE-ADE9-5CE94A06408E}"/>
                </c:ext>
              </c:extLst>
            </c:dLbl>
            <c:dLbl>
              <c:idx val="4"/>
              <c:layout>
                <c:manualLayout>
                  <c:x val="-2.8157346224242027E-2"/>
                  <c:y val="3.4803655315559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ECF-4CCE-ADE9-5CE94A0640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'H&amp;M'!$Z$58:$AE$58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'H&amp;M'!$Z$59:$AE$59</c:f>
              <c:numCache>
                <c:formatCode>0.00</c:formatCode>
                <c:ptCount val="6"/>
                <c:pt idx="0">
                  <c:v>0.96607989797065008</c:v>
                </c:pt>
                <c:pt idx="1">
                  <c:v>0.98171631003339987</c:v>
                </c:pt>
                <c:pt idx="2">
                  <c:v>0.64570785979984358</c:v>
                </c:pt>
                <c:pt idx="3">
                  <c:v>0.72887987341896388</c:v>
                </c:pt>
                <c:pt idx="4">
                  <c:v>0.66107731987242213</c:v>
                </c:pt>
                <c:pt idx="5">
                  <c:v>0.6698274464978331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CF-4CCE-ADE9-5CE94A06408E}"/>
            </c:ext>
          </c:extLst>
        </c:ser>
        <c:ser>
          <c:idx val="1"/>
          <c:order val="1"/>
          <c:tx>
            <c:strRef>
              <c:f>'H&amp;M'!$Y$61</c:f>
              <c:strCache>
                <c:ptCount val="1"/>
                <c:pt idx="0">
                  <c:v> Nivel endeudamiento* 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0458087027197217E-2"/>
                  <c:y val="-3.4880753176678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CF-4CCE-ADE9-5CE94A06408E}"/>
                </c:ext>
              </c:extLst>
            </c:dLbl>
            <c:dLbl>
              <c:idx val="1"/>
              <c:layout>
                <c:manualLayout>
                  <c:x val="-2.5751070060596119E-2"/>
                  <c:y val="-2.9739776951672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CF-4CCE-ADE9-5CE94A06408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CF-4CCE-ADE9-5CE94A06408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CF-4CCE-ADE9-5CE94A0640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'H&amp;M'!$Z$58:$AE$58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'H&amp;M'!$Z$61:$AE$61</c:f>
              <c:numCache>
                <c:formatCode>0.00</c:formatCode>
                <c:ptCount val="6"/>
                <c:pt idx="0">
                  <c:v>0</c:v>
                </c:pt>
                <c:pt idx="1">
                  <c:v>0.5755259121438131</c:v>
                </c:pt>
                <c:pt idx="2">
                  <c:v>4.31356770020416E-2</c:v>
                </c:pt>
                <c:pt idx="3">
                  <c:v>2.0681006028732594E-2</c:v>
                </c:pt>
                <c:pt idx="4">
                  <c:v>3.8380490784878082E-2</c:v>
                </c:pt>
                <c:pt idx="5">
                  <c:v>1.7428707285048729E-2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ECF-4CCE-ADE9-5CE94A06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51535"/>
        <c:axId val="1924039887"/>
      </c:scatterChart>
      <c:scatterChart>
        <c:scatterStyle val="lineMarker"/>
        <c:varyColors val="0"/>
        <c:ser>
          <c:idx val="2"/>
          <c:order val="2"/>
          <c:tx>
            <c:strRef>
              <c:f>'H&amp;M'!$Y$62</c:f>
              <c:strCache>
                <c:ptCount val="1"/>
                <c:pt idx="0">
                  <c:v> Apalancamiento financiero 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1530750168322553E-3"/>
                  <c:y val="-2.72614622057001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CF-4CCE-ADE9-5CE94A06408E}"/>
                </c:ext>
              </c:extLst>
            </c:dLbl>
            <c:dLbl>
              <c:idx val="2"/>
              <c:layout>
                <c:manualLayout>
                  <c:x val="-7.1530750168322553E-3"/>
                  <c:y val="-2.47831474597274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CF-4CCE-ADE9-5CE94A06408E}"/>
                </c:ext>
              </c:extLst>
            </c:dLbl>
            <c:dLbl>
              <c:idx val="3"/>
              <c:layout>
                <c:manualLayout>
                  <c:x val="-2.6501031740463084E-2"/>
                  <c:y val="-3.4803655315559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ECF-4CCE-ADE9-5CE94A0640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'H&amp;M'!$AA$58:$AE$58</c:f>
              <c:numCache>
                <c:formatCode>@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'H&amp;M'!$AA$62:$AE$62</c:f>
              <c:numCache>
                <c:formatCode>0.0</c:formatCode>
                <c:ptCount val="5"/>
                <c:pt idx="0">
                  <c:v>37.268829390956121</c:v>
                </c:pt>
                <c:pt idx="1">
                  <c:v>4.3114790738256126</c:v>
                </c:pt>
                <c:pt idx="2">
                  <c:v>2.2866918819211248</c:v>
                </c:pt>
                <c:pt idx="3">
                  <c:v>2.251139987282412</c:v>
                </c:pt>
                <c:pt idx="4">
                  <c:v>1.9942417360238294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ECF-4CCE-ADE9-5CE94A06408E}"/>
            </c:ext>
          </c:extLst>
        </c:ser>
        <c:ser>
          <c:idx val="3"/>
          <c:order val="3"/>
          <c:tx>
            <c:strRef>
              <c:f>'H&amp;M'!$Y$63</c:f>
              <c:strCache>
                <c:ptCount val="1"/>
                <c:pt idx="0">
                  <c:v> Apalancamiento financiero* 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8597995043763919E-2"/>
                  <c:y val="-2.4783147459727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CF-4CCE-ADE9-5CE94A06408E}"/>
                </c:ext>
              </c:extLst>
            </c:dLbl>
            <c:dLbl>
              <c:idx val="1"/>
              <c:layout>
                <c:manualLayout>
                  <c:x val="-1.287553503029806E-2"/>
                  <c:y val="-2.4783147459727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CF-4CCE-ADE9-5CE94A06408E}"/>
                </c:ext>
              </c:extLst>
            </c:dLbl>
            <c:dLbl>
              <c:idx val="2"/>
              <c:layout>
                <c:manualLayout>
                  <c:x val="-2.6049653439017502E-2"/>
                  <c:y val="2.7368644519118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CF-4CCE-ADE9-5CE94A06408E}"/>
                </c:ext>
              </c:extLst>
            </c:dLbl>
            <c:dLbl>
              <c:idx val="3"/>
              <c:layout>
                <c:manualLayout>
                  <c:x val="-2.3188402772905198E-2"/>
                  <c:y val="2.32024368770396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ECF-4CCE-ADE9-5CE94A0640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'H&amp;M'!$AA$58:$AE$58</c:f>
              <c:numCache>
                <c:formatCode>@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'H&amp;M'!$AA$63:$AE$63</c:f>
              <c:numCache>
                <c:formatCode>0.0</c:formatCode>
                <c:ptCount val="5"/>
                <c:pt idx="0">
                  <c:v>10.971459317093037</c:v>
                </c:pt>
                <c:pt idx="1">
                  <c:v>1.6263108000834623</c:v>
                </c:pt>
                <c:pt idx="2">
                  <c:v>9.7375927167023382E-2</c:v>
                </c:pt>
                <c:pt idx="3">
                  <c:v>9.8183807485641983E-2</c:v>
                </c:pt>
                <c:pt idx="4">
                  <c:v>7.9443184196014496E-2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ECF-4CCE-ADE9-5CE94A06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01967"/>
        <c:axId val="697900303"/>
      </c:scatterChart>
      <c:valAx>
        <c:axId val="1924051535"/>
        <c:scaling>
          <c:orientation val="minMax"/>
          <c:max val="2023"/>
          <c:min val="2016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crossBetween val="midCat"/>
        <c:majorUnit val="1"/>
        <c:minorUnit val="1"/>
      </c:valAx>
      <c:valAx>
        <c:axId val="1924039887"/>
        <c:scaling>
          <c:orientation val="minMax"/>
          <c:max val="1.2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midCat"/>
      </c:valAx>
      <c:valAx>
        <c:axId val="697900303"/>
        <c:scaling>
          <c:orientation val="minMax"/>
          <c:max val="38"/>
          <c:min val="-5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697901967"/>
        <c:crosses val="max"/>
        <c:crossBetween val="midCat"/>
      </c:valAx>
      <c:valAx>
        <c:axId val="697901967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69790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867337831622478E-2"/>
          <c:y val="0.93384870571475942"/>
          <c:w val="0.52120166899618547"/>
          <c:h val="6.6151663787448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Indicadores de Rentabilidad (Márgenes)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879112604497702"/>
          <c:y val="8.1875239278279915E-2"/>
          <c:w val="0.80837082768252944"/>
          <c:h val="0.76906691614043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'H&amp;M'!$Y$71</c:f>
              <c:strCache>
                <c:ptCount val="1"/>
                <c:pt idx="0">
                  <c:v> Margen Bruto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6452442159383053E-2"/>
                  <c:y val="2.62725779967159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7E-4083-B82E-A9686118F9E5}"/>
                </c:ext>
              </c:extLst>
            </c:dLbl>
            <c:dLbl>
              <c:idx val="1"/>
              <c:layout>
                <c:manualLayout>
                  <c:x val="-2.6735218508997467E-2"/>
                  <c:y val="2.408319649698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7E-4083-B82E-A9686118F9E5}"/>
                </c:ext>
              </c:extLst>
            </c:dLbl>
            <c:dLbl>
              <c:idx val="2"/>
              <c:layout>
                <c:manualLayout>
                  <c:x val="8.0675924186266303E-4"/>
                  <c:y val="2.18938149972632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7E-4083-B82E-A9686118F9E5}"/>
                </c:ext>
              </c:extLst>
            </c:dLbl>
            <c:dLbl>
              <c:idx val="4"/>
              <c:layout>
                <c:manualLayout>
                  <c:x val="-8.6471837441144152E-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7E-4083-B82E-A9686118F9E5}"/>
                </c:ext>
              </c:extLst>
            </c:dLbl>
            <c:dLbl>
              <c:idx val="5"/>
              <c:layout>
                <c:manualLayout>
                  <c:x val="3.1829698077327126E-3"/>
                  <c:y val="4.37876299945265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7E-4083-B82E-A9686118F9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'H&amp;M'!$Z$70:$AE$70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'H&amp;M'!$Z$71:$AE$71</c:f>
              <c:numCache>
                <c:formatCode>0%</c:formatCode>
                <c:ptCount val="6"/>
                <c:pt idx="0">
                  <c:v>0.48711854370945434</c:v>
                </c:pt>
                <c:pt idx="1">
                  <c:v>0.52350062109967943</c:v>
                </c:pt>
                <c:pt idx="2">
                  <c:v>0.51266659911683299</c:v>
                </c:pt>
                <c:pt idx="3">
                  <c:v>0.48720083573584927</c:v>
                </c:pt>
                <c:pt idx="4">
                  <c:v>0.36620612317163798</c:v>
                </c:pt>
                <c:pt idx="5">
                  <c:v>0.42721464075345844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7E-4083-B82E-A9686118F9E5}"/>
            </c:ext>
          </c:extLst>
        </c:ser>
        <c:ser>
          <c:idx val="1"/>
          <c:order val="1"/>
          <c:tx>
            <c:strRef>
              <c:f>'H&amp;M'!$Y$72</c:f>
              <c:strCache>
                <c:ptCount val="1"/>
                <c:pt idx="0">
                  <c:v> Margen Operacional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numRef>
              <c:f>'H&amp;M'!$Z$70:$AE$70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'H&amp;M'!$Z$72:$AE$72</c:f>
              <c:numCache>
                <c:formatCode>0%</c:formatCode>
                <c:ptCount val="6"/>
                <c:pt idx="0">
                  <c:v>-9.9883300506535849E-2</c:v>
                </c:pt>
                <c:pt idx="1">
                  <c:v>4.8187378520842192E-2</c:v>
                </c:pt>
                <c:pt idx="2">
                  <c:v>9.496780498261749E-2</c:v>
                </c:pt>
                <c:pt idx="3">
                  <c:v>0.10476956115325309</c:v>
                </c:pt>
                <c:pt idx="4">
                  <c:v>0.10191840016178233</c:v>
                </c:pt>
                <c:pt idx="5">
                  <c:v>0.12955969277993973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7E-4083-B82E-A9686118F9E5}"/>
            </c:ext>
          </c:extLst>
        </c:ser>
        <c:ser>
          <c:idx val="2"/>
          <c:order val="2"/>
          <c:tx>
            <c:strRef>
              <c:f>'H&amp;M'!$Y$73</c:f>
              <c:strCache>
                <c:ptCount val="1"/>
                <c:pt idx="0">
                  <c:v> Margen EBITDA 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8833700559664317E-3"/>
                  <c:y val="1.7239224407293916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7E-4083-B82E-A9686118F9E5}"/>
                </c:ext>
              </c:extLst>
            </c:dLbl>
            <c:dLbl>
              <c:idx val="1"/>
              <c:layout>
                <c:manualLayout>
                  <c:x val="2.0930192836524503E-3"/>
                  <c:y val="-2.18938149972632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7E-4083-B82E-A9686118F9E5}"/>
                </c:ext>
              </c:extLst>
            </c:dLbl>
            <c:dLbl>
              <c:idx val="2"/>
              <c:layout>
                <c:manualLayout>
                  <c:x val="4.6945758678212943E-3"/>
                  <c:y val="-2.18938149972640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7E-4083-B82E-A9686118F9E5}"/>
                </c:ext>
              </c:extLst>
            </c:dLbl>
            <c:dLbl>
              <c:idx val="3"/>
              <c:layout>
                <c:manualLayout>
                  <c:x val="2.8632266953615613E-3"/>
                  <c:y val="-2.18938149972640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7E-4083-B82E-A9686118F9E5}"/>
                </c:ext>
              </c:extLst>
            </c:dLbl>
            <c:dLbl>
              <c:idx val="4"/>
              <c:layout>
                <c:manualLayout>
                  <c:x val="5.8141322356397422E-4"/>
                  <c:y val="-8.027639429687483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7E-4083-B82E-A9686118F9E5}"/>
                </c:ext>
              </c:extLst>
            </c:dLbl>
            <c:dLbl>
              <c:idx val="5"/>
              <c:layout>
                <c:manualLayout>
                  <c:x val="7.4128477974960293E-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7E-4083-B82E-A9686118F9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'H&amp;M'!$Z$70:$AE$70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'H&amp;M'!$Z$73:$AE$73</c:f>
              <c:numCache>
                <c:formatCode>0%</c:formatCode>
                <c:ptCount val="6"/>
                <c:pt idx="0">
                  <c:v>-5.9110142286888948E-2</c:v>
                </c:pt>
                <c:pt idx="1">
                  <c:v>0.10513845484822026</c:v>
                </c:pt>
                <c:pt idx="2">
                  <c:v>0.16035861874042126</c:v>
                </c:pt>
                <c:pt idx="3">
                  <c:v>0.19204070490744166</c:v>
                </c:pt>
                <c:pt idx="4">
                  <c:v>0.13764317356992375</c:v>
                </c:pt>
                <c:pt idx="5">
                  <c:v>0.19142692466582192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7E-4083-B82E-A9686118F9E5}"/>
            </c:ext>
          </c:extLst>
        </c:ser>
        <c:ser>
          <c:idx val="3"/>
          <c:order val="3"/>
          <c:tx>
            <c:strRef>
              <c:f>'H&amp;M'!$Y$74</c:f>
              <c:strCache>
                <c:ptCount val="1"/>
                <c:pt idx="0">
                  <c:v> Margen Neto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numRef>
              <c:f>'H&amp;M'!$Z$70:$AE$70</c:f>
              <c:numCache>
                <c:formatCode>@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'H&amp;M'!$Z$74:$AE$74</c:f>
              <c:numCache>
                <c:formatCode>0%</c:formatCode>
                <c:ptCount val="6"/>
                <c:pt idx="0">
                  <c:v>-0.17217475260548581</c:v>
                </c:pt>
                <c:pt idx="1">
                  <c:v>-1.9535248274576918E-2</c:v>
                </c:pt>
                <c:pt idx="2">
                  <c:v>9.8535487300329908E-3</c:v>
                </c:pt>
                <c:pt idx="3">
                  <c:v>4.8476472365310309E-2</c:v>
                </c:pt>
                <c:pt idx="4">
                  <c:v>4.8939720055455257E-2</c:v>
                </c:pt>
                <c:pt idx="5">
                  <c:v>8.5801501254404042E-2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D7E-4083-B82E-A9686118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051535"/>
        <c:axId val="1924039887"/>
      </c:barChart>
      <c:catAx>
        <c:axId val="1924051535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39887"/>
        <c:crosses val="autoZero"/>
        <c:auto val="1"/>
        <c:lblAlgn val="ctr"/>
        <c:lblOffset val="100"/>
        <c:noMultiLvlLbl val="0"/>
      </c:catAx>
      <c:valAx>
        <c:axId val="1924039887"/>
        <c:scaling>
          <c:orientation val="minMax"/>
          <c:min val="-0.22000000000000003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240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90858854725419"/>
          <c:y val="0.91068361009329279"/>
          <c:w val="0.65884623200725867"/>
          <c:h val="4.1909588887595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13921</xdr:colOff>
      <xdr:row>48</xdr:row>
      <xdr:rowOff>148004</xdr:rowOff>
    </xdr:from>
    <xdr:to>
      <xdr:col>33</xdr:col>
      <xdr:colOff>623520</xdr:colOff>
      <xdr:row>50</xdr:row>
      <xdr:rowOff>27384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9">
              <a:extLst>
                <a:ext uri="{FF2B5EF4-FFF2-40B4-BE49-F238E27FC236}">
                  <a16:creationId xmlns:a16="http://schemas.microsoft.com/office/drawing/2014/main" id="{C18D468B-9AA3-432C-A26E-E453661EF717}"/>
                </a:ext>
              </a:extLst>
            </xdr:cNvPr>
            <xdr:cNvSpPr txBox="1"/>
          </xdr:nvSpPr>
          <xdr:spPr>
            <a:xfrm>
              <a:off x="34648286" y="10347081"/>
              <a:ext cx="2133599" cy="3043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Raz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Corriente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Corrientes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Pasivos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Corrientes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9">
              <a:extLst>
                <a:ext uri="{FF2B5EF4-FFF2-40B4-BE49-F238E27FC236}">
                  <a16:creationId xmlns:a16="http://schemas.microsoft.com/office/drawing/2014/main" id="{C18D468B-9AA3-432C-A26E-E453661EF717}"/>
                </a:ext>
              </a:extLst>
            </xdr:cNvPr>
            <xdr:cNvSpPr txBox="1"/>
          </xdr:nvSpPr>
          <xdr:spPr>
            <a:xfrm>
              <a:off x="34648286" y="10347081"/>
              <a:ext cx="2133599" cy="3043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"Razón Corriente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"Activos Corrientes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Pasivos Corrientes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31</xdr:col>
      <xdr:colOff>49089</xdr:colOff>
      <xdr:row>50</xdr:row>
      <xdr:rowOff>195628</xdr:rowOff>
    </xdr:from>
    <xdr:to>
      <xdr:col>37</xdr:col>
      <xdr:colOff>416796</xdr:colOff>
      <xdr:row>52</xdr:row>
      <xdr:rowOff>78149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9">
              <a:extLst>
                <a:ext uri="{FF2B5EF4-FFF2-40B4-BE49-F238E27FC236}">
                  <a16:creationId xmlns:a16="http://schemas.microsoft.com/office/drawing/2014/main" id="{F8ED2864-2471-448D-8F48-8ECBACEF8771}"/>
                </a:ext>
              </a:extLst>
            </xdr:cNvPr>
            <xdr:cNvSpPr txBox="1"/>
          </xdr:nvSpPr>
          <xdr:spPr>
            <a:xfrm>
              <a:off x="35189012" y="10819666"/>
              <a:ext cx="4939707" cy="30748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Prueba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Á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cida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Efectivo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+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Inversiones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corto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plazo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+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Pasivos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Corrientes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9">
              <a:extLst>
                <a:ext uri="{FF2B5EF4-FFF2-40B4-BE49-F238E27FC236}">
                  <a16:creationId xmlns:a16="http://schemas.microsoft.com/office/drawing/2014/main" id="{F8ED2864-2471-448D-8F48-8ECBACEF8771}"/>
                </a:ext>
              </a:extLst>
            </xdr:cNvPr>
            <xdr:cNvSpPr txBox="1"/>
          </xdr:nvSpPr>
          <xdr:spPr>
            <a:xfrm>
              <a:off x="35189012" y="10819666"/>
              <a:ext cx="4939707" cy="30748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"Prueba Ácida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"Efectivo + Inversiones corto plazo + 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Pasivos Corrientes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30</xdr:col>
      <xdr:colOff>1066068</xdr:colOff>
      <xdr:row>53</xdr:row>
      <xdr:rowOff>70336</xdr:rowOff>
    </xdr:from>
    <xdr:to>
      <xdr:col>36</xdr:col>
      <xdr:colOff>414477</xdr:colOff>
      <xdr:row>54</xdr:row>
      <xdr:rowOff>22711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9">
              <a:extLst>
                <a:ext uri="{FF2B5EF4-FFF2-40B4-BE49-F238E27FC236}">
                  <a16:creationId xmlns:a16="http://schemas.microsoft.com/office/drawing/2014/main" id="{1D1BCF7F-B197-4E82-B91E-D5C5E5D39B43}"/>
                </a:ext>
              </a:extLst>
            </xdr:cNvPr>
            <xdr:cNvSpPr txBox="1"/>
          </xdr:nvSpPr>
          <xdr:spPr>
            <a:xfrm>
              <a:off x="35055664" y="11331817"/>
              <a:ext cx="4308736" cy="16485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Capital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trabajo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Corriente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a:rPr lang="es-MX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Tahoma" panose="020B0604030504040204" pitchFamily="34" charset="0"/>
                      </a:rPr>
                      <m:t>−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Pasivo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Corriente</m:t>
                    </m:r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" name="CuadroTexto 9">
              <a:extLst>
                <a:ext uri="{FF2B5EF4-FFF2-40B4-BE49-F238E27FC236}">
                  <a16:creationId xmlns:a16="http://schemas.microsoft.com/office/drawing/2014/main" id="{1D1BCF7F-B197-4E82-B91E-D5C5E5D39B43}"/>
                </a:ext>
              </a:extLst>
            </xdr:cNvPr>
            <xdr:cNvSpPr txBox="1"/>
          </xdr:nvSpPr>
          <xdr:spPr>
            <a:xfrm>
              <a:off x="35055664" y="11331817"/>
              <a:ext cx="4308736" cy="16485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"Capital de trabajo = Activo Corriente </a:t>
              </a:r>
              <a:r>
                <a:rPr lang="es-MX" sz="10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"−"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Pasivo Corriente</a:t>
              </a:r>
              <a:r>
                <a:rPr lang="es-CO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31</xdr:col>
      <xdr:colOff>16119</xdr:colOff>
      <xdr:row>54</xdr:row>
      <xdr:rowOff>207350</xdr:rowOff>
    </xdr:from>
    <xdr:to>
      <xdr:col>35</xdr:col>
      <xdr:colOff>435218</xdr:colOff>
      <xdr:row>56</xdr:row>
      <xdr:rowOff>114431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2">
              <a:extLst>
                <a:ext uri="{FF2B5EF4-FFF2-40B4-BE49-F238E27FC236}">
                  <a16:creationId xmlns:a16="http://schemas.microsoft.com/office/drawing/2014/main" id="{1A3EB1EC-D1EF-4894-B57D-7B3960DE4B62}"/>
                </a:ext>
              </a:extLst>
            </xdr:cNvPr>
            <xdr:cNvSpPr txBox="1"/>
          </xdr:nvSpPr>
          <xdr:spPr>
            <a:xfrm>
              <a:off x="35156042" y="11681312"/>
              <a:ext cx="3467099" cy="33204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Liquidez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Efectivo</m:t>
                        </m:r>
                        <m:r>
                          <m:rPr>
                            <m:nor/>
                          </m:rPr>
                          <a:rPr lang="es-MX" sz="10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+ </m:t>
                        </m:r>
                        <m:r>
                          <m:rPr>
                            <m:nor/>
                          </m:rPr>
                          <a:rPr lang="es-MX" sz="10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Inversiones</m:t>
                        </m:r>
                        <m:r>
                          <m:rPr>
                            <m:nor/>
                          </m:rPr>
                          <a:rPr lang="es-MX" sz="10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corto</m:t>
                        </m:r>
                        <m:r>
                          <m:rPr>
                            <m:nor/>
                          </m:rPr>
                          <a:rPr lang="es-MX" sz="10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plazo</m:t>
                        </m:r>
                        <m:r>
                          <m:rPr>
                            <m:nor/>
                          </m:rPr>
                          <a:rPr lang="es-MX" sz="10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Obligaciones</m:t>
                        </m:r>
                        <m:r>
                          <m:rPr>
                            <m:nor/>
                          </m:rPr>
                          <a:rPr lang="es-MX" sz="10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exigibles</m:t>
                        </m:r>
                        <m:r>
                          <m:rPr>
                            <m:nor/>
                          </m:rPr>
                          <a:rPr lang="es-MX" sz="10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corto</m:t>
                        </m:r>
                        <m:r>
                          <m:rPr>
                            <m:nor/>
                          </m:rPr>
                          <a:rPr lang="es-MX" sz="10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plazo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5" name="CuadroTexto 2">
              <a:extLst>
                <a:ext uri="{FF2B5EF4-FFF2-40B4-BE49-F238E27FC236}">
                  <a16:creationId xmlns:a16="http://schemas.microsoft.com/office/drawing/2014/main" id="{1A3EB1EC-D1EF-4894-B57D-7B3960DE4B62}"/>
                </a:ext>
              </a:extLst>
            </xdr:cNvPr>
            <xdr:cNvSpPr txBox="1"/>
          </xdr:nvSpPr>
          <xdr:spPr>
            <a:xfrm>
              <a:off x="35156042" y="11681312"/>
              <a:ext cx="3467099" cy="33204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"Liquidez=" 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"Efectivo + Inversiones corto plazo </a:t>
              </a:r>
              <a:r>
                <a:rPr lang="es-MX" sz="10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Obligaciones exigibles corto plazo</a:t>
              </a:r>
              <a:r>
                <a:rPr lang="es-MX" sz="10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30</xdr:col>
      <xdr:colOff>1044818</xdr:colOff>
      <xdr:row>57</xdr:row>
      <xdr:rowOff>24178</xdr:rowOff>
    </xdr:from>
    <xdr:to>
      <xdr:col>35</xdr:col>
      <xdr:colOff>227228</xdr:colOff>
      <xdr:row>58</xdr:row>
      <xdr:rowOff>118602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9">
              <a:extLst>
                <a:ext uri="{FF2B5EF4-FFF2-40B4-BE49-F238E27FC236}">
                  <a16:creationId xmlns:a16="http://schemas.microsoft.com/office/drawing/2014/main" id="{0B426FF3-357F-4BAB-871C-A3FD7B8C9C48}"/>
                </a:ext>
              </a:extLst>
            </xdr:cNvPr>
            <xdr:cNvSpPr txBox="1"/>
          </xdr:nvSpPr>
          <xdr:spPr>
            <a:xfrm>
              <a:off x="35034414" y="12135582"/>
              <a:ext cx="3380737" cy="30690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Nivel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endeudamiento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Pasivo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6" name="CuadroTexto 9">
              <a:extLst>
                <a:ext uri="{FF2B5EF4-FFF2-40B4-BE49-F238E27FC236}">
                  <a16:creationId xmlns:a16="http://schemas.microsoft.com/office/drawing/2014/main" id="{0B426FF3-357F-4BAB-871C-A3FD7B8C9C48}"/>
                </a:ext>
              </a:extLst>
            </xdr:cNvPr>
            <xdr:cNvSpPr txBox="1"/>
          </xdr:nvSpPr>
          <xdr:spPr>
            <a:xfrm>
              <a:off x="35034414" y="12135582"/>
              <a:ext cx="3380737" cy="30690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"Nivel de endeudamiento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"Pasivo Total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Activo Total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30</xdr:col>
      <xdr:colOff>1081453</xdr:colOff>
      <xdr:row>61</xdr:row>
      <xdr:rowOff>56416</xdr:rowOff>
    </xdr:from>
    <xdr:to>
      <xdr:col>35</xdr:col>
      <xdr:colOff>263863</xdr:colOff>
      <xdr:row>62</xdr:row>
      <xdr:rowOff>147910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15">
              <a:extLst>
                <a:ext uri="{FF2B5EF4-FFF2-40B4-BE49-F238E27FC236}">
                  <a16:creationId xmlns:a16="http://schemas.microsoft.com/office/drawing/2014/main" id="{FE1DD6FE-3DB7-41B6-A01F-8CAE8845BE68}"/>
                </a:ext>
              </a:extLst>
            </xdr:cNvPr>
            <xdr:cNvSpPr txBox="1"/>
          </xdr:nvSpPr>
          <xdr:spPr>
            <a:xfrm>
              <a:off x="35071049" y="13017743"/>
              <a:ext cx="3380737" cy="3039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Nivel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endeudamiento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Deuda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7" name="CuadroTexto 15">
              <a:extLst>
                <a:ext uri="{FF2B5EF4-FFF2-40B4-BE49-F238E27FC236}">
                  <a16:creationId xmlns:a16="http://schemas.microsoft.com/office/drawing/2014/main" id="{FE1DD6FE-3DB7-41B6-A01F-8CAE8845BE68}"/>
                </a:ext>
              </a:extLst>
            </xdr:cNvPr>
            <xdr:cNvSpPr txBox="1"/>
          </xdr:nvSpPr>
          <xdr:spPr>
            <a:xfrm>
              <a:off x="35071049" y="13017743"/>
              <a:ext cx="3380737" cy="3039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"Nivel de endeudamiento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"Total Deuda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Activo Total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30</xdr:col>
      <xdr:colOff>997927</xdr:colOff>
      <xdr:row>59</xdr:row>
      <xdr:rowOff>185369</xdr:rowOff>
    </xdr:from>
    <xdr:to>
      <xdr:col>38</xdr:col>
      <xdr:colOff>22631</xdr:colOff>
      <xdr:row>60</xdr:row>
      <xdr:rowOff>129662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1">
              <a:extLst>
                <a:ext uri="{FF2B5EF4-FFF2-40B4-BE49-F238E27FC236}">
                  <a16:creationId xmlns:a16="http://schemas.microsoft.com/office/drawing/2014/main" id="{A762F379-F8CF-4857-8ED1-30388F135CCC}"/>
                </a:ext>
              </a:extLst>
            </xdr:cNvPr>
            <xdr:cNvSpPr txBox="1"/>
          </xdr:nvSpPr>
          <xdr:spPr>
            <a:xfrm>
              <a:off x="34987523" y="12721734"/>
              <a:ext cx="5509031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Total</m:t>
                    </m:r>
                    <m:r>
                      <m:rPr>
                        <m:nor/>
                      </m:rPr>
                      <a:rPr lang="es-MX" sz="10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Deuda</m:t>
                    </m:r>
                    <m:r>
                      <m:rPr>
                        <m:nor/>
                      </m:rPr>
                      <a:rPr lang="es-MX" sz="10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pasivos</m:t>
                    </m:r>
                    <m:r>
                      <m:rPr>
                        <m:nor/>
                      </m:rPr>
                      <a:rPr lang="es-MX" sz="10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</m:t>
                    </m:r>
                    <m:r>
                      <m:rPr>
                        <m:nor/>
                      </m:rPr>
                      <a:rPr lang="es-MX" sz="10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terceros</m:t>
                    </m:r>
                    <m:r>
                      <m:rPr>
                        <m:nor/>
                      </m:rPr>
                      <a:rPr lang="es-MX" sz="10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obligaciones</m:t>
                    </m:r>
                    <m:r>
                      <m:rPr>
                        <m:nor/>
                      </m:rPr>
                      <a:rPr lang="es-MX" sz="10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que</m:t>
                    </m:r>
                    <m:r>
                      <m:rPr>
                        <m:nor/>
                      </m:rPr>
                      <a:rPr lang="es-MX" sz="10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devengan</m:t>
                    </m:r>
                    <m:r>
                      <m:rPr>
                        <m:nor/>
                      </m:rPr>
                      <a:rPr lang="es-MX" sz="10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intereses</m:t>
                    </m:r>
                  </m:oMath>
                </m:oMathPara>
              </a14:m>
              <a:endParaRPr lang="es-MX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8" name="CuadroTexto 1">
              <a:extLst>
                <a:ext uri="{FF2B5EF4-FFF2-40B4-BE49-F238E27FC236}">
                  <a16:creationId xmlns:a16="http://schemas.microsoft.com/office/drawing/2014/main" id="{A762F379-F8CF-4857-8ED1-30388F135CCC}"/>
                </a:ext>
              </a:extLst>
            </xdr:cNvPr>
            <xdr:cNvSpPr txBox="1"/>
          </xdr:nvSpPr>
          <xdr:spPr>
            <a:xfrm>
              <a:off x="34987523" y="12721734"/>
              <a:ext cx="5509031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"Total Deuda = pasivos con terceros = obligaciones que devengan intereses</a:t>
              </a:r>
              <a:r>
                <a:rPr lang="es-CO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MX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30</xdr:col>
      <xdr:colOff>1090245</xdr:colOff>
      <xdr:row>68</xdr:row>
      <xdr:rowOff>98913</xdr:rowOff>
    </xdr:from>
    <xdr:to>
      <xdr:col>34</xdr:col>
      <xdr:colOff>729247</xdr:colOff>
      <xdr:row>69</xdr:row>
      <xdr:rowOff>188913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9">
              <a:extLst>
                <a:ext uri="{FF2B5EF4-FFF2-40B4-BE49-F238E27FC236}">
                  <a16:creationId xmlns:a16="http://schemas.microsoft.com/office/drawing/2014/main" id="{FF83042C-66A4-4D6C-913B-1B7709882289}"/>
                </a:ext>
              </a:extLst>
            </xdr:cNvPr>
            <xdr:cNvSpPr txBox="1"/>
          </xdr:nvSpPr>
          <xdr:spPr>
            <a:xfrm>
              <a:off x="35079841" y="14503644"/>
              <a:ext cx="3075329" cy="30248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Cobertura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intereses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EBIT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Intereses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2" name="CuadroTexto 9">
              <a:extLst>
                <a:ext uri="{FF2B5EF4-FFF2-40B4-BE49-F238E27FC236}">
                  <a16:creationId xmlns:a16="http://schemas.microsoft.com/office/drawing/2014/main" id="{FF83042C-66A4-4D6C-913B-1B7709882289}"/>
                </a:ext>
              </a:extLst>
            </xdr:cNvPr>
            <xdr:cNvSpPr txBox="1"/>
          </xdr:nvSpPr>
          <xdr:spPr>
            <a:xfrm>
              <a:off x="35079841" y="14503644"/>
              <a:ext cx="3075329" cy="30248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"Cobertura de intereses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"EBIT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Intereses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30</xdr:col>
      <xdr:colOff>1149595</xdr:colOff>
      <xdr:row>73</xdr:row>
      <xdr:rowOff>6594</xdr:rowOff>
    </xdr:from>
    <xdr:to>
      <xdr:col>35</xdr:col>
      <xdr:colOff>383072</xdr:colOff>
      <xdr:row>74</xdr:row>
      <xdr:rowOff>112907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9">
              <a:extLst>
                <a:ext uri="{FF2B5EF4-FFF2-40B4-BE49-F238E27FC236}">
                  <a16:creationId xmlns:a16="http://schemas.microsoft.com/office/drawing/2014/main" id="{6B0C2BC5-F93D-4A38-ADFE-875991B3C0EE}"/>
                </a:ext>
              </a:extLst>
            </xdr:cNvPr>
            <xdr:cNvSpPr txBox="1"/>
          </xdr:nvSpPr>
          <xdr:spPr>
            <a:xfrm>
              <a:off x="35139191" y="15473729"/>
              <a:ext cx="3431804" cy="31879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Impacto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la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carga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finaniciera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Intereses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3" name="CuadroTexto 9">
              <a:extLst>
                <a:ext uri="{FF2B5EF4-FFF2-40B4-BE49-F238E27FC236}">
                  <a16:creationId xmlns:a16="http://schemas.microsoft.com/office/drawing/2014/main" id="{6B0C2BC5-F93D-4A38-ADFE-875991B3C0EE}"/>
                </a:ext>
              </a:extLst>
            </xdr:cNvPr>
            <xdr:cNvSpPr txBox="1"/>
          </xdr:nvSpPr>
          <xdr:spPr>
            <a:xfrm>
              <a:off x="35139191" y="15473729"/>
              <a:ext cx="3431804" cy="31879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"Impacto de la carga finaniciera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"Intereses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30</xdr:col>
      <xdr:colOff>1007453</xdr:colOff>
      <xdr:row>79</xdr:row>
      <xdr:rowOff>68873</xdr:rowOff>
    </xdr:from>
    <xdr:to>
      <xdr:col>34</xdr:col>
      <xdr:colOff>628650</xdr:colOff>
      <xdr:row>81</xdr:row>
      <xdr:rowOff>43150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24">
              <a:extLst>
                <a:ext uri="{FF2B5EF4-FFF2-40B4-BE49-F238E27FC236}">
                  <a16:creationId xmlns:a16="http://schemas.microsoft.com/office/drawing/2014/main" id="{4F9B92F1-D54B-47E2-8BF0-A0E83F54121A}"/>
                </a:ext>
              </a:extLst>
            </xdr:cNvPr>
            <xdr:cNvSpPr txBox="1"/>
          </xdr:nvSpPr>
          <xdr:spPr>
            <a:xfrm>
              <a:off x="34997049" y="16766931"/>
              <a:ext cx="3057524" cy="39923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ROA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CO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Utilidad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Neta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Totales</m:t>
                        </m:r>
                      </m:den>
                    </m:f>
                  </m:oMath>
                </m:oMathPara>
              </a14:m>
              <a:endParaRPr lang="es-CO" sz="1000"/>
            </a:p>
          </xdr:txBody>
        </xdr:sp>
      </mc:Choice>
      <mc:Fallback xmlns="">
        <xdr:sp macro="" textlink="">
          <xdr:nvSpPr>
            <xdr:cNvPr id="14" name="CuadroTexto 24">
              <a:extLst>
                <a:ext uri="{FF2B5EF4-FFF2-40B4-BE49-F238E27FC236}">
                  <a16:creationId xmlns:a16="http://schemas.microsoft.com/office/drawing/2014/main" id="{4F9B92F1-D54B-47E2-8BF0-A0E83F54121A}"/>
                </a:ext>
              </a:extLst>
            </xdr:cNvPr>
            <xdr:cNvSpPr txBox="1"/>
          </xdr:nvSpPr>
          <xdr:spPr>
            <a:xfrm>
              <a:off x="34997049" y="16766931"/>
              <a:ext cx="3057524" cy="39923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"ROA = </a:t>
              </a:r>
              <a:r>
                <a:rPr lang="es-CO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"Utilidad Neta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CO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/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Prom. Activos Totales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/>
            </a:p>
          </xdr:txBody>
        </xdr:sp>
      </mc:Fallback>
    </mc:AlternateContent>
    <xdr:clientData/>
  </xdr:twoCellAnchor>
  <xdr:twoCellAnchor>
    <xdr:from>
      <xdr:col>31</xdr:col>
      <xdr:colOff>732</xdr:colOff>
      <xdr:row>75</xdr:row>
      <xdr:rowOff>21981</xdr:rowOff>
    </xdr:from>
    <xdr:to>
      <xdr:col>35</xdr:col>
      <xdr:colOff>267433</xdr:colOff>
      <xdr:row>76</xdr:row>
      <xdr:rowOff>204507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26">
              <a:extLst>
                <a:ext uri="{FF2B5EF4-FFF2-40B4-BE49-F238E27FC236}">
                  <a16:creationId xmlns:a16="http://schemas.microsoft.com/office/drawing/2014/main" id="{46B8AE8C-07FD-46B8-81C2-CA89366576F1}"/>
                </a:ext>
              </a:extLst>
            </xdr:cNvPr>
            <xdr:cNvSpPr txBox="1"/>
          </xdr:nvSpPr>
          <xdr:spPr>
            <a:xfrm>
              <a:off x="35140655" y="15892096"/>
              <a:ext cx="3314701" cy="39500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ROA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Operacional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CO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EBIT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Totales</m:t>
                        </m:r>
                      </m:den>
                    </m:f>
                  </m:oMath>
                </m:oMathPara>
              </a14:m>
              <a:endParaRPr lang="es-CO" sz="1000"/>
            </a:p>
          </xdr:txBody>
        </xdr:sp>
      </mc:Choice>
      <mc:Fallback xmlns="">
        <xdr:sp macro="" textlink="">
          <xdr:nvSpPr>
            <xdr:cNvPr id="15" name="CuadroTexto 26">
              <a:extLst>
                <a:ext uri="{FF2B5EF4-FFF2-40B4-BE49-F238E27FC236}">
                  <a16:creationId xmlns:a16="http://schemas.microsoft.com/office/drawing/2014/main" id="{46B8AE8C-07FD-46B8-81C2-CA89366576F1}"/>
                </a:ext>
              </a:extLst>
            </xdr:cNvPr>
            <xdr:cNvSpPr txBox="1"/>
          </xdr:nvSpPr>
          <xdr:spPr>
            <a:xfrm>
              <a:off x="35140655" y="15892096"/>
              <a:ext cx="3314701" cy="39500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"ROA Operacional = </a:t>
              </a:r>
              <a:r>
                <a:rPr lang="es-CO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"EBIT</a:t>
              </a:r>
              <a:r>
                <a:rPr lang="es-MX" sz="10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CO" sz="10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/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Prom. Activos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Totales</a:t>
              </a:r>
              <a:r>
                <a:rPr lang="es-MX" sz="10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/>
            </a:p>
          </xdr:txBody>
        </xdr:sp>
      </mc:Fallback>
    </mc:AlternateContent>
    <xdr:clientData/>
  </xdr:twoCellAnchor>
  <xdr:twoCellAnchor>
    <xdr:from>
      <xdr:col>31</xdr:col>
      <xdr:colOff>43229</xdr:colOff>
      <xdr:row>81</xdr:row>
      <xdr:rowOff>124558</xdr:rowOff>
    </xdr:from>
    <xdr:to>
      <xdr:col>34</xdr:col>
      <xdr:colOff>148004</xdr:colOff>
      <xdr:row>83</xdr:row>
      <xdr:rowOff>98835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25">
              <a:extLst>
                <a:ext uri="{FF2B5EF4-FFF2-40B4-BE49-F238E27FC236}">
                  <a16:creationId xmlns:a16="http://schemas.microsoft.com/office/drawing/2014/main" id="{832DE09C-988A-415D-9157-7B8C70D660FD}"/>
                </a:ext>
              </a:extLst>
            </xdr:cNvPr>
            <xdr:cNvSpPr txBox="1"/>
          </xdr:nvSpPr>
          <xdr:spPr>
            <a:xfrm>
              <a:off x="35183152" y="17247577"/>
              <a:ext cx="2390775" cy="39923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</m:t>
                    </m:r>
                    <m:f>
                      <m:fPr>
                        <m:ctrlPr>
                          <a:rPr lang="es-CO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Utilidad</m:t>
                        </m:r>
                        <m:r>
                          <m:rPr>
                            <m:nor/>
                          </m:rPr>
                          <a:rPr lang="es-MX" sz="10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Neta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rom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Patrimonio</m:t>
                        </m:r>
                      </m:den>
                    </m:f>
                  </m:oMath>
                </m:oMathPara>
              </a14:m>
              <a:endParaRPr lang="es-CO" sz="1000"/>
            </a:p>
          </xdr:txBody>
        </xdr:sp>
      </mc:Choice>
      <mc:Fallback xmlns="">
        <xdr:sp macro="" textlink="">
          <xdr:nvSpPr>
            <xdr:cNvPr id="16" name="CuadroTexto 25">
              <a:extLst>
                <a:ext uri="{FF2B5EF4-FFF2-40B4-BE49-F238E27FC236}">
                  <a16:creationId xmlns:a16="http://schemas.microsoft.com/office/drawing/2014/main" id="{832DE09C-988A-415D-9157-7B8C70D660FD}"/>
                </a:ext>
              </a:extLst>
            </xdr:cNvPr>
            <xdr:cNvSpPr txBox="1"/>
          </xdr:nvSpPr>
          <xdr:spPr>
            <a:xfrm>
              <a:off x="35183152" y="17247577"/>
              <a:ext cx="2390775" cy="39923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"ROE =</a:t>
              </a:r>
              <a:r>
                <a:rPr lang="es-CO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"Utilidad Neta</a:t>
              </a:r>
              <a:r>
                <a:rPr lang="es-MX" sz="10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CO" sz="10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/</a:t>
              </a:r>
              <a:r>
                <a:rPr lang="es-MX" sz="10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rom. Patrimonio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/>
            </a:p>
          </xdr:txBody>
        </xdr:sp>
      </mc:Fallback>
    </mc:AlternateContent>
    <xdr:clientData/>
  </xdr:twoCellAnchor>
  <xdr:twoCellAnchor>
    <xdr:from>
      <xdr:col>31</xdr:col>
      <xdr:colOff>128222</xdr:colOff>
      <xdr:row>84</xdr:row>
      <xdr:rowOff>38832</xdr:rowOff>
    </xdr:from>
    <xdr:to>
      <xdr:col>38</xdr:col>
      <xdr:colOff>680672</xdr:colOff>
      <xdr:row>85</xdr:row>
      <xdr:rowOff>127396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9">
              <a:extLst>
                <a:ext uri="{FF2B5EF4-FFF2-40B4-BE49-F238E27FC236}">
                  <a16:creationId xmlns:a16="http://schemas.microsoft.com/office/drawing/2014/main" id="{6B040692-3E83-4650-9AEB-9ABF0E38E00C}"/>
                </a:ext>
              </a:extLst>
            </xdr:cNvPr>
            <xdr:cNvSpPr txBox="1"/>
          </xdr:nvSpPr>
          <xdr:spPr>
            <a:xfrm>
              <a:off x="35268145" y="17799294"/>
              <a:ext cx="5886450" cy="30104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Utilidad</m:t>
                        </m:r>
                        <m:r>
                          <m:rPr>
                            <m:nor/>
                          </m:rPr>
                          <a:rPr lang="es-MX" sz="10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Neta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den>
                    </m:f>
                    <m:r>
                      <m:rPr>
                        <m:nor/>
                      </m:rPr>
                      <a:rPr lang="es-MX" sz="10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Totales</m:t>
                        </m:r>
                      </m:den>
                    </m:f>
                    <m:r>
                      <m:rPr>
                        <m:nor/>
                      </m:rPr>
                      <a:rPr lang="es-MX" sz="10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Totales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</m:t>
                        </m:r>
                        <m:r>
                          <m:rPr>
                            <m:nor/>
                          </m:rPr>
                          <a:rPr lang="es-MX" sz="10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0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Patrimonio</m:t>
                        </m:r>
                      </m:den>
                    </m:f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Utilidad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Neta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Patrimonio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7" name="CuadroTexto 19">
              <a:extLst>
                <a:ext uri="{FF2B5EF4-FFF2-40B4-BE49-F238E27FC236}">
                  <a16:creationId xmlns:a16="http://schemas.microsoft.com/office/drawing/2014/main" id="{6B040692-3E83-4650-9AEB-9ABF0E38E00C}"/>
                </a:ext>
              </a:extLst>
            </xdr:cNvPr>
            <xdr:cNvSpPr txBox="1"/>
          </xdr:nvSpPr>
          <xdr:spPr>
            <a:xfrm>
              <a:off x="35268145" y="17799294"/>
              <a:ext cx="5886450" cy="30104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"ROE = " </a:t>
              </a:r>
              <a:r>
                <a:rPr lang="es-MX" sz="1000" b="0" i="0">
                  <a:solidFill>
                    <a:srgbClr val="14085C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"Utilidad Neta</a:t>
              </a:r>
              <a:r>
                <a:rPr lang="es-MX" sz="1000" b="0" i="0">
                  <a:solidFill>
                    <a:srgbClr val="14085C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</a:t>
              </a:r>
              <a:r>
                <a:rPr lang="es-MX" sz="1000" b="0" i="0">
                  <a:latin typeface="Cambria Math" panose="02040503050406030204" pitchFamily="18" charset="0"/>
                </a:rPr>
                <a:t> 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× </a:t>
              </a:r>
              <a:r>
                <a:rPr lang="es-MX" sz="10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0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Prom. Activos Totales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0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 "</a:t>
              </a:r>
              <a:r>
                <a:rPr lang="es-MX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×</a:t>
              </a:r>
              <a:r>
                <a:rPr lang="es-MX" sz="10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"Prom. Activos Totales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0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/</a:t>
              </a:r>
              <a:r>
                <a:rPr lang="es-MX" sz="1000" b="0" i="0">
                  <a:solidFill>
                    <a:srgbClr val="14085C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</a:t>
              </a:r>
              <a:r>
                <a:rPr lang="es-MX" sz="1000" b="0" i="0">
                  <a:solidFill>
                    <a:srgbClr val="14085C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Prom. Patrimonio</a:t>
              </a:r>
              <a:r>
                <a:rPr lang="es-MX" sz="1000" b="0" i="0">
                  <a:solidFill>
                    <a:srgbClr val="14085C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=" 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"Utilidad Neta</a:t>
              </a:r>
              <a:r>
                <a:rPr lang="es-MX" sz="10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Prom. Patrimonio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31</xdr:col>
      <xdr:colOff>65211</xdr:colOff>
      <xdr:row>87</xdr:row>
      <xdr:rowOff>16851</xdr:rowOff>
    </xdr:from>
    <xdr:to>
      <xdr:col>37</xdr:col>
      <xdr:colOff>475127</xdr:colOff>
      <xdr:row>87</xdr:row>
      <xdr:rowOff>178776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B3B0A0D-D288-4F28-BCBD-CEF15B1AD4C7}"/>
                </a:ext>
              </a:extLst>
            </xdr:cNvPr>
            <xdr:cNvSpPr txBox="1"/>
          </xdr:nvSpPr>
          <xdr:spPr>
            <a:xfrm>
              <a:off x="35205134" y="18370793"/>
              <a:ext cx="4981916" cy="1619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Margen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Neto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×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×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Multiplicador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Capital</m:t>
                    </m:r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B3B0A0D-D288-4F28-BCBD-CEF15B1AD4C7}"/>
                </a:ext>
              </a:extLst>
            </xdr:cNvPr>
            <xdr:cNvSpPr txBox="1"/>
          </xdr:nvSpPr>
          <xdr:spPr>
            <a:xfrm>
              <a:off x="35205134" y="18370793"/>
              <a:ext cx="4981916" cy="1619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"ROE = Margen Neto × Rotación de Activos × Multiplicador de Capital</a:t>
              </a:r>
              <a:r>
                <a:rPr lang="es-CO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30</xdr:col>
      <xdr:colOff>350227</xdr:colOff>
      <xdr:row>3</xdr:row>
      <xdr:rowOff>161925</xdr:rowOff>
    </xdr:from>
    <xdr:to>
      <xdr:col>35</xdr:col>
      <xdr:colOff>84524</xdr:colOff>
      <xdr:row>5</xdr:row>
      <xdr:rowOff>39638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DF357BA7-E2D7-4C9F-86A2-6A226896C911}"/>
                </a:ext>
              </a:extLst>
            </xdr:cNvPr>
            <xdr:cNvSpPr txBox="1"/>
          </xdr:nvSpPr>
          <xdr:spPr>
            <a:xfrm>
              <a:off x="34222592" y="799367"/>
              <a:ext cx="3544297" cy="3026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Totales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DF357BA7-E2D7-4C9F-86A2-6A226896C911}"/>
                </a:ext>
              </a:extLst>
            </xdr:cNvPr>
            <xdr:cNvSpPr txBox="1"/>
          </xdr:nvSpPr>
          <xdr:spPr>
            <a:xfrm>
              <a:off x="34222592" y="799367"/>
              <a:ext cx="3544297" cy="3026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de Activos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Activos Totales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30</xdr:col>
      <xdr:colOff>539101</xdr:colOff>
      <xdr:row>8</xdr:row>
      <xdr:rowOff>104010</xdr:rowOff>
    </xdr:from>
    <xdr:to>
      <xdr:col>34</xdr:col>
      <xdr:colOff>637279</xdr:colOff>
      <xdr:row>10</xdr:row>
      <xdr:rowOff>199710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8">
              <a:extLst>
                <a:ext uri="{FF2B5EF4-FFF2-40B4-BE49-F238E27FC236}">
                  <a16:creationId xmlns:a16="http://schemas.microsoft.com/office/drawing/2014/main" id="{2227D9EE-18A3-43BA-98E8-F3F2E9762479}"/>
                </a:ext>
              </a:extLst>
            </xdr:cNvPr>
            <xdr:cNvSpPr txBox="1"/>
          </xdr:nvSpPr>
          <xdr:spPr>
            <a:xfrm>
              <a:off x="34411466" y="1803856"/>
              <a:ext cx="3146178" cy="52066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Fijos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Fijos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2" name="CuadroTexto 8">
              <a:extLst>
                <a:ext uri="{FF2B5EF4-FFF2-40B4-BE49-F238E27FC236}">
                  <a16:creationId xmlns:a16="http://schemas.microsoft.com/office/drawing/2014/main" id="{2227D9EE-18A3-43BA-98E8-F3F2E9762479}"/>
                </a:ext>
              </a:extLst>
            </xdr:cNvPr>
            <xdr:cNvSpPr txBox="1"/>
          </xdr:nvSpPr>
          <xdr:spPr>
            <a:xfrm>
              <a:off x="34411466" y="1803856"/>
              <a:ext cx="3146178" cy="52066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Activos Fijos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Activos Fijos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30</xdr:col>
      <xdr:colOff>348284</xdr:colOff>
      <xdr:row>14</xdr:row>
      <xdr:rowOff>37844</xdr:rowOff>
    </xdr:from>
    <xdr:to>
      <xdr:col>35</xdr:col>
      <xdr:colOff>121824</xdr:colOff>
      <xdr:row>15</xdr:row>
      <xdr:rowOff>132268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14">
              <a:extLst>
                <a:ext uri="{FF2B5EF4-FFF2-40B4-BE49-F238E27FC236}">
                  <a16:creationId xmlns:a16="http://schemas.microsoft.com/office/drawing/2014/main" id="{0B026F24-8D4E-4E49-BA35-B960AE12B8A3}"/>
                </a:ext>
              </a:extLst>
            </xdr:cNvPr>
            <xdr:cNvSpPr txBox="1"/>
          </xdr:nvSpPr>
          <xdr:spPr>
            <a:xfrm>
              <a:off x="34220649" y="3012575"/>
              <a:ext cx="3583540" cy="30690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Costos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3" name="CuadroTexto 14">
              <a:extLst>
                <a:ext uri="{FF2B5EF4-FFF2-40B4-BE49-F238E27FC236}">
                  <a16:creationId xmlns:a16="http://schemas.microsoft.com/office/drawing/2014/main" id="{0B026F24-8D4E-4E49-BA35-B960AE12B8A3}"/>
                </a:ext>
              </a:extLst>
            </xdr:cNvPr>
            <xdr:cNvSpPr txBox="1"/>
          </xdr:nvSpPr>
          <xdr:spPr>
            <a:xfrm>
              <a:off x="34220649" y="3012575"/>
              <a:ext cx="3583540" cy="30690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de Inventarios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"Costos de 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Inventarios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30</xdr:col>
      <xdr:colOff>348474</xdr:colOff>
      <xdr:row>16</xdr:row>
      <xdr:rowOff>154588</xdr:rowOff>
    </xdr:from>
    <xdr:to>
      <xdr:col>34</xdr:col>
      <xdr:colOff>714770</xdr:colOff>
      <xdr:row>19</xdr:row>
      <xdr:rowOff>11384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12">
              <a:extLst>
                <a:ext uri="{FF2B5EF4-FFF2-40B4-BE49-F238E27FC236}">
                  <a16:creationId xmlns:a16="http://schemas.microsoft.com/office/drawing/2014/main" id="{8BE28DF6-B588-485E-B5F9-2226FC43FB3A}"/>
                </a:ext>
              </a:extLst>
            </xdr:cNvPr>
            <xdr:cNvSpPr txBox="1"/>
          </xdr:nvSpPr>
          <xdr:spPr>
            <a:xfrm>
              <a:off x="34220839" y="3554280"/>
              <a:ext cx="3414296" cy="49423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4" name="CuadroTexto 12">
              <a:extLst>
                <a:ext uri="{FF2B5EF4-FFF2-40B4-BE49-F238E27FC236}">
                  <a16:creationId xmlns:a16="http://schemas.microsoft.com/office/drawing/2014/main" id="{8BE28DF6-B588-485E-B5F9-2226FC43FB3A}"/>
                </a:ext>
              </a:extLst>
            </xdr:cNvPr>
            <xdr:cNvSpPr txBox="1"/>
          </xdr:nvSpPr>
          <xdr:spPr>
            <a:xfrm>
              <a:off x="34220839" y="3554280"/>
              <a:ext cx="3414296" cy="49423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Inventario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Inventarios</a:t>
              </a:r>
              <a:r>
                <a:rPr lang="es-MX" sz="10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30</xdr:col>
      <xdr:colOff>377273</xdr:colOff>
      <xdr:row>20</xdr:row>
      <xdr:rowOff>120002</xdr:rowOff>
    </xdr:from>
    <xdr:to>
      <xdr:col>36</xdr:col>
      <xdr:colOff>93138</xdr:colOff>
      <xdr:row>22</xdr:row>
      <xdr:rowOff>122723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15">
              <a:extLst>
                <a:ext uri="{FF2B5EF4-FFF2-40B4-BE49-F238E27FC236}">
                  <a16:creationId xmlns:a16="http://schemas.microsoft.com/office/drawing/2014/main" id="{E9A08493-17C4-40D0-AA07-29D99F5A618C}"/>
                </a:ext>
              </a:extLst>
            </xdr:cNvPr>
            <xdr:cNvSpPr txBox="1"/>
          </xdr:nvSpPr>
          <xdr:spPr>
            <a:xfrm>
              <a:off x="34249638" y="4369617"/>
              <a:ext cx="4287865" cy="42768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Cobrar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5" name="CuadroTexto 15">
              <a:extLst>
                <a:ext uri="{FF2B5EF4-FFF2-40B4-BE49-F238E27FC236}">
                  <a16:creationId xmlns:a16="http://schemas.microsoft.com/office/drawing/2014/main" id="{E9A08493-17C4-40D0-AA07-29D99F5A618C}"/>
                </a:ext>
              </a:extLst>
            </xdr:cNvPr>
            <xdr:cNvSpPr txBox="1"/>
          </xdr:nvSpPr>
          <xdr:spPr>
            <a:xfrm>
              <a:off x="34249638" y="4369617"/>
              <a:ext cx="4287865" cy="42768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Cuentas por Cobrar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30</xdr:col>
      <xdr:colOff>532919</xdr:colOff>
      <xdr:row>22</xdr:row>
      <xdr:rowOff>192434</xdr:rowOff>
    </xdr:from>
    <xdr:to>
      <xdr:col>35</xdr:col>
      <xdr:colOff>752786</xdr:colOff>
      <xdr:row>24</xdr:row>
      <xdr:rowOff>85329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13">
              <a:extLst>
                <a:ext uri="{FF2B5EF4-FFF2-40B4-BE49-F238E27FC236}">
                  <a16:creationId xmlns:a16="http://schemas.microsoft.com/office/drawing/2014/main" id="{537F582D-475B-4EF4-9016-47F58B10D0BE}"/>
                </a:ext>
              </a:extLst>
            </xdr:cNvPr>
            <xdr:cNvSpPr txBox="1"/>
          </xdr:nvSpPr>
          <xdr:spPr>
            <a:xfrm>
              <a:off x="34405284" y="4867011"/>
              <a:ext cx="4029867" cy="31785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Cobrar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6" name="CuadroTexto 13">
              <a:extLst>
                <a:ext uri="{FF2B5EF4-FFF2-40B4-BE49-F238E27FC236}">
                  <a16:creationId xmlns:a16="http://schemas.microsoft.com/office/drawing/2014/main" id="{537F582D-475B-4EF4-9016-47F58B10D0BE}"/>
                </a:ext>
              </a:extLst>
            </xdr:cNvPr>
            <xdr:cNvSpPr txBox="1"/>
          </xdr:nvSpPr>
          <xdr:spPr>
            <a:xfrm>
              <a:off x="34405284" y="4867011"/>
              <a:ext cx="4029867" cy="31785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Cuentas por Cobrar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31</xdr:col>
      <xdr:colOff>202131</xdr:colOff>
      <xdr:row>29</xdr:row>
      <xdr:rowOff>56679</xdr:rowOff>
    </xdr:from>
    <xdr:to>
      <xdr:col>36</xdr:col>
      <xdr:colOff>524076</xdr:colOff>
      <xdr:row>30</xdr:row>
      <xdr:rowOff>179901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2">
              <a:extLst>
                <a:ext uri="{FF2B5EF4-FFF2-40B4-BE49-F238E27FC236}">
                  <a16:creationId xmlns:a16="http://schemas.microsoft.com/office/drawing/2014/main" id="{F6B4992C-CBB3-4A98-A82B-EDBDE0B274BD}"/>
                </a:ext>
              </a:extLst>
            </xdr:cNvPr>
            <xdr:cNvSpPr txBox="1"/>
          </xdr:nvSpPr>
          <xdr:spPr>
            <a:xfrm>
              <a:off x="34836496" y="6218621"/>
              <a:ext cx="4131945" cy="3357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Pagar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Compras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Pagar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7" name="CuadroTexto 2">
              <a:extLst>
                <a:ext uri="{FF2B5EF4-FFF2-40B4-BE49-F238E27FC236}">
                  <a16:creationId xmlns:a16="http://schemas.microsoft.com/office/drawing/2014/main" id="{F6B4992C-CBB3-4A98-A82B-EDBDE0B274BD}"/>
                </a:ext>
              </a:extLst>
            </xdr:cNvPr>
            <xdr:cNvSpPr txBox="1"/>
          </xdr:nvSpPr>
          <xdr:spPr>
            <a:xfrm>
              <a:off x="34836496" y="6218621"/>
              <a:ext cx="4131945" cy="3357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Cuentas por Pagar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"Compras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Cuentas por Pagar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31</xdr:col>
      <xdr:colOff>338836</xdr:colOff>
      <xdr:row>27</xdr:row>
      <xdr:rowOff>139052</xdr:rowOff>
    </xdr:from>
    <xdr:to>
      <xdr:col>36</xdr:col>
      <xdr:colOff>739833</xdr:colOff>
      <xdr:row>28</xdr:row>
      <xdr:rowOff>86276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11">
              <a:extLst>
                <a:ext uri="{FF2B5EF4-FFF2-40B4-BE49-F238E27FC236}">
                  <a16:creationId xmlns:a16="http://schemas.microsoft.com/office/drawing/2014/main" id="{77206AF5-9388-441C-8A7E-3145AA52911C}"/>
                </a:ext>
              </a:extLst>
            </xdr:cNvPr>
            <xdr:cNvSpPr txBox="1"/>
          </xdr:nvSpPr>
          <xdr:spPr>
            <a:xfrm>
              <a:off x="34973201" y="5876033"/>
              <a:ext cx="4210997" cy="15970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Compras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Costo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Ventas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Final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–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Inicial</m:t>
                    </m:r>
                  </m:oMath>
                </m:oMathPara>
              </a14:m>
              <a:endParaRPr lang="es-CO" sz="10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8" name="CuadroTexto 11">
              <a:extLst>
                <a:ext uri="{FF2B5EF4-FFF2-40B4-BE49-F238E27FC236}">
                  <a16:creationId xmlns:a16="http://schemas.microsoft.com/office/drawing/2014/main" id="{77206AF5-9388-441C-8A7E-3145AA52911C}"/>
                </a:ext>
              </a:extLst>
            </xdr:cNvPr>
            <xdr:cNvSpPr txBox="1"/>
          </xdr:nvSpPr>
          <xdr:spPr>
            <a:xfrm>
              <a:off x="34973201" y="5876033"/>
              <a:ext cx="4210997" cy="15970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solidFill>
                    <a:schemeClr val="tx1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"Compras = Costo de Ventas + Inventario Final – Inventario Inicial</a:t>
              </a:r>
              <a:r>
                <a:rPr lang="es-CO" sz="1000" b="0" i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31</xdr:col>
      <xdr:colOff>310630</xdr:colOff>
      <xdr:row>31</xdr:row>
      <xdr:rowOff>76596</xdr:rowOff>
    </xdr:from>
    <xdr:to>
      <xdr:col>37</xdr:col>
      <xdr:colOff>204490</xdr:colOff>
      <xdr:row>32</xdr:row>
      <xdr:rowOff>189480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13">
              <a:extLst>
                <a:ext uri="{FF2B5EF4-FFF2-40B4-BE49-F238E27FC236}">
                  <a16:creationId xmlns:a16="http://schemas.microsoft.com/office/drawing/2014/main" id="{56F96B0D-0D10-4275-B91C-436B82579C5A}"/>
                </a:ext>
              </a:extLst>
            </xdr:cNvPr>
            <xdr:cNvSpPr txBox="1"/>
          </xdr:nvSpPr>
          <xdr:spPr>
            <a:xfrm>
              <a:off x="34944995" y="6663500"/>
              <a:ext cx="4465860" cy="3253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Pagar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Pagar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9" name="CuadroTexto 13">
              <a:extLst>
                <a:ext uri="{FF2B5EF4-FFF2-40B4-BE49-F238E27FC236}">
                  <a16:creationId xmlns:a16="http://schemas.microsoft.com/office/drawing/2014/main" id="{56F96B0D-0D10-4275-B91C-436B82579C5A}"/>
                </a:ext>
              </a:extLst>
            </xdr:cNvPr>
            <xdr:cNvSpPr txBox="1"/>
          </xdr:nvSpPr>
          <xdr:spPr>
            <a:xfrm>
              <a:off x="34944995" y="6663500"/>
              <a:ext cx="4465860" cy="3253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Cuentas por Pagar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Cuentas por Pagar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30</xdr:col>
      <xdr:colOff>478735</xdr:colOff>
      <xdr:row>35</xdr:row>
      <xdr:rowOff>153514</xdr:rowOff>
    </xdr:from>
    <xdr:to>
      <xdr:col>36</xdr:col>
      <xdr:colOff>275802</xdr:colOff>
      <xdr:row>36</xdr:row>
      <xdr:rowOff>97807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1">
              <a:extLst>
                <a:ext uri="{FF2B5EF4-FFF2-40B4-BE49-F238E27FC236}">
                  <a16:creationId xmlns:a16="http://schemas.microsoft.com/office/drawing/2014/main" id="{FC4286C0-D898-45B7-A7CD-099FF9E966AE}"/>
                </a:ext>
              </a:extLst>
            </xdr:cNvPr>
            <xdr:cNvSpPr txBox="1"/>
          </xdr:nvSpPr>
          <xdr:spPr>
            <a:xfrm>
              <a:off x="34351100" y="7590341"/>
              <a:ext cx="4369067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Ciclo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efectivo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CxC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–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CxP</m:t>
                    </m:r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0" name="CuadroTexto 1">
              <a:extLst>
                <a:ext uri="{FF2B5EF4-FFF2-40B4-BE49-F238E27FC236}">
                  <a16:creationId xmlns:a16="http://schemas.microsoft.com/office/drawing/2014/main" id="{FC4286C0-D898-45B7-A7CD-099FF9E966AE}"/>
                </a:ext>
              </a:extLst>
            </xdr:cNvPr>
            <xdr:cNvSpPr txBox="1"/>
          </xdr:nvSpPr>
          <xdr:spPr>
            <a:xfrm>
              <a:off x="34351100" y="7590341"/>
              <a:ext cx="4369067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"Ciclo de efectivo = Días de Inventario + Días de CxC – Días de CxP</a:t>
              </a:r>
              <a:r>
                <a:rPr lang="es-CO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31</xdr:col>
      <xdr:colOff>432735</xdr:colOff>
      <xdr:row>40</xdr:row>
      <xdr:rowOff>41182</xdr:rowOff>
    </xdr:from>
    <xdr:to>
      <xdr:col>36</xdr:col>
      <xdr:colOff>291557</xdr:colOff>
      <xdr:row>41</xdr:row>
      <xdr:rowOff>131438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13">
              <a:extLst>
                <a:ext uri="{FF2B5EF4-FFF2-40B4-BE49-F238E27FC236}">
                  <a16:creationId xmlns:a16="http://schemas.microsoft.com/office/drawing/2014/main" id="{1C1D0523-2840-44E1-BFCA-9C081EA7FEA4}"/>
                </a:ext>
              </a:extLst>
            </xdr:cNvPr>
            <xdr:cNvSpPr txBox="1"/>
          </xdr:nvSpPr>
          <xdr:spPr>
            <a:xfrm>
              <a:off x="35572658" y="8540413"/>
              <a:ext cx="3668822" cy="30273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Capital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Trabajo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KTNO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1" name="CuadroTexto 13">
              <a:extLst>
                <a:ext uri="{FF2B5EF4-FFF2-40B4-BE49-F238E27FC236}">
                  <a16:creationId xmlns:a16="http://schemas.microsoft.com/office/drawing/2014/main" id="{1C1D0523-2840-44E1-BFCA-9C081EA7FEA4}"/>
                </a:ext>
              </a:extLst>
            </xdr:cNvPr>
            <xdr:cNvSpPr txBox="1"/>
          </xdr:nvSpPr>
          <xdr:spPr>
            <a:xfrm>
              <a:off x="35572658" y="8540413"/>
              <a:ext cx="3668822" cy="30273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Capital de Trabajo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KTNO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31</xdr:col>
      <xdr:colOff>666339</xdr:colOff>
      <xdr:row>37</xdr:row>
      <xdr:rowOff>202127</xdr:rowOff>
    </xdr:from>
    <xdr:to>
      <xdr:col>38</xdr:col>
      <xdr:colOff>257079</xdr:colOff>
      <xdr:row>39</xdr:row>
      <xdr:rowOff>140825</xdr:rowOff>
    </xdr:to>
    <xdr:sp macro="" textlink="">
      <xdr:nvSpPr>
        <xdr:cNvPr id="42" name="CuadroTexto 11">
          <a:extLst>
            <a:ext uri="{FF2B5EF4-FFF2-40B4-BE49-F238E27FC236}">
              <a16:creationId xmlns:a16="http://schemas.microsoft.com/office/drawing/2014/main" id="{E1DA97C4-C8F1-487D-A37F-0B5813324C80}"/>
            </a:ext>
          </a:extLst>
        </xdr:cNvPr>
        <xdr:cNvSpPr txBox="1"/>
      </xdr:nvSpPr>
      <xdr:spPr>
        <a:xfrm>
          <a:off x="35806262" y="8063915"/>
          <a:ext cx="4924740" cy="3636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200000"/>
            </a:lnSpc>
          </a:pPr>
          <a:r>
            <a:rPr lang="es-MX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KTNO = Activos Corrientes – Pasivos Corrientes</a:t>
          </a:r>
        </a:p>
      </xdr:txBody>
    </xdr:sp>
    <xdr:clientData/>
  </xdr:twoCellAnchor>
  <xdr:twoCellAnchor>
    <xdr:from>
      <xdr:col>31</xdr:col>
      <xdr:colOff>704626</xdr:colOff>
      <xdr:row>42</xdr:row>
      <xdr:rowOff>209931</xdr:rowOff>
    </xdr:from>
    <xdr:to>
      <xdr:col>38</xdr:col>
      <xdr:colOff>363402</xdr:colOff>
      <xdr:row>44</xdr:row>
      <xdr:rowOff>148628</xdr:rowOff>
    </xdr:to>
    <xdr:sp macro="" textlink="">
      <xdr:nvSpPr>
        <xdr:cNvPr id="43" name="CuadroTexto 11">
          <a:extLst>
            <a:ext uri="{FF2B5EF4-FFF2-40B4-BE49-F238E27FC236}">
              <a16:creationId xmlns:a16="http://schemas.microsoft.com/office/drawing/2014/main" id="{41E5AF46-8E4E-4CAD-8BEE-4BCF4EFA9359}"/>
            </a:ext>
          </a:extLst>
        </xdr:cNvPr>
        <xdr:cNvSpPr txBox="1"/>
      </xdr:nvSpPr>
      <xdr:spPr>
        <a:xfrm>
          <a:off x="35844549" y="9134123"/>
          <a:ext cx="4992776" cy="36365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200000"/>
            </a:lnSpc>
          </a:pPr>
          <a:r>
            <a:rPr lang="es-MX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KTNO = Efectivo + CxC + Inventario + Otras CxC – CxP – Otras CxP</a:t>
          </a:r>
          <a:endParaRPr lang="es-CO" sz="1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31</xdr:col>
      <xdr:colOff>468701</xdr:colOff>
      <xdr:row>45</xdr:row>
      <xdr:rowOff>167434</xdr:rowOff>
    </xdr:from>
    <xdr:to>
      <xdr:col>36</xdr:col>
      <xdr:colOff>327523</xdr:colOff>
      <xdr:row>47</xdr:row>
      <xdr:rowOff>52013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13">
              <a:extLst>
                <a:ext uri="{FF2B5EF4-FFF2-40B4-BE49-F238E27FC236}">
                  <a16:creationId xmlns:a16="http://schemas.microsoft.com/office/drawing/2014/main" id="{6E0F56DD-E00A-4DE7-9BA5-E766F6A09EDD}"/>
                </a:ext>
              </a:extLst>
            </xdr:cNvPr>
            <xdr:cNvSpPr txBox="1"/>
          </xdr:nvSpPr>
          <xdr:spPr>
            <a:xfrm>
              <a:off x="35608624" y="9729069"/>
              <a:ext cx="3668822" cy="30954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Capital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Trabajo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KTNO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4" name="CuadroTexto 13">
              <a:extLst>
                <a:ext uri="{FF2B5EF4-FFF2-40B4-BE49-F238E27FC236}">
                  <a16:creationId xmlns:a16="http://schemas.microsoft.com/office/drawing/2014/main" id="{6E0F56DD-E00A-4DE7-9BA5-E766F6A09EDD}"/>
                </a:ext>
              </a:extLst>
            </xdr:cNvPr>
            <xdr:cNvSpPr txBox="1"/>
          </xdr:nvSpPr>
          <xdr:spPr>
            <a:xfrm>
              <a:off x="35608624" y="9729069"/>
              <a:ext cx="3668822" cy="30954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Capital de Trabajo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KTNO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30</xdr:col>
      <xdr:colOff>1090246</xdr:colOff>
      <xdr:row>70</xdr:row>
      <xdr:rowOff>175846</xdr:rowOff>
    </xdr:from>
    <xdr:to>
      <xdr:col>34</xdr:col>
      <xdr:colOff>729248</xdr:colOff>
      <xdr:row>72</xdr:row>
      <xdr:rowOff>53366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9">
              <a:extLst>
                <a:ext uri="{FF2B5EF4-FFF2-40B4-BE49-F238E27FC236}">
                  <a16:creationId xmlns:a16="http://schemas.microsoft.com/office/drawing/2014/main" id="{F48B1D05-7377-48E0-9D7B-CDF0AFE4A62B}"/>
                </a:ext>
              </a:extLst>
            </xdr:cNvPr>
            <xdr:cNvSpPr txBox="1"/>
          </xdr:nvSpPr>
          <xdr:spPr>
            <a:xfrm>
              <a:off x="35079842" y="15005538"/>
              <a:ext cx="3075329" cy="30248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Cobertura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intereses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EBITDA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Intereses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7" name="CuadroTexto 9">
              <a:extLst>
                <a:ext uri="{FF2B5EF4-FFF2-40B4-BE49-F238E27FC236}">
                  <a16:creationId xmlns:a16="http://schemas.microsoft.com/office/drawing/2014/main" id="{F48B1D05-7377-48E0-9D7B-CDF0AFE4A62B}"/>
                </a:ext>
              </a:extLst>
            </xdr:cNvPr>
            <xdr:cNvSpPr txBox="1"/>
          </xdr:nvSpPr>
          <xdr:spPr>
            <a:xfrm>
              <a:off x="35079842" y="15005538"/>
              <a:ext cx="3075329" cy="30248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"Cobertura de intereses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"EBITDA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Intereses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30</xdr:col>
      <xdr:colOff>1096108</xdr:colOff>
      <xdr:row>65</xdr:row>
      <xdr:rowOff>157528</xdr:rowOff>
    </xdr:from>
    <xdr:to>
      <xdr:col>35</xdr:col>
      <xdr:colOff>731929</xdr:colOff>
      <xdr:row>67</xdr:row>
      <xdr:rowOff>55591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9">
              <a:extLst>
                <a:ext uri="{FF2B5EF4-FFF2-40B4-BE49-F238E27FC236}">
                  <a16:creationId xmlns:a16="http://schemas.microsoft.com/office/drawing/2014/main" id="{A48921B2-F296-4ECA-B48B-85F9F9647553}"/>
                </a:ext>
              </a:extLst>
            </xdr:cNvPr>
            <xdr:cNvSpPr txBox="1"/>
          </xdr:nvSpPr>
          <xdr:spPr>
            <a:xfrm>
              <a:off x="35085704" y="13968778"/>
              <a:ext cx="3834148" cy="30104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Apalancamiento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financiero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Deuda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Patrimonio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6" name="CuadroTexto 9">
              <a:extLst>
                <a:ext uri="{FF2B5EF4-FFF2-40B4-BE49-F238E27FC236}">
                  <a16:creationId xmlns:a16="http://schemas.microsoft.com/office/drawing/2014/main" id="{A48921B2-F296-4ECA-B48B-85F9F9647553}"/>
                </a:ext>
              </a:extLst>
            </xdr:cNvPr>
            <xdr:cNvSpPr txBox="1"/>
          </xdr:nvSpPr>
          <xdr:spPr>
            <a:xfrm>
              <a:off x="35085704" y="13968778"/>
              <a:ext cx="3834148" cy="30104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"Apalancamiento financiero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"Prom. Total Deuda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Prom. Patrimonio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31</xdr:col>
      <xdr:colOff>24912</xdr:colOff>
      <xdr:row>63</xdr:row>
      <xdr:rowOff>91586</xdr:rowOff>
    </xdr:from>
    <xdr:to>
      <xdr:col>35</xdr:col>
      <xdr:colOff>541428</xdr:colOff>
      <xdr:row>64</xdr:row>
      <xdr:rowOff>175752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9">
              <a:extLst>
                <a:ext uri="{FF2B5EF4-FFF2-40B4-BE49-F238E27FC236}">
                  <a16:creationId xmlns:a16="http://schemas.microsoft.com/office/drawing/2014/main" id="{5760D4B6-DC0B-4FAC-9FA3-B5CE79D205FE}"/>
                </a:ext>
              </a:extLst>
            </xdr:cNvPr>
            <xdr:cNvSpPr txBox="1"/>
          </xdr:nvSpPr>
          <xdr:spPr>
            <a:xfrm>
              <a:off x="35164835" y="13477874"/>
              <a:ext cx="3564516" cy="29664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Apalancamiento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financiero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Prom</m:t>
                        </m:r>
                        <m:r>
                          <m:rPr>
                            <m:nor/>
                          </m:rPr>
                          <a:rPr lang="es-MX" sz="1000" b="0" i="0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000" b="0" i="0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Pasivo</m:t>
                        </m:r>
                        <m:r>
                          <m:rPr>
                            <m:nor/>
                          </m:rPr>
                          <a:rPr lang="es-MX" sz="1000" b="0" i="0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Total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Patrimonio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8" name="CuadroTexto 9">
              <a:extLst>
                <a:ext uri="{FF2B5EF4-FFF2-40B4-BE49-F238E27FC236}">
                  <a16:creationId xmlns:a16="http://schemas.microsoft.com/office/drawing/2014/main" id="{5760D4B6-DC0B-4FAC-9FA3-B5CE79D205FE}"/>
                </a:ext>
              </a:extLst>
            </xdr:cNvPr>
            <xdr:cNvSpPr txBox="1"/>
          </xdr:nvSpPr>
          <xdr:spPr>
            <a:xfrm>
              <a:off x="35164835" y="13477874"/>
              <a:ext cx="3564516" cy="29664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"Apalancamiento financiero = " </a:t>
              </a:r>
              <a:r>
                <a:rPr lang="es-MX" sz="10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"Prom. Pasivo Total</a:t>
              </a:r>
              <a:r>
                <a:rPr lang="es-MX" sz="10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Prom. Patrimonio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0</xdr:col>
      <xdr:colOff>0</xdr:colOff>
      <xdr:row>65</xdr:row>
      <xdr:rowOff>0</xdr:rowOff>
    </xdr:from>
    <xdr:to>
      <xdr:col>4</xdr:col>
      <xdr:colOff>507836</xdr:colOff>
      <xdr:row>93</xdr:row>
      <xdr:rowOff>23814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BF6B486C-B664-46A9-BD08-12BE76E34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4</xdr:col>
      <xdr:colOff>510320</xdr:colOff>
      <xdr:row>126</xdr:row>
      <xdr:rowOff>150813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76769A10-D5C3-43DD-9BE2-456FE393C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5</xdr:col>
      <xdr:colOff>189819</xdr:colOff>
      <xdr:row>160</xdr:row>
      <xdr:rowOff>150813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068A7EE3-CC12-46AF-9EAB-3BE35CA74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162</xdr:row>
      <xdr:rowOff>0</xdr:rowOff>
    </xdr:from>
    <xdr:to>
      <xdr:col>10</xdr:col>
      <xdr:colOff>504264</xdr:colOff>
      <xdr:row>196</xdr:row>
      <xdr:rowOff>150812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F4208382-CDB7-483E-A09B-2C7C0F322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597274</xdr:colOff>
      <xdr:row>64</xdr:row>
      <xdr:rowOff>130548</xdr:rowOff>
    </xdr:from>
    <xdr:to>
      <xdr:col>14</xdr:col>
      <xdr:colOff>517712</xdr:colOff>
      <xdr:row>94</xdr:row>
      <xdr:rowOff>133910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C7118389-A379-4D10-AFFF-60F3C3CC4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198</xdr:row>
      <xdr:rowOff>0</xdr:rowOff>
    </xdr:from>
    <xdr:to>
      <xdr:col>5</xdr:col>
      <xdr:colOff>133350</xdr:colOff>
      <xdr:row>227</xdr:row>
      <xdr:rowOff>93664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2AC9CF0C-B40E-498A-806E-CE0E09CB0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228</xdr:row>
      <xdr:rowOff>0</xdr:rowOff>
    </xdr:from>
    <xdr:to>
      <xdr:col>5</xdr:col>
      <xdr:colOff>295275</xdr:colOff>
      <xdr:row>258</xdr:row>
      <xdr:rowOff>7939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7510BF02-9D1F-4096-A273-C80B7BDBA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258</xdr:row>
      <xdr:rowOff>0</xdr:rowOff>
    </xdr:from>
    <xdr:to>
      <xdr:col>6</xdr:col>
      <xdr:colOff>847725</xdr:colOff>
      <xdr:row>286</xdr:row>
      <xdr:rowOff>139563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22CB333B-5E94-40F6-8FDF-DE82B808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288</xdr:row>
      <xdr:rowOff>0</xdr:rowOff>
    </xdr:from>
    <xdr:to>
      <xdr:col>6</xdr:col>
      <xdr:colOff>238125</xdr:colOff>
      <xdr:row>318</xdr:row>
      <xdr:rowOff>85725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749286A7-2C9A-4B88-A270-7C17CD8C6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319</xdr:row>
      <xdr:rowOff>0</xdr:rowOff>
    </xdr:from>
    <xdr:to>
      <xdr:col>5</xdr:col>
      <xdr:colOff>1057274</xdr:colOff>
      <xdr:row>344</xdr:row>
      <xdr:rowOff>57150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03CC59D4-F99A-404C-AA57-757C4926F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345</xdr:row>
      <xdr:rowOff>0</xdr:rowOff>
    </xdr:from>
    <xdr:to>
      <xdr:col>5</xdr:col>
      <xdr:colOff>676275</xdr:colOff>
      <xdr:row>370</xdr:row>
      <xdr:rowOff>57150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2B0AA314-2322-4D47-AC60-C48852C47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51184-E101-4A1E-82FA-8E6C3BEA7B50}">
  <dimension ref="A1:AF87"/>
  <sheetViews>
    <sheetView tabSelected="1" zoomScaleNormal="100" workbookViewId="0"/>
  </sheetViews>
  <sheetFormatPr baseColWidth="10" defaultRowHeight="15" x14ac:dyDescent="0.25"/>
  <cols>
    <col min="1" max="1" width="38.85546875" customWidth="1"/>
    <col min="2" max="5" width="17.85546875" bestFit="1" customWidth="1"/>
    <col min="6" max="7" width="17.85546875" customWidth="1"/>
    <col min="8" max="13" width="13.28515625" customWidth="1"/>
    <col min="14" max="18" width="17.85546875" customWidth="1"/>
    <col min="19" max="23" width="13.28515625" customWidth="1"/>
    <col min="25" max="25" width="30.140625" bestFit="1" customWidth="1"/>
    <col min="26" max="27" width="17.140625" customWidth="1"/>
    <col min="28" max="31" width="17.28515625" customWidth="1"/>
  </cols>
  <sheetData>
    <row r="1" spans="1:30" ht="16.5" x14ac:dyDescent="0.25">
      <c r="A1" s="1" t="s">
        <v>0</v>
      </c>
    </row>
    <row r="2" spans="1:30" ht="16.5" x14ac:dyDescent="0.25">
      <c r="A2" s="1" t="s">
        <v>1</v>
      </c>
    </row>
    <row r="3" spans="1:30" ht="16.5" x14ac:dyDescent="0.25">
      <c r="A3" s="1" t="s">
        <v>2</v>
      </c>
    </row>
    <row r="4" spans="1:30" ht="16.5" x14ac:dyDescent="0.25">
      <c r="H4" s="23" t="s">
        <v>81</v>
      </c>
      <c r="I4" s="23"/>
      <c r="J4" s="23"/>
      <c r="K4" s="23"/>
      <c r="L4" s="23"/>
      <c r="M4" s="23"/>
      <c r="N4" s="23" t="s">
        <v>82</v>
      </c>
      <c r="O4" s="23"/>
      <c r="P4" s="23"/>
      <c r="Q4" s="23"/>
      <c r="R4" s="23"/>
      <c r="S4" s="23" t="s">
        <v>83</v>
      </c>
      <c r="T4" s="23"/>
      <c r="U4" s="23"/>
      <c r="V4" s="23"/>
      <c r="W4" s="23"/>
      <c r="X4" s="13"/>
      <c r="Y4" s="14"/>
      <c r="Z4" s="3">
        <v>2018</v>
      </c>
      <c r="AA4" s="3">
        <v>2019</v>
      </c>
      <c r="AB4" s="3">
        <v>2020</v>
      </c>
      <c r="AC4" s="3">
        <v>2021</v>
      </c>
      <c r="AD4" s="3">
        <v>2022</v>
      </c>
    </row>
    <row r="5" spans="1:30" ht="16.5" x14ac:dyDescent="0.25">
      <c r="A5" s="2"/>
      <c r="B5" s="3">
        <v>2017</v>
      </c>
      <c r="C5" s="3">
        <v>2018</v>
      </c>
      <c r="D5" s="3">
        <v>2019</v>
      </c>
      <c r="E5" s="3">
        <v>2020</v>
      </c>
      <c r="F5" s="3">
        <v>2021</v>
      </c>
      <c r="G5" s="3">
        <v>2022</v>
      </c>
      <c r="H5" s="3">
        <v>2017</v>
      </c>
      <c r="I5" s="3">
        <v>2018</v>
      </c>
      <c r="J5" s="3">
        <v>2019</v>
      </c>
      <c r="K5" s="3">
        <v>2020</v>
      </c>
      <c r="L5" s="3">
        <v>2021</v>
      </c>
      <c r="M5" s="3">
        <v>2022</v>
      </c>
      <c r="N5" s="3">
        <v>2018</v>
      </c>
      <c r="O5" s="3">
        <v>2019</v>
      </c>
      <c r="P5" s="3">
        <v>2020</v>
      </c>
      <c r="Q5" s="3">
        <v>2021</v>
      </c>
      <c r="R5" s="3">
        <v>2022</v>
      </c>
      <c r="S5" s="3">
        <v>2018</v>
      </c>
      <c r="T5" s="3">
        <v>2019</v>
      </c>
      <c r="U5" s="3">
        <v>2020</v>
      </c>
      <c r="V5" s="3">
        <v>2021</v>
      </c>
      <c r="W5" s="3">
        <v>2022</v>
      </c>
      <c r="X5" s="12"/>
      <c r="Y5" s="2" t="s">
        <v>84</v>
      </c>
      <c r="Z5" s="15">
        <f>+AVERAGE(B23:C23)</f>
        <v>180782371</v>
      </c>
      <c r="AA5" s="15">
        <f>+AVERAGE(C23:D23)</f>
        <v>182262979.5</v>
      </c>
      <c r="AB5" s="15">
        <f>+AVERAGE(D23:E23)</f>
        <v>231434302</v>
      </c>
      <c r="AC5" s="15">
        <f t="shared" ref="AC5:AD5" si="0">+AVERAGE(E23:F23)</f>
        <v>301227184</v>
      </c>
      <c r="AD5" s="15">
        <f t="shared" si="0"/>
        <v>372854145</v>
      </c>
    </row>
    <row r="6" spans="1:30" ht="16.5" x14ac:dyDescent="0.25">
      <c r="A6" s="2" t="s">
        <v>4</v>
      </c>
      <c r="B6" s="4">
        <v>61719652</v>
      </c>
      <c r="C6" s="4">
        <v>75907248</v>
      </c>
      <c r="D6" s="4">
        <v>43692134</v>
      </c>
      <c r="E6" s="4">
        <v>92566164</v>
      </c>
      <c r="F6" s="4">
        <v>87939213</v>
      </c>
      <c r="G6" s="4">
        <v>136074502</v>
      </c>
      <c r="H6" s="8">
        <f>+B6/B$23</f>
        <v>0.34014000378168158</v>
      </c>
      <c r="I6" s="8">
        <f>+C6/C$23</f>
        <v>0.42144687251653246</v>
      </c>
      <c r="J6" s="8">
        <f>+D6/D$23</f>
        <v>0.23692303105659795</v>
      </c>
      <c r="K6" s="8">
        <f>+E6/E$23</f>
        <v>0.33242926328040362</v>
      </c>
      <c r="L6" s="8">
        <f t="shared" ref="L6:M8" si="1">+F6/F$23</f>
        <v>0.27141677872739828</v>
      </c>
      <c r="M6" s="8">
        <f t="shared" si="1"/>
        <v>0.32267497530439565</v>
      </c>
      <c r="N6" s="4">
        <f>+C6-B6</f>
        <v>14187596</v>
      </c>
      <c r="O6" s="4">
        <f>+D6-C6</f>
        <v>-32215114</v>
      </c>
      <c r="P6" s="4">
        <f>+E6-D6</f>
        <v>48874030</v>
      </c>
      <c r="Q6" s="4">
        <f t="shared" ref="Q6:R8" si="2">+F6-E6</f>
        <v>-4626951</v>
      </c>
      <c r="R6" s="4">
        <f t="shared" si="2"/>
        <v>48135289</v>
      </c>
      <c r="S6" s="8">
        <f>+C6/B6-1</f>
        <v>0.22987161366366737</v>
      </c>
      <c r="T6" s="8">
        <f>+D6/C6-1</f>
        <v>-0.42440102689534998</v>
      </c>
      <c r="U6" s="8">
        <f>+E6/D6-1</f>
        <v>1.1186002038719374</v>
      </c>
      <c r="V6" s="8">
        <f t="shared" ref="V6:W8" si="3">+F6/E6-1</f>
        <v>-4.998533805505867E-2</v>
      </c>
      <c r="W6" s="8">
        <f t="shared" si="3"/>
        <v>0.54737002251771338</v>
      </c>
      <c r="Y6" s="16" t="s">
        <v>85</v>
      </c>
      <c r="Z6" s="17">
        <f>+C48/Z5</f>
        <v>0.81034344327744212</v>
      </c>
      <c r="AA6" s="17">
        <f>+D48/AA5</f>
        <v>1.1379295760936465</v>
      </c>
      <c r="AB6" s="17">
        <f>+E48/AB5</f>
        <v>0.90538859706285024</v>
      </c>
      <c r="AC6" s="17">
        <f t="shared" ref="AC6:AD6" si="4">+F48/AC5</f>
        <v>1.9960094139445264</v>
      </c>
      <c r="AD6" s="17">
        <f t="shared" si="4"/>
        <v>1.0726855752133317</v>
      </c>
    </row>
    <row r="7" spans="1:30" ht="16.5" x14ac:dyDescent="0.25">
      <c r="A7" s="2" t="s">
        <v>6</v>
      </c>
      <c r="B7" s="4">
        <v>16010669</v>
      </c>
      <c r="C7" s="4">
        <v>17048669</v>
      </c>
      <c r="D7" s="4">
        <v>4264339</v>
      </c>
      <c r="E7" s="4">
        <v>5860535</v>
      </c>
      <c r="F7" s="4">
        <v>3672408</v>
      </c>
      <c r="G7" s="4">
        <v>7466405</v>
      </c>
      <c r="H7" s="8">
        <f t="shared" ref="H7:H44" si="5">+B7/B$23</f>
        <v>8.8235575505306668E-2</v>
      </c>
      <c r="I7" s="8">
        <f t="shared" ref="I7:K8" si="6">+C7/C$23</f>
        <v>9.4656418457161814E-2</v>
      </c>
      <c r="J7" s="8">
        <f t="shared" si="6"/>
        <v>2.3123615828260113E-2</v>
      </c>
      <c r="K7" s="8">
        <f t="shared" si="6"/>
        <v>2.1046711328331809E-2</v>
      </c>
      <c r="L7" s="8">
        <f t="shared" si="1"/>
        <v>1.1334569818503235E-2</v>
      </c>
      <c r="M7" s="8">
        <f t="shared" si="1"/>
        <v>1.7705168959483802E-2</v>
      </c>
      <c r="N7" s="4">
        <f t="shared" ref="N7:N44" si="7">+C7-B7</f>
        <v>1038000</v>
      </c>
      <c r="O7" s="4">
        <f>+D7-C7</f>
        <v>-12784330</v>
      </c>
      <c r="P7" s="4">
        <f>+E7-D7</f>
        <v>1596196</v>
      </c>
      <c r="Q7" s="4">
        <f t="shared" si="2"/>
        <v>-2188127</v>
      </c>
      <c r="R7" s="4">
        <f t="shared" si="2"/>
        <v>3793997</v>
      </c>
      <c r="S7" s="8">
        <f t="shared" ref="S7:S44" si="8">+C7/B7-1</f>
        <v>6.4831769365789826E-2</v>
      </c>
      <c r="T7" s="8">
        <f>+D7/C7-1</f>
        <v>-0.74987261468915845</v>
      </c>
      <c r="U7" s="8">
        <f>+E7/D7-1</f>
        <v>0.37431264259243924</v>
      </c>
      <c r="V7" s="8">
        <f t="shared" si="3"/>
        <v>-0.37336642473767323</v>
      </c>
      <c r="W7" s="8">
        <f t="shared" si="3"/>
        <v>1.0331087940119943</v>
      </c>
      <c r="Y7" s="16" t="s">
        <v>86</v>
      </c>
      <c r="Z7" s="17">
        <f>+AVERAGE(Z6:AD6)</f>
        <v>1.1844713211183593</v>
      </c>
      <c r="AA7" s="14"/>
      <c r="AB7" s="14"/>
      <c r="AC7" s="14"/>
      <c r="AD7" s="14"/>
    </row>
    <row r="8" spans="1:30" ht="16.5" x14ac:dyDescent="0.25">
      <c r="A8" s="2" t="s">
        <v>8</v>
      </c>
      <c r="B8" s="4">
        <v>41791255</v>
      </c>
      <c r="C8" s="4">
        <v>28159599</v>
      </c>
      <c r="D8" s="4">
        <v>41724993</v>
      </c>
      <c r="E8" s="4">
        <v>74369335</v>
      </c>
      <c r="F8" s="4">
        <v>104557272</v>
      </c>
      <c r="G8" s="4">
        <v>152628918</v>
      </c>
      <c r="H8" s="8">
        <f t="shared" si="5"/>
        <v>0.23031363873764582</v>
      </c>
      <c r="I8" s="8">
        <f t="shared" si="6"/>
        <v>0.15634574092146872</v>
      </c>
      <c r="J8" s="8">
        <f t="shared" si="6"/>
        <v>0.22625609937878821</v>
      </c>
      <c r="K8" s="8">
        <f t="shared" si="6"/>
        <v>0.26707969928086828</v>
      </c>
      <c r="L8" s="8">
        <f t="shared" si="1"/>
        <v>0.32270698122763958</v>
      </c>
      <c r="M8" s="8">
        <f t="shared" si="1"/>
        <v>0.36193064551055004</v>
      </c>
      <c r="N8" s="4">
        <f t="shared" si="7"/>
        <v>-13631656</v>
      </c>
      <c r="O8" s="4">
        <f>+D8-C8</f>
        <v>13565394</v>
      </c>
      <c r="P8" s="4">
        <f>+E8-D8</f>
        <v>32644342</v>
      </c>
      <c r="Q8" s="4">
        <f t="shared" si="2"/>
        <v>30187937</v>
      </c>
      <c r="R8" s="4">
        <f t="shared" si="2"/>
        <v>48071646</v>
      </c>
      <c r="S8" s="8">
        <f t="shared" si="8"/>
        <v>-0.32618441346162019</v>
      </c>
      <c r="T8" s="8">
        <f>+D8/C8-1</f>
        <v>0.48173249910270388</v>
      </c>
      <c r="U8" s="8">
        <f>+E8/D8-1</f>
        <v>0.78236902280606735</v>
      </c>
      <c r="V8" s="8">
        <f t="shared" si="3"/>
        <v>0.40591914664827922</v>
      </c>
      <c r="W8" s="8">
        <f t="shared" si="3"/>
        <v>0.45976377424996318</v>
      </c>
      <c r="Y8" s="14"/>
      <c r="Z8" s="14"/>
      <c r="AA8" s="14"/>
      <c r="AB8" s="14"/>
      <c r="AC8" s="14"/>
      <c r="AD8" s="14"/>
    </row>
    <row r="9" spans="1:30" ht="16.5" x14ac:dyDescent="0.25">
      <c r="A9" s="2" t="s">
        <v>10</v>
      </c>
      <c r="B9" s="4">
        <v>1485552</v>
      </c>
      <c r="C9" s="4">
        <v>236088</v>
      </c>
      <c r="D9" s="4"/>
      <c r="E9" s="4"/>
      <c r="F9" s="4"/>
      <c r="G9" s="4"/>
      <c r="H9" s="8">
        <f t="shared" si="5"/>
        <v>8.1869493187985663E-3</v>
      </c>
      <c r="I9" s="8">
        <f>+C9/C$23</f>
        <v>1.3107911544716141E-3</v>
      </c>
      <c r="J9" s="8"/>
      <c r="K9" s="8"/>
      <c r="L9" s="8"/>
      <c r="M9" s="8"/>
      <c r="N9" s="4">
        <f t="shared" si="7"/>
        <v>-1249464</v>
      </c>
      <c r="O9" s="4">
        <f>+D9-C9</f>
        <v>-236088</v>
      </c>
      <c r="P9" s="4"/>
      <c r="Q9" s="4"/>
      <c r="R9" s="4"/>
      <c r="S9" s="8">
        <f t="shared" si="8"/>
        <v>-0.84107725613105433</v>
      </c>
      <c r="T9" s="8">
        <f>+D9/C9-1</f>
        <v>-1</v>
      </c>
      <c r="U9" s="8"/>
      <c r="V9" s="8"/>
      <c r="W9" s="8"/>
      <c r="Z9" s="3">
        <v>2017</v>
      </c>
      <c r="AA9" s="3">
        <v>2018</v>
      </c>
      <c r="AB9" s="3">
        <v>2019</v>
      </c>
      <c r="AC9" s="3">
        <v>2020</v>
      </c>
      <c r="AD9" s="3">
        <v>2021</v>
      </c>
    </row>
    <row r="10" spans="1:30" ht="16.5" x14ac:dyDescent="0.25">
      <c r="A10" s="2" t="s">
        <v>12</v>
      </c>
      <c r="B10" s="4"/>
      <c r="C10" s="4"/>
      <c r="D10" s="4"/>
      <c r="E10" s="4"/>
      <c r="F10" s="4"/>
      <c r="G10" s="4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8"/>
      <c r="T10" s="8"/>
      <c r="U10" s="8"/>
      <c r="V10" s="8"/>
      <c r="W10" s="8"/>
      <c r="Y10" s="2" t="s">
        <v>87</v>
      </c>
      <c r="Z10" s="15">
        <f>+B14+B16</f>
        <v>57777446</v>
      </c>
      <c r="AA10" s="15">
        <f>+C14+C16</f>
        <v>58697981</v>
      </c>
      <c r="AB10" s="15">
        <f>+D14+D16</f>
        <v>92126569</v>
      </c>
      <c r="AC10" s="15">
        <f>+E14+E16</f>
        <v>98799090</v>
      </c>
      <c r="AD10" s="15">
        <f>+F14+F16</f>
        <v>115912838</v>
      </c>
    </row>
    <row r="11" spans="1:30" ht="16.5" x14ac:dyDescent="0.25">
      <c r="A11" s="2" t="s">
        <v>13</v>
      </c>
      <c r="B11" s="4">
        <v>2669096</v>
      </c>
      <c r="C11" s="4">
        <v>61487</v>
      </c>
      <c r="D11" s="4">
        <v>62370</v>
      </c>
      <c r="E11" s="4">
        <v>26676</v>
      </c>
      <c r="F11" s="4">
        <v>70772</v>
      </c>
      <c r="G11" s="4">
        <v>277184</v>
      </c>
      <c r="H11" s="8">
        <f t="shared" si="5"/>
        <v>1.4709517862052612E-2</v>
      </c>
      <c r="I11" s="8">
        <f t="shared" ref="I11:K12" si="9">+C11/C$23</f>
        <v>3.4138378788839809E-4</v>
      </c>
      <c r="J11" s="8">
        <f t="shared" si="9"/>
        <v>3.3820480013633608E-4</v>
      </c>
      <c r="K11" s="8">
        <f t="shared" si="9"/>
        <v>9.5800480910800695E-5</v>
      </c>
      <c r="L11" s="8">
        <f t="shared" ref="L11:M12" si="10">+F11/F$23</f>
        <v>2.1843165987959698E-4</v>
      </c>
      <c r="M11" s="8">
        <f t="shared" si="10"/>
        <v>6.5728949244858237E-4</v>
      </c>
      <c r="N11" s="4">
        <f t="shared" si="7"/>
        <v>-2607609</v>
      </c>
      <c r="O11" s="4">
        <f>+D11-C11</f>
        <v>883</v>
      </c>
      <c r="P11" s="4">
        <f>+E11-D11</f>
        <v>-35694</v>
      </c>
      <c r="Q11" s="4">
        <f t="shared" ref="Q11:R12" si="11">+F11-E11</f>
        <v>44096</v>
      </c>
      <c r="R11" s="4">
        <f t="shared" si="11"/>
        <v>206412</v>
      </c>
      <c r="S11" s="8">
        <f t="shared" si="8"/>
        <v>-0.97696336137778483</v>
      </c>
      <c r="T11" s="8">
        <f>+D11/C11-1</f>
        <v>1.4360759184868455E-2</v>
      </c>
      <c r="U11" s="8">
        <f>+E11/D11-1</f>
        <v>-0.5722943722943723</v>
      </c>
      <c r="V11" s="8">
        <f t="shared" ref="V11:W12" si="12">+F11/E11-1</f>
        <v>1.6530214424951266</v>
      </c>
      <c r="W11" s="8">
        <f t="shared" si="12"/>
        <v>2.9165771774147968</v>
      </c>
      <c r="Y11" s="2" t="s">
        <v>88</v>
      </c>
      <c r="Z11" s="14"/>
      <c r="AA11" s="15">
        <f>+AVERAGE(Z10:AA10)</f>
        <v>58237713.5</v>
      </c>
      <c r="AB11" s="15">
        <f t="shared" ref="AB11:AD11" si="13">+AVERAGE(AA10:AB10)</f>
        <v>75412275</v>
      </c>
      <c r="AC11" s="15">
        <f t="shared" si="13"/>
        <v>95462829.5</v>
      </c>
      <c r="AD11" s="15">
        <f t="shared" si="13"/>
        <v>107355964</v>
      </c>
    </row>
    <row r="12" spans="1:30" ht="16.5" x14ac:dyDescent="0.25">
      <c r="A12" s="1" t="s">
        <v>15</v>
      </c>
      <c r="B12" s="7">
        <f>SUM(B6:B11)</f>
        <v>123676224</v>
      </c>
      <c r="C12" s="7">
        <f t="shared" ref="C12:G12" si="14">SUM(C6:C11)</f>
        <v>121413091</v>
      </c>
      <c r="D12" s="7">
        <f t="shared" si="14"/>
        <v>89743836</v>
      </c>
      <c r="E12" s="7">
        <f t="shared" si="14"/>
        <v>172822710</v>
      </c>
      <c r="F12" s="7">
        <f t="shared" si="14"/>
        <v>196239665</v>
      </c>
      <c r="G12" s="7">
        <f t="shared" si="14"/>
        <v>296447009</v>
      </c>
      <c r="H12" s="11">
        <f t="shared" si="5"/>
        <v>0.68158568520548524</v>
      </c>
      <c r="I12" s="11">
        <f t="shared" si="9"/>
        <v>0.67410120683752306</v>
      </c>
      <c r="J12" s="11">
        <f t="shared" si="9"/>
        <v>0.48664095106378263</v>
      </c>
      <c r="K12" s="11">
        <f t="shared" si="9"/>
        <v>0.62065147437051449</v>
      </c>
      <c r="L12" s="11">
        <f t="shared" si="10"/>
        <v>0.60567676143342075</v>
      </c>
      <c r="M12" s="11">
        <f t="shared" si="10"/>
        <v>0.7029680792668781</v>
      </c>
      <c r="N12" s="7">
        <f t="shared" si="7"/>
        <v>-2263133</v>
      </c>
      <c r="O12" s="7">
        <f>+D12-C12</f>
        <v>-31669255</v>
      </c>
      <c r="P12" s="7">
        <f>+E12-D12</f>
        <v>83078874</v>
      </c>
      <c r="Q12" s="7">
        <f t="shared" si="11"/>
        <v>23416955</v>
      </c>
      <c r="R12" s="7">
        <f t="shared" si="11"/>
        <v>100207344</v>
      </c>
      <c r="S12" s="11">
        <f t="shared" si="8"/>
        <v>-1.8298852655786124E-2</v>
      </c>
      <c r="T12" s="11">
        <f>+D12/C12-1</f>
        <v>-0.26083888268687605</v>
      </c>
      <c r="U12" s="11">
        <f>+E12/D12-1</f>
        <v>0.92573348435874747</v>
      </c>
      <c r="V12" s="11">
        <f t="shared" si="12"/>
        <v>0.13549697837743668</v>
      </c>
      <c r="W12" s="11">
        <f t="shared" si="12"/>
        <v>0.51063756147361961</v>
      </c>
      <c r="Y12" s="16" t="s">
        <v>89</v>
      </c>
      <c r="Z12" s="14"/>
      <c r="AA12" s="17">
        <f>+C48/AA11</f>
        <v>2.5154800934964592</v>
      </c>
      <c r="AB12" s="17">
        <f>+D48/AB11</f>
        <v>2.7502476884565543</v>
      </c>
      <c r="AC12" s="17">
        <f>+E48/AC11</f>
        <v>2.1949692785923554</v>
      </c>
      <c r="AD12" s="17">
        <f>+F48/AD11</f>
        <v>5.6005486104153466</v>
      </c>
    </row>
    <row r="13" spans="1:30" ht="16.5" x14ac:dyDescent="0.25">
      <c r="A13" s="2" t="s">
        <v>16</v>
      </c>
      <c r="B13" s="4"/>
      <c r="C13" s="4"/>
      <c r="D13" s="4"/>
      <c r="E13" s="4"/>
      <c r="F13" s="4"/>
      <c r="G13" s="4"/>
      <c r="H13" s="8"/>
      <c r="I13" s="8"/>
      <c r="J13" s="8"/>
      <c r="K13" s="8"/>
      <c r="L13" s="8"/>
      <c r="M13" s="8"/>
      <c r="N13" s="4"/>
      <c r="O13" s="4"/>
      <c r="P13" s="4"/>
      <c r="Q13" s="4"/>
      <c r="R13" s="4"/>
      <c r="S13" s="8"/>
      <c r="T13" s="8"/>
      <c r="U13" s="8"/>
      <c r="V13" s="8"/>
      <c r="W13" s="8"/>
      <c r="Y13" s="16" t="s">
        <v>90</v>
      </c>
      <c r="Z13" s="17"/>
      <c r="AA13" s="17"/>
      <c r="AB13" s="17"/>
      <c r="AC13" s="17"/>
      <c r="AD13" s="14"/>
    </row>
    <row r="14" spans="1:30" ht="16.5" x14ac:dyDescent="0.25">
      <c r="A14" s="2" t="s">
        <v>18</v>
      </c>
      <c r="B14" s="4">
        <v>57777446</v>
      </c>
      <c r="C14" s="4">
        <v>58697981</v>
      </c>
      <c r="D14" s="4">
        <v>92126569</v>
      </c>
      <c r="E14" s="4">
        <v>98799090</v>
      </c>
      <c r="F14" s="4">
        <v>115912838</v>
      </c>
      <c r="G14" s="4">
        <v>112737657</v>
      </c>
      <c r="H14" s="8">
        <f t="shared" si="5"/>
        <v>0.31841431479451476</v>
      </c>
      <c r="I14" s="8">
        <f>+C14/C$23</f>
        <v>0.325898793162477</v>
      </c>
      <c r="J14" s="8">
        <f>+D14/D$23</f>
        <v>0.49956145351757852</v>
      </c>
      <c r="K14" s="8">
        <f>+E14/E$23</f>
        <v>0.35481332791833409</v>
      </c>
      <c r="L14" s="8">
        <f t="shared" ref="L14:M14" si="15">+F14/F$23</f>
        <v>0.35775495401705226</v>
      </c>
      <c r="M14" s="8">
        <f t="shared" si="15"/>
        <v>0.2673360560110698</v>
      </c>
      <c r="N14" s="4">
        <f t="shared" si="7"/>
        <v>920535</v>
      </c>
      <c r="O14" s="4">
        <f>+D14-C14</f>
        <v>33428588</v>
      </c>
      <c r="P14" s="4">
        <f>+E14-D14</f>
        <v>6672521</v>
      </c>
      <c r="Q14" s="4">
        <f t="shared" ref="Q14:R14" si="16">+F14-E14</f>
        <v>17113748</v>
      </c>
      <c r="R14" s="4">
        <f t="shared" si="16"/>
        <v>-3175181</v>
      </c>
      <c r="S14" s="8">
        <f t="shared" si="8"/>
        <v>1.5932428027365608E-2</v>
      </c>
      <c r="T14" s="8">
        <f>+D14/C14-1</f>
        <v>0.56950149614174972</v>
      </c>
      <c r="U14" s="8">
        <f>+E14/D14-1</f>
        <v>7.2427759683528325E-2</v>
      </c>
      <c r="V14" s="8">
        <f t="shared" ref="V14:W14" si="17">+F14/E14-1</f>
        <v>0.1732176683003861</v>
      </c>
      <c r="W14" s="8">
        <f t="shared" si="17"/>
        <v>-2.7392832880168139E-2</v>
      </c>
      <c r="Y14" s="14"/>
      <c r="Z14" s="14"/>
      <c r="AA14" s="14"/>
      <c r="AB14" s="14"/>
      <c r="AC14" s="14"/>
      <c r="AD14" s="14"/>
    </row>
    <row r="15" spans="1:30" ht="16.5" x14ac:dyDescent="0.25">
      <c r="A15" s="2" t="s">
        <v>20</v>
      </c>
      <c r="B15" s="4"/>
      <c r="C15" s="4"/>
      <c r="D15" s="4"/>
      <c r="E15" s="4"/>
      <c r="F15" s="4"/>
      <c r="G15" s="4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8"/>
      <c r="T15" s="8"/>
      <c r="U15" s="8"/>
      <c r="V15" s="8"/>
      <c r="W15" s="8"/>
      <c r="Y15" s="14"/>
      <c r="Z15" s="3">
        <v>2018</v>
      </c>
      <c r="AA15" s="3">
        <v>2019</v>
      </c>
      <c r="AB15" s="3">
        <v>2020</v>
      </c>
      <c r="AC15" s="3">
        <v>2021</v>
      </c>
      <c r="AD15" s="3">
        <v>2022</v>
      </c>
    </row>
    <row r="16" spans="1:30" ht="16.5" x14ac:dyDescent="0.25">
      <c r="A16" s="2" t="s">
        <v>22</v>
      </c>
      <c r="B16" s="4"/>
      <c r="C16" s="4"/>
      <c r="D16" s="4"/>
      <c r="E16" s="4"/>
      <c r="F16" s="4"/>
      <c r="G16" s="4"/>
      <c r="H16" s="8"/>
      <c r="I16" s="8"/>
      <c r="J16" s="8"/>
      <c r="K16" s="8"/>
      <c r="L16" s="8"/>
      <c r="M16" s="8"/>
      <c r="N16" s="4"/>
      <c r="O16" s="4"/>
      <c r="P16" s="4"/>
      <c r="Q16" s="4"/>
      <c r="R16" s="4"/>
      <c r="S16" s="8"/>
      <c r="T16" s="8"/>
      <c r="U16" s="8"/>
      <c r="V16" s="8"/>
      <c r="W16" s="8"/>
      <c r="Y16" s="2" t="s">
        <v>91</v>
      </c>
      <c r="Z16" s="15">
        <f>+AVERAGE(B8:C8)</f>
        <v>34975427</v>
      </c>
      <c r="AA16" s="15">
        <f>+AVERAGE(C8:D8)</f>
        <v>34942296</v>
      </c>
      <c r="AB16" s="15">
        <f>+AVERAGE(D8:E8)</f>
        <v>58047164</v>
      </c>
      <c r="AC16" s="15">
        <f t="shared" ref="AC16:AD16" si="18">+AVERAGE(E8:F8)</f>
        <v>89463303.5</v>
      </c>
      <c r="AD16" s="15">
        <f t="shared" si="18"/>
        <v>128593095</v>
      </c>
    </row>
    <row r="17" spans="1:32" ht="16.5" x14ac:dyDescent="0.25">
      <c r="A17" s="2" t="s">
        <v>23</v>
      </c>
      <c r="B17" s="4"/>
      <c r="C17" s="4"/>
      <c r="D17" s="4"/>
      <c r="E17" s="4"/>
      <c r="F17" s="4"/>
      <c r="G17" s="4"/>
      <c r="H17" s="8"/>
      <c r="I17" s="8"/>
      <c r="J17" s="8"/>
      <c r="K17" s="8"/>
      <c r="L17" s="8"/>
      <c r="M17" s="8"/>
      <c r="N17" s="4"/>
      <c r="O17" s="4"/>
      <c r="P17" s="4"/>
      <c r="Q17" s="4"/>
      <c r="R17" s="4"/>
      <c r="S17" s="8"/>
      <c r="T17" s="8"/>
      <c r="U17" s="8"/>
      <c r="V17" s="8"/>
      <c r="W17" s="8"/>
      <c r="Y17" s="16" t="s">
        <v>92</v>
      </c>
      <c r="Z17" s="17">
        <f>+C49/Z16</f>
        <v>1.995834446853215</v>
      </c>
      <c r="AA17" s="17">
        <f>+D49/AA16</f>
        <v>2.8926013905897885</v>
      </c>
      <c r="AB17" s="17">
        <f>+E49/AB16</f>
        <v>1.8510964635584952</v>
      </c>
      <c r="AC17" s="17">
        <f t="shared" ref="AC17:AD17" si="19">+F49/AC16</f>
        <v>4.2595120914577</v>
      </c>
      <c r="AD17" s="17">
        <f t="shared" si="19"/>
        <v>1.7814993798850554</v>
      </c>
      <c r="AE17" s="16" t="s">
        <v>93</v>
      </c>
    </row>
    <row r="18" spans="1:32" ht="16.5" x14ac:dyDescent="0.25">
      <c r="A18" s="2" t="s">
        <v>24</v>
      </c>
      <c r="B18" s="4"/>
      <c r="C18" s="4"/>
      <c r="D18" s="4"/>
      <c r="E18" s="4"/>
      <c r="F18" s="4"/>
      <c r="G18" s="4"/>
      <c r="H18" s="8"/>
      <c r="I18" s="8"/>
      <c r="J18" s="8"/>
      <c r="K18" s="8"/>
      <c r="L18" s="8"/>
      <c r="M18" s="8"/>
      <c r="N18" s="4"/>
      <c r="O18" s="4"/>
      <c r="P18" s="4"/>
      <c r="Q18" s="4"/>
      <c r="R18" s="4"/>
      <c r="S18" s="8"/>
      <c r="T18" s="8"/>
      <c r="U18" s="8"/>
      <c r="V18" s="8"/>
      <c r="W18" s="8"/>
      <c r="Y18" s="16" t="s">
        <v>94</v>
      </c>
      <c r="Z18" s="18">
        <f>365/Z17</f>
        <v>182.88090005435416</v>
      </c>
      <c r="AA18" s="18">
        <f t="shared" ref="AA18:AB18" si="20">365/AA17</f>
        <v>126.1839952049453</v>
      </c>
      <c r="AB18" s="18">
        <f t="shared" si="20"/>
        <v>197.18043180652745</v>
      </c>
      <c r="AC18" s="18">
        <f t="shared" ref="AC18:AD18" si="21">365/AC17</f>
        <v>85.690565530262148</v>
      </c>
      <c r="AD18" s="18">
        <f t="shared" si="21"/>
        <v>204.88359643636264</v>
      </c>
      <c r="AE18" s="16" t="s">
        <v>95</v>
      </c>
    </row>
    <row r="19" spans="1:32" ht="16.5" x14ac:dyDescent="0.25">
      <c r="A19" s="2" t="s">
        <v>25</v>
      </c>
      <c r="B19" s="4"/>
      <c r="C19" s="4"/>
      <c r="D19" s="4">
        <v>2544482</v>
      </c>
      <c r="E19" s="4">
        <v>6831917</v>
      </c>
      <c r="F19" s="4">
        <v>11848148</v>
      </c>
      <c r="G19" s="4">
        <v>12522973</v>
      </c>
      <c r="H19" s="8"/>
      <c r="I19" s="8"/>
      <c r="J19" s="8">
        <f>+D19/D$23</f>
        <v>1.3797595418638843E-2</v>
      </c>
      <c r="K19" s="8">
        <f>+E19/E$23</f>
        <v>2.45351977111514E-2</v>
      </c>
      <c r="L19" s="8">
        <f t="shared" ref="L19:M19" si="22">+F19/F$23</f>
        <v>3.6568284549527034E-2</v>
      </c>
      <c r="M19" s="8">
        <f t="shared" si="22"/>
        <v>2.9695864722052143E-2</v>
      </c>
      <c r="N19" s="4">
        <f t="shared" si="7"/>
        <v>0</v>
      </c>
      <c r="O19" s="4">
        <f>+D19-C19</f>
        <v>2544482</v>
      </c>
      <c r="P19" s="4">
        <f>+E19-D19</f>
        <v>4287435</v>
      </c>
      <c r="Q19" s="4">
        <f t="shared" ref="Q19:R19" si="23">+F19-E19</f>
        <v>5016231</v>
      </c>
      <c r="R19" s="4">
        <f t="shared" si="23"/>
        <v>674825</v>
      </c>
      <c r="S19" s="8"/>
      <c r="T19" s="8"/>
      <c r="U19" s="8">
        <f>+E19/D19-1</f>
        <v>1.6849932520646638</v>
      </c>
      <c r="V19" s="8">
        <f t="shared" ref="V19:W19" si="24">+F19/E19-1</f>
        <v>0.73423476895284301</v>
      </c>
      <c r="W19" s="8">
        <f t="shared" si="24"/>
        <v>5.6956158886604102E-2</v>
      </c>
      <c r="Y19" s="16" t="s">
        <v>96</v>
      </c>
      <c r="Z19" s="18">
        <f>+AVERAGE(Z18:AD18)</f>
        <v>159.36389780649034</v>
      </c>
      <c r="AA19" s="19" t="s">
        <v>95</v>
      </c>
      <c r="AB19" s="14"/>
      <c r="AC19" s="14"/>
      <c r="AD19" s="14"/>
    </row>
    <row r="20" spans="1:32" ht="16.5" x14ac:dyDescent="0.25">
      <c r="A20" s="2" t="s">
        <v>27</v>
      </c>
      <c r="B20" s="4"/>
      <c r="C20" s="4"/>
      <c r="D20" s="4"/>
      <c r="E20" s="4"/>
      <c r="F20" s="4"/>
      <c r="G20" s="4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8"/>
      <c r="T20" s="8"/>
      <c r="U20" s="8"/>
      <c r="V20" s="8"/>
      <c r="W20" s="8"/>
      <c r="Y20" s="14"/>
      <c r="Z20" s="14"/>
      <c r="AA20" s="14"/>
      <c r="AB20" s="14"/>
      <c r="AC20" s="14"/>
      <c r="AD20" s="14"/>
    </row>
    <row r="21" spans="1:32" ht="16.5" x14ac:dyDescent="0.25">
      <c r="A21" s="2" t="s">
        <v>29</v>
      </c>
      <c r="B21" s="4"/>
      <c r="C21" s="4"/>
      <c r="D21" s="4"/>
      <c r="E21" s="4"/>
      <c r="F21" s="4"/>
      <c r="G21" s="4"/>
      <c r="H21" s="8"/>
      <c r="I21" s="8"/>
      <c r="J21" s="8"/>
      <c r="K21" s="8"/>
      <c r="L21" s="8"/>
      <c r="M21" s="8"/>
      <c r="N21" s="4"/>
      <c r="O21" s="4"/>
      <c r="P21" s="4"/>
      <c r="Q21" s="4"/>
      <c r="R21" s="4"/>
      <c r="S21" s="8"/>
      <c r="T21" s="8"/>
      <c r="U21" s="8"/>
      <c r="V21" s="8"/>
      <c r="W21" s="8"/>
      <c r="Y21" s="14"/>
      <c r="Z21" s="3">
        <v>2018</v>
      </c>
      <c r="AA21" s="3">
        <v>2019</v>
      </c>
      <c r="AB21" s="3">
        <v>2020</v>
      </c>
      <c r="AC21" s="3">
        <v>2021</v>
      </c>
      <c r="AD21" s="3">
        <v>2022</v>
      </c>
    </row>
    <row r="22" spans="1:32" ht="16.5" x14ac:dyDescent="0.25">
      <c r="A22" s="1" t="s">
        <v>31</v>
      </c>
      <c r="B22" s="7">
        <f>SUM(B13:B21)</f>
        <v>57777446</v>
      </c>
      <c r="C22" s="7">
        <f t="shared" ref="C22:E22" si="25">SUM(C13:C21)</f>
        <v>58697981</v>
      </c>
      <c r="D22" s="7">
        <f t="shared" si="25"/>
        <v>94671051</v>
      </c>
      <c r="E22" s="7">
        <f t="shared" si="25"/>
        <v>105631007</v>
      </c>
      <c r="F22" s="7">
        <f t="shared" ref="F22:G22" si="26">SUM(F13:F21)</f>
        <v>127760986</v>
      </c>
      <c r="G22" s="7">
        <f t="shared" si="26"/>
        <v>125260630</v>
      </c>
      <c r="H22" s="11">
        <f t="shared" si="5"/>
        <v>0.31841431479451476</v>
      </c>
      <c r="I22" s="11">
        <f t="shared" ref="I22:I44" si="27">+C22/C$23</f>
        <v>0.325898793162477</v>
      </c>
      <c r="J22" s="11">
        <f t="shared" ref="J22:J44" si="28">+D22/D$23</f>
        <v>0.51335904893621742</v>
      </c>
      <c r="K22" s="11">
        <f t="shared" ref="K22:K44" si="29">+E22/E$23</f>
        <v>0.37934852562948551</v>
      </c>
      <c r="L22" s="11">
        <f t="shared" ref="L22:L24" si="30">+F22/F$23</f>
        <v>0.3943232385665793</v>
      </c>
      <c r="M22" s="11">
        <f t="shared" ref="M22:M24" si="31">+G22/G$23</f>
        <v>0.29703192073312196</v>
      </c>
      <c r="N22" s="7">
        <f t="shared" si="7"/>
        <v>920535</v>
      </c>
      <c r="O22" s="7">
        <f t="shared" ref="O22:O44" si="32">+D22-C22</f>
        <v>35973070</v>
      </c>
      <c r="P22" s="7">
        <f t="shared" ref="P22:P44" si="33">+E22-D22</f>
        <v>10959956</v>
      </c>
      <c r="Q22" s="7">
        <f t="shared" ref="Q22:Q24" si="34">+F22-E22</f>
        <v>22129979</v>
      </c>
      <c r="R22" s="7">
        <f t="shared" ref="R22:R24" si="35">+G22-F22</f>
        <v>-2500356</v>
      </c>
      <c r="S22" s="11">
        <f t="shared" si="8"/>
        <v>1.5932428027365608E-2</v>
      </c>
      <c r="T22" s="11">
        <f t="shared" ref="T22:T44" si="36">+D22/C22-1</f>
        <v>0.6128502102993969</v>
      </c>
      <c r="U22" s="11">
        <f t="shared" ref="U22:U44" si="37">+E22/D22-1</f>
        <v>0.11576882145313894</v>
      </c>
      <c r="V22" s="11">
        <f t="shared" ref="V22:V24" si="38">+F22/E22-1</f>
        <v>0.20950267945471723</v>
      </c>
      <c r="W22" s="11">
        <f t="shared" ref="W22:W24" si="39">+G22/F22-1</f>
        <v>-1.9570575324144746E-2</v>
      </c>
      <c r="Y22" s="2" t="s">
        <v>97</v>
      </c>
      <c r="Z22" s="15">
        <f>+AVERAGE(B7:C7)</f>
        <v>16529669</v>
      </c>
      <c r="AA22" s="15">
        <f>+AVERAGE(C7:D7)</f>
        <v>10656504</v>
      </c>
      <c r="AB22" s="15">
        <f>+AVERAGE(D7:E7)</f>
        <v>5062437</v>
      </c>
      <c r="AC22" s="15">
        <f t="shared" ref="AC22:AD22" si="40">+AVERAGE(E7:F7)</f>
        <v>4766471.5</v>
      </c>
      <c r="AD22" s="15">
        <f t="shared" si="40"/>
        <v>5569406.5</v>
      </c>
    </row>
    <row r="23" spans="1:32" ht="16.5" x14ac:dyDescent="0.25">
      <c r="A23" s="1" t="s">
        <v>32</v>
      </c>
      <c r="B23" s="7">
        <f>+B12+B22</f>
        <v>181453670</v>
      </c>
      <c r="C23" s="7">
        <f t="shared" ref="C23:E23" si="41">+C12+C22</f>
        <v>180111072</v>
      </c>
      <c r="D23" s="7">
        <f t="shared" si="41"/>
        <v>184414887</v>
      </c>
      <c r="E23" s="7">
        <f t="shared" si="41"/>
        <v>278453717</v>
      </c>
      <c r="F23" s="7">
        <f t="shared" ref="F23:G23" si="42">+F12+F22</f>
        <v>324000651</v>
      </c>
      <c r="G23" s="7">
        <f t="shared" si="42"/>
        <v>421707639</v>
      </c>
      <c r="H23" s="11">
        <f t="shared" si="5"/>
        <v>1</v>
      </c>
      <c r="I23" s="11">
        <f t="shared" si="27"/>
        <v>1</v>
      </c>
      <c r="J23" s="11">
        <f t="shared" si="28"/>
        <v>1</v>
      </c>
      <c r="K23" s="11">
        <f t="shared" si="29"/>
        <v>1</v>
      </c>
      <c r="L23" s="11">
        <f t="shared" si="30"/>
        <v>1</v>
      </c>
      <c r="M23" s="11">
        <f t="shared" si="31"/>
        <v>1</v>
      </c>
      <c r="N23" s="7">
        <f t="shared" si="7"/>
        <v>-1342598</v>
      </c>
      <c r="O23" s="7">
        <f t="shared" si="32"/>
        <v>4303815</v>
      </c>
      <c r="P23" s="7">
        <f t="shared" si="33"/>
        <v>94038830</v>
      </c>
      <c r="Q23" s="7">
        <f t="shared" si="34"/>
        <v>45546934</v>
      </c>
      <c r="R23" s="7">
        <f t="shared" si="35"/>
        <v>97706988</v>
      </c>
      <c r="S23" s="11">
        <f t="shared" si="8"/>
        <v>-7.3991228725216462E-3</v>
      </c>
      <c r="T23" s="11">
        <f t="shared" si="36"/>
        <v>2.3895338316569426E-2</v>
      </c>
      <c r="U23" s="11">
        <f t="shared" si="37"/>
        <v>0.50993079533758023</v>
      </c>
      <c r="V23" s="11">
        <f t="shared" si="38"/>
        <v>0.16357093196927952</v>
      </c>
      <c r="W23" s="11">
        <f t="shared" si="39"/>
        <v>0.3015641718571731</v>
      </c>
      <c r="Y23" s="16" t="s">
        <v>98</v>
      </c>
      <c r="Z23" s="18">
        <f>+C48/Z22</f>
        <v>8.8625978535928329</v>
      </c>
      <c r="AA23" s="18">
        <f>+D48/AA22</f>
        <v>19.462521198321699</v>
      </c>
      <c r="AB23" s="18">
        <f>+E48/AB22</f>
        <v>41.39073296122006</v>
      </c>
      <c r="AC23" s="18">
        <f t="shared" ref="AC23:AD23" si="43">+F48/AC22</f>
        <v>126.14200987040414</v>
      </c>
      <c r="AD23" s="18">
        <f t="shared" si="43"/>
        <v>71.812905558249341</v>
      </c>
      <c r="AE23" s="19" t="s">
        <v>93</v>
      </c>
    </row>
    <row r="24" spans="1:32" ht="16.5" x14ac:dyDescent="0.25">
      <c r="A24" s="2" t="s">
        <v>34</v>
      </c>
      <c r="B24" s="4">
        <v>920670</v>
      </c>
      <c r="C24" s="4">
        <v>777985</v>
      </c>
      <c r="D24" s="4">
        <v>1145927</v>
      </c>
      <c r="E24" s="4">
        <v>1057416</v>
      </c>
      <c r="F24" s="4">
        <v>1715105</v>
      </c>
      <c r="G24" s="4">
        <v>2674614</v>
      </c>
      <c r="H24" s="8">
        <f t="shared" si="5"/>
        <v>5.0738571449119767E-3</v>
      </c>
      <c r="I24" s="8">
        <f t="shared" si="27"/>
        <v>4.3194734857832616E-3</v>
      </c>
      <c r="J24" s="8">
        <f t="shared" si="28"/>
        <v>6.2138530063464998E-3</v>
      </c>
      <c r="K24" s="8">
        <f t="shared" si="29"/>
        <v>3.7974569396751847E-3</v>
      </c>
      <c r="L24" s="8">
        <f t="shared" si="30"/>
        <v>5.2935233145565497E-3</v>
      </c>
      <c r="M24" s="8">
        <f t="shared" si="31"/>
        <v>6.3423418327027267E-3</v>
      </c>
      <c r="N24" s="4">
        <f t="shared" si="7"/>
        <v>-142685</v>
      </c>
      <c r="O24" s="4">
        <f t="shared" si="32"/>
        <v>367942</v>
      </c>
      <c r="P24" s="4">
        <f t="shared" si="33"/>
        <v>-88511</v>
      </c>
      <c r="Q24" s="4">
        <f t="shared" si="34"/>
        <v>657689</v>
      </c>
      <c r="R24" s="4">
        <f t="shared" si="35"/>
        <v>959509</v>
      </c>
      <c r="S24" s="8">
        <f t="shared" si="8"/>
        <v>-0.15497952578013841</v>
      </c>
      <c r="T24" s="8">
        <f t="shared" si="36"/>
        <v>0.47294228037815644</v>
      </c>
      <c r="U24" s="8">
        <f t="shared" si="37"/>
        <v>-7.7239649646094422E-2</v>
      </c>
      <c r="V24" s="8">
        <f t="shared" si="38"/>
        <v>0.62197753769566555</v>
      </c>
      <c r="W24" s="8">
        <f t="shared" si="39"/>
        <v>0.55944621466324218</v>
      </c>
      <c r="Y24" s="16" t="s">
        <v>99</v>
      </c>
      <c r="Z24" s="18">
        <f>365/Z23</f>
        <v>41.184312549173335</v>
      </c>
      <c r="AA24" s="18">
        <f t="shared" ref="AA24" si="44">365/AA23</f>
        <v>18.75399370311154</v>
      </c>
      <c r="AB24" s="18">
        <f t="shared" ref="AB24:AD24" si="45">365/AB23</f>
        <v>8.8183990445875171</v>
      </c>
      <c r="AC24" s="18">
        <f t="shared" si="45"/>
        <v>2.8935641692644181</v>
      </c>
      <c r="AD24" s="18">
        <f t="shared" si="45"/>
        <v>5.0826518877437552</v>
      </c>
      <c r="AE24" s="19" t="s">
        <v>95</v>
      </c>
    </row>
    <row r="25" spans="1:32" ht="16.5" x14ac:dyDescent="0.25">
      <c r="A25" s="2" t="s">
        <v>35</v>
      </c>
      <c r="B25" s="4">
        <v>610000</v>
      </c>
      <c r="C25" s="4">
        <v>3582232</v>
      </c>
      <c r="D25" s="4"/>
      <c r="E25" s="4"/>
      <c r="F25" s="4"/>
      <c r="G25" s="4"/>
      <c r="H25" s="8">
        <f t="shared" si="5"/>
        <v>3.3617396661087097E-3</v>
      </c>
      <c r="I25" s="8">
        <f t="shared" si="27"/>
        <v>1.9889016040057772E-2</v>
      </c>
      <c r="J25" s="8"/>
      <c r="K25" s="8"/>
      <c r="L25" s="8"/>
      <c r="M25" s="8"/>
      <c r="N25" s="4">
        <f t="shared" si="7"/>
        <v>2972232</v>
      </c>
      <c r="O25" s="4">
        <f t="shared" si="32"/>
        <v>-3582232</v>
      </c>
      <c r="P25" s="4"/>
      <c r="Q25" s="4"/>
      <c r="R25" s="4"/>
      <c r="S25" s="8">
        <f t="shared" si="8"/>
        <v>4.8725114754098362</v>
      </c>
      <c r="T25" s="8">
        <f t="shared" si="36"/>
        <v>-1</v>
      </c>
      <c r="U25" s="8"/>
      <c r="V25" s="8"/>
      <c r="W25" s="8"/>
      <c r="Y25" s="16" t="s">
        <v>100</v>
      </c>
      <c r="Z25" s="18">
        <f>+AVERAGE(Z24:AD24)</f>
        <v>15.346584270776114</v>
      </c>
      <c r="AA25" s="19" t="s">
        <v>95</v>
      </c>
      <c r="AB25" s="14"/>
      <c r="AC25" s="14"/>
      <c r="AD25" s="14"/>
    </row>
    <row r="26" spans="1:32" ht="16.5" x14ac:dyDescent="0.25">
      <c r="A26" s="2" t="s">
        <v>37</v>
      </c>
      <c r="B26" s="4">
        <v>116865783</v>
      </c>
      <c r="C26" s="4">
        <v>60603760</v>
      </c>
      <c r="D26" s="4">
        <v>44475434</v>
      </c>
      <c r="E26" s="4">
        <v>27356986</v>
      </c>
      <c r="F26" s="4">
        <v>51970610</v>
      </c>
      <c r="G26" s="4">
        <v>54781299</v>
      </c>
      <c r="H26" s="8">
        <f t="shared" si="5"/>
        <v>0.64405301364254575</v>
      </c>
      <c r="I26" s="8">
        <f t="shared" si="27"/>
        <v>0.33647992500982948</v>
      </c>
      <c r="J26" s="8">
        <f t="shared" si="28"/>
        <v>0.24117051895056607</v>
      </c>
      <c r="K26" s="8">
        <f t="shared" si="29"/>
        <v>9.8246079437323511E-2</v>
      </c>
      <c r="L26" s="8">
        <f t="shared" ref="L26:L30" si="46">+F26/F$23</f>
        <v>0.16040279499314958</v>
      </c>
      <c r="M26" s="8">
        <f t="shared" ref="M26:M30" si="47">+G26/G$23</f>
        <v>0.12990350170061776</v>
      </c>
      <c r="N26" s="4">
        <f t="shared" si="7"/>
        <v>-56262023</v>
      </c>
      <c r="O26" s="4">
        <f t="shared" si="32"/>
        <v>-16128326</v>
      </c>
      <c r="P26" s="4">
        <f t="shared" si="33"/>
        <v>-17118448</v>
      </c>
      <c r="Q26" s="4">
        <f t="shared" ref="Q26:Q30" si="48">+F26-E26</f>
        <v>24613624</v>
      </c>
      <c r="R26" s="4">
        <f t="shared" ref="R26:R30" si="49">+G26-F26</f>
        <v>2810689</v>
      </c>
      <c r="S26" s="8">
        <f t="shared" si="8"/>
        <v>-0.48142425914349973</v>
      </c>
      <c r="T26" s="8">
        <f t="shared" si="36"/>
        <v>-0.26612748119918628</v>
      </c>
      <c r="U26" s="8">
        <f t="shared" si="37"/>
        <v>-0.38489670499898887</v>
      </c>
      <c r="V26" s="8">
        <f t="shared" ref="V26:V30" si="50">+F26/E26-1</f>
        <v>0.89971987411186305</v>
      </c>
      <c r="W26" s="8">
        <f t="shared" ref="W26:W30" si="51">+G26/F26-1</f>
        <v>5.4082278426210495E-2</v>
      </c>
      <c r="Y26" s="14"/>
      <c r="Z26" s="14"/>
      <c r="AA26" s="14"/>
      <c r="AB26" s="14"/>
      <c r="AC26" s="14"/>
      <c r="AD26" s="14"/>
    </row>
    <row r="27" spans="1:32" ht="16.5" x14ac:dyDescent="0.25">
      <c r="A27" s="2" t="s">
        <v>39</v>
      </c>
      <c r="B27" s="4">
        <v>588184</v>
      </c>
      <c r="C27" s="4">
        <v>6871218</v>
      </c>
      <c r="D27" s="4">
        <v>20341366</v>
      </c>
      <c r="E27" s="4">
        <v>11817178</v>
      </c>
      <c r="F27" s="4">
        <v>16324507</v>
      </c>
      <c r="G27" s="4">
        <v>10110336</v>
      </c>
      <c r="H27" s="8">
        <f t="shared" si="5"/>
        <v>3.2415106291319431E-3</v>
      </c>
      <c r="I27" s="8">
        <f t="shared" si="27"/>
        <v>3.8149892306454096E-2</v>
      </c>
      <c r="J27" s="8">
        <f t="shared" si="28"/>
        <v>0.11030219051675584</v>
      </c>
      <c r="K27" s="8">
        <f t="shared" si="29"/>
        <v>4.2438571577767807E-2</v>
      </c>
      <c r="L27" s="8">
        <f t="shared" si="46"/>
        <v>5.0384179629318092E-2</v>
      </c>
      <c r="M27" s="8">
        <f t="shared" si="47"/>
        <v>2.3974751854091977E-2</v>
      </c>
      <c r="N27" s="4">
        <f t="shared" si="7"/>
        <v>6283034</v>
      </c>
      <c r="O27" s="4">
        <f t="shared" si="32"/>
        <v>13470148</v>
      </c>
      <c r="P27" s="4">
        <f t="shared" si="33"/>
        <v>-8524188</v>
      </c>
      <c r="Q27" s="4">
        <f t="shared" si="48"/>
        <v>4507329</v>
      </c>
      <c r="R27" s="4">
        <f t="shared" si="49"/>
        <v>-6214171</v>
      </c>
      <c r="S27" s="8">
        <f t="shared" si="8"/>
        <v>10.682089278185058</v>
      </c>
      <c r="T27" s="8">
        <f t="shared" si="36"/>
        <v>1.9603726733746476</v>
      </c>
      <c r="U27" s="8">
        <f t="shared" si="37"/>
        <v>-0.41905681260540717</v>
      </c>
      <c r="V27" s="8">
        <f t="shared" si="50"/>
        <v>0.38142177430178337</v>
      </c>
      <c r="W27" s="8">
        <f t="shared" si="51"/>
        <v>-0.38066515576856319</v>
      </c>
      <c r="Y27" s="14"/>
      <c r="Z27" s="14"/>
      <c r="AA27" s="14"/>
      <c r="AB27" s="14"/>
      <c r="AC27" s="14"/>
      <c r="AD27" s="14"/>
    </row>
    <row r="28" spans="1:32" ht="16.5" x14ac:dyDescent="0.25">
      <c r="A28" s="2" t="s">
        <v>41</v>
      </c>
      <c r="B28" s="4"/>
      <c r="C28" s="4"/>
      <c r="D28" s="4">
        <v>3319970</v>
      </c>
      <c r="E28" s="4">
        <v>4567100</v>
      </c>
      <c r="F28" s="4">
        <v>5324931</v>
      </c>
      <c r="G28" s="4">
        <v>5696465</v>
      </c>
      <c r="H28" s="8"/>
      <c r="I28" s="8"/>
      <c r="J28" s="8">
        <f t="shared" si="28"/>
        <v>1.800272230733737E-2</v>
      </c>
      <c r="K28" s="8">
        <f t="shared" si="29"/>
        <v>1.6401648536801539E-2</v>
      </c>
      <c r="L28" s="8">
        <f t="shared" si="46"/>
        <v>1.6434939200168457E-2</v>
      </c>
      <c r="M28" s="8">
        <f t="shared" si="47"/>
        <v>1.3508090613459341E-2</v>
      </c>
      <c r="N28" s="4"/>
      <c r="O28" s="4">
        <f t="shared" si="32"/>
        <v>3319970</v>
      </c>
      <c r="P28" s="4">
        <f t="shared" si="33"/>
        <v>1247130</v>
      </c>
      <c r="Q28" s="4">
        <f t="shared" si="48"/>
        <v>757831</v>
      </c>
      <c r="R28" s="4">
        <f t="shared" si="49"/>
        <v>371534</v>
      </c>
      <c r="S28" s="8"/>
      <c r="T28" s="8"/>
      <c r="U28" s="8">
        <f t="shared" si="37"/>
        <v>0.37564496064723474</v>
      </c>
      <c r="V28" s="8">
        <f t="shared" si="50"/>
        <v>0.16593264872676317</v>
      </c>
      <c r="W28" s="8">
        <f t="shared" si="51"/>
        <v>6.977254728746729E-2</v>
      </c>
      <c r="Z28" s="3">
        <v>2017</v>
      </c>
      <c r="AA28" s="3">
        <v>2018</v>
      </c>
      <c r="AB28" s="3">
        <v>2019</v>
      </c>
      <c r="AC28" s="3">
        <v>2020</v>
      </c>
      <c r="AD28" s="3">
        <v>2021</v>
      </c>
      <c r="AE28" s="3">
        <v>2022</v>
      </c>
    </row>
    <row r="29" spans="1:32" ht="16.5" x14ac:dyDescent="0.25">
      <c r="A29" s="2" t="s">
        <v>43</v>
      </c>
      <c r="B29" s="4">
        <v>831606</v>
      </c>
      <c r="C29" s="4"/>
      <c r="D29" s="4">
        <v>2788402</v>
      </c>
      <c r="E29" s="4">
        <v>1853237</v>
      </c>
      <c r="F29" s="4">
        <v>3729390</v>
      </c>
      <c r="G29" s="4">
        <v>4275037</v>
      </c>
      <c r="H29" s="8">
        <f t="shared" si="5"/>
        <v>4.5830211094655734E-3</v>
      </c>
      <c r="I29" s="8">
        <f t="shared" si="27"/>
        <v>0</v>
      </c>
      <c r="J29" s="8">
        <f t="shared" si="28"/>
        <v>1.5120265209391691E-2</v>
      </c>
      <c r="K29" s="8">
        <f t="shared" si="29"/>
        <v>6.6554579337865334E-3</v>
      </c>
      <c r="L29" s="8">
        <f t="shared" si="46"/>
        <v>1.1510439835505145E-2</v>
      </c>
      <c r="M29" s="8">
        <f t="shared" si="47"/>
        <v>1.0137442637125196E-2</v>
      </c>
      <c r="N29" s="4">
        <f t="shared" si="7"/>
        <v>-831606</v>
      </c>
      <c r="O29" s="4">
        <f t="shared" si="32"/>
        <v>2788402</v>
      </c>
      <c r="P29" s="4">
        <f t="shared" si="33"/>
        <v>-935165</v>
      </c>
      <c r="Q29" s="4">
        <f t="shared" si="48"/>
        <v>1876153</v>
      </c>
      <c r="R29" s="4">
        <f t="shared" si="49"/>
        <v>545647</v>
      </c>
      <c r="S29" s="8">
        <f t="shared" si="8"/>
        <v>-1</v>
      </c>
      <c r="T29" s="8"/>
      <c r="U29" s="8">
        <f t="shared" si="37"/>
        <v>-0.33537667811169269</v>
      </c>
      <c r="V29" s="8">
        <f t="shared" si="50"/>
        <v>1.0123653909348884</v>
      </c>
      <c r="W29" s="8">
        <f t="shared" si="51"/>
        <v>0.14630998635165526</v>
      </c>
      <c r="Y29" s="2" t="s">
        <v>101</v>
      </c>
      <c r="Z29" s="15">
        <f>+B8</f>
        <v>41791255</v>
      </c>
      <c r="AA29" s="15">
        <f>+C8</f>
        <v>28159599</v>
      </c>
      <c r="AB29" s="15">
        <f>+D8</f>
        <v>41724993</v>
      </c>
      <c r="AC29" s="15">
        <f>+E8</f>
        <v>74369335</v>
      </c>
      <c r="AD29" s="15">
        <f t="shared" ref="AD29:AE29" si="52">+F8</f>
        <v>104557272</v>
      </c>
      <c r="AE29" s="15">
        <f t="shared" si="52"/>
        <v>152628918</v>
      </c>
    </row>
    <row r="30" spans="1:32" ht="16.5" x14ac:dyDescent="0.25">
      <c r="A30" s="1" t="s">
        <v>45</v>
      </c>
      <c r="B30" s="7">
        <f>SUM(B24:B29)</f>
        <v>119816243</v>
      </c>
      <c r="C30" s="7">
        <f t="shared" ref="C30:G30" si="53">SUM(C24:C29)</f>
        <v>71835195</v>
      </c>
      <c r="D30" s="7">
        <f t="shared" si="53"/>
        <v>72071099</v>
      </c>
      <c r="E30" s="7">
        <f t="shared" si="53"/>
        <v>46651917</v>
      </c>
      <c r="F30" s="7">
        <f t="shared" si="53"/>
        <v>79064543</v>
      </c>
      <c r="G30" s="7">
        <f t="shared" si="53"/>
        <v>77537751</v>
      </c>
      <c r="H30" s="11">
        <f t="shared" si="5"/>
        <v>0.66031314219216397</v>
      </c>
      <c r="I30" s="11">
        <f t="shared" si="27"/>
        <v>0.39883830684212462</v>
      </c>
      <c r="J30" s="11">
        <f t="shared" si="28"/>
        <v>0.39080954999039746</v>
      </c>
      <c r="K30" s="11">
        <f t="shared" si="29"/>
        <v>0.16753921442535458</v>
      </c>
      <c r="L30" s="11">
        <f t="shared" si="46"/>
        <v>0.24402587697269781</v>
      </c>
      <c r="M30" s="11">
        <f t="shared" si="47"/>
        <v>0.18386612863799701</v>
      </c>
      <c r="N30" s="7">
        <f t="shared" si="7"/>
        <v>-47981048</v>
      </c>
      <c r="O30" s="7">
        <f t="shared" si="32"/>
        <v>235904</v>
      </c>
      <c r="P30" s="7">
        <f t="shared" si="33"/>
        <v>-25419182</v>
      </c>
      <c r="Q30" s="7">
        <f t="shared" si="48"/>
        <v>32412626</v>
      </c>
      <c r="R30" s="7">
        <f t="shared" si="49"/>
        <v>-1526792</v>
      </c>
      <c r="S30" s="11">
        <f t="shared" si="8"/>
        <v>-0.40045528718506052</v>
      </c>
      <c r="T30" s="11">
        <f t="shared" si="36"/>
        <v>3.2839612950170682E-3</v>
      </c>
      <c r="U30" s="11">
        <f t="shared" si="37"/>
        <v>-0.35269591212977058</v>
      </c>
      <c r="V30" s="11">
        <f t="shared" si="50"/>
        <v>0.6947758652661582</v>
      </c>
      <c r="W30" s="11">
        <f t="shared" si="51"/>
        <v>-1.9310704167353476E-2</v>
      </c>
      <c r="Y30" s="2" t="s">
        <v>102</v>
      </c>
      <c r="Z30" s="14"/>
      <c r="AA30" s="15">
        <f>+C49+AA29-Z29</f>
        <v>56173506</v>
      </c>
      <c r="AB30" s="15">
        <f>+D49+AB29-AA29</f>
        <v>114639528</v>
      </c>
      <c r="AC30" s="15">
        <f>+E49+AC29-AB29</f>
        <v>140095242</v>
      </c>
      <c r="AD30" s="15">
        <f t="shared" ref="AD30:AE30" si="54">+F49+AD29-AC29</f>
        <v>411257960</v>
      </c>
      <c r="AE30" s="15">
        <f t="shared" si="54"/>
        <v>277160165</v>
      </c>
    </row>
    <row r="31" spans="1:32" ht="16.5" x14ac:dyDescent="0.25">
      <c r="A31" s="2" t="s">
        <v>46</v>
      </c>
      <c r="B31" s="4"/>
      <c r="C31" s="4"/>
      <c r="D31" s="4"/>
      <c r="E31" s="4"/>
      <c r="F31" s="4"/>
      <c r="G31" s="4"/>
      <c r="H31" s="8"/>
      <c r="I31" s="8"/>
      <c r="J31" s="8"/>
      <c r="K31" s="8"/>
      <c r="L31" s="8"/>
      <c r="M31" s="8"/>
      <c r="N31" s="4"/>
      <c r="O31" s="4"/>
      <c r="P31" s="4"/>
      <c r="Q31" s="4"/>
      <c r="R31" s="4"/>
      <c r="S31" s="8"/>
      <c r="T31" s="8"/>
      <c r="U31" s="8"/>
      <c r="V31" s="8"/>
      <c r="W31" s="8"/>
      <c r="Y31" s="2" t="s">
        <v>103</v>
      </c>
      <c r="Z31" s="14"/>
      <c r="AA31" s="15">
        <f>+AVERAGE(B26:C26)</f>
        <v>88734771.5</v>
      </c>
      <c r="AB31" s="15">
        <f>+AVERAGE(C26:D26)</f>
        <v>52539597</v>
      </c>
      <c r="AC31" s="15">
        <f>+AVERAGE(D26:E26)</f>
        <v>35916210</v>
      </c>
      <c r="AD31" s="15">
        <f t="shared" ref="AD31:AE31" si="55">+AVERAGE(E26:F26)</f>
        <v>39663798</v>
      </c>
      <c r="AE31" s="15">
        <f t="shared" si="55"/>
        <v>53375954.5</v>
      </c>
    </row>
    <row r="32" spans="1:32" ht="16.5" x14ac:dyDescent="0.25">
      <c r="A32" s="2" t="s">
        <v>48</v>
      </c>
      <c r="B32" s="4"/>
      <c r="C32" s="4"/>
      <c r="D32" s="4"/>
      <c r="E32" s="4"/>
      <c r="F32" s="4"/>
      <c r="G32" s="4"/>
      <c r="H32" s="8"/>
      <c r="I32" s="8"/>
      <c r="J32" s="8"/>
      <c r="K32" s="8"/>
      <c r="L32" s="8"/>
      <c r="M32" s="8"/>
      <c r="N32" s="4"/>
      <c r="O32" s="4"/>
      <c r="P32" s="4"/>
      <c r="Q32" s="4"/>
      <c r="R32" s="4"/>
      <c r="S32" s="8"/>
      <c r="T32" s="8"/>
      <c r="U32" s="8"/>
      <c r="V32" s="8"/>
      <c r="W32" s="8"/>
      <c r="Y32" s="16" t="s">
        <v>104</v>
      </c>
      <c r="Z32" s="17"/>
      <c r="AA32" s="18">
        <f>+AA30/AA31</f>
        <v>0.63304953684362619</v>
      </c>
      <c r="AB32" s="18">
        <f t="shared" ref="AB32:AC32" si="56">+AB30/AB31</f>
        <v>2.1819643572827556</v>
      </c>
      <c r="AC32" s="18">
        <f t="shared" si="56"/>
        <v>3.9006131771698627</v>
      </c>
      <c r="AD32" s="18">
        <f t="shared" ref="AD32:AE32" si="57">+AD30/AD31</f>
        <v>10.368597581099015</v>
      </c>
      <c r="AE32" s="18">
        <f t="shared" si="57"/>
        <v>5.1926034409370612</v>
      </c>
      <c r="AF32" s="19" t="s">
        <v>93</v>
      </c>
    </row>
    <row r="33" spans="1:32" ht="16.5" x14ac:dyDescent="0.25">
      <c r="A33" s="2" t="s">
        <v>50</v>
      </c>
      <c r="B33" s="4">
        <v>55482500</v>
      </c>
      <c r="C33" s="4"/>
      <c r="D33" s="4">
        <v>40000000</v>
      </c>
      <c r="E33" s="4">
        <v>141454998</v>
      </c>
      <c r="F33" s="4">
        <v>104000000</v>
      </c>
      <c r="G33" s="4">
        <v>180000000</v>
      </c>
      <c r="H33" s="8">
        <f t="shared" si="5"/>
        <v>0.30576675577848605</v>
      </c>
      <c r="I33" s="8"/>
      <c r="J33" s="8">
        <f t="shared" si="28"/>
        <v>0.21690222872299891</v>
      </c>
      <c r="K33" s="8">
        <f t="shared" si="29"/>
        <v>0.50800183069561966</v>
      </c>
      <c r="L33" s="8">
        <f t="shared" ref="L33" si="58">+F33/F$23</f>
        <v>0.32098700937486696</v>
      </c>
      <c r="M33" s="8">
        <f t="shared" ref="M33" si="59">+G33/G$23</f>
        <v>0.42683599573115627</v>
      </c>
      <c r="N33" s="4">
        <f t="shared" si="7"/>
        <v>-55482500</v>
      </c>
      <c r="O33" s="4">
        <f t="shared" si="32"/>
        <v>40000000</v>
      </c>
      <c r="P33" s="4">
        <f t="shared" si="33"/>
        <v>101454998</v>
      </c>
      <c r="Q33" s="4">
        <f t="shared" ref="Q33" si="60">+F33-E33</f>
        <v>-37454998</v>
      </c>
      <c r="R33" s="4">
        <f t="shared" ref="R33" si="61">+G33-F33</f>
        <v>76000000</v>
      </c>
      <c r="S33" s="8">
        <f t="shared" si="8"/>
        <v>-1</v>
      </c>
      <c r="T33" s="8"/>
      <c r="U33" s="8">
        <f t="shared" si="37"/>
        <v>2.5363749499999999</v>
      </c>
      <c r="V33" s="8">
        <f t="shared" ref="V33" si="62">+F33/E33-1</f>
        <v>-0.26478384312726799</v>
      </c>
      <c r="W33" s="8">
        <f t="shared" ref="W33" si="63">+G33/F33-1</f>
        <v>0.73076923076923084</v>
      </c>
      <c r="Y33" s="16" t="s">
        <v>105</v>
      </c>
      <c r="Z33" s="17"/>
      <c r="AA33" s="18">
        <f>365/AA32</f>
        <v>576.57415219018014</v>
      </c>
      <c r="AB33" s="18">
        <f t="shared" ref="AB33:AC33" si="64">365/AB32</f>
        <v>167.28045936302181</v>
      </c>
      <c r="AC33" s="18">
        <f t="shared" si="64"/>
        <v>93.575031263374385</v>
      </c>
      <c r="AD33" s="18">
        <f t="shared" ref="AD33:AE33" si="65">365/AD32</f>
        <v>35.202446342923068</v>
      </c>
      <c r="AE33" s="18">
        <f t="shared" si="65"/>
        <v>70.292292517938137</v>
      </c>
      <c r="AF33" s="19" t="s">
        <v>95</v>
      </c>
    </row>
    <row r="34" spans="1:32" ht="16.5" x14ac:dyDescent="0.25">
      <c r="A34" s="2" t="s">
        <v>52</v>
      </c>
      <c r="B34" s="4"/>
      <c r="C34" s="4"/>
      <c r="D34" s="4"/>
      <c r="E34" s="4"/>
      <c r="F34" s="4"/>
      <c r="G34" s="4"/>
      <c r="H34" s="8"/>
      <c r="I34" s="8"/>
      <c r="J34" s="8"/>
      <c r="K34" s="8"/>
      <c r="L34" s="8"/>
      <c r="M34" s="8"/>
      <c r="N34" s="4"/>
      <c r="O34" s="4"/>
      <c r="P34" s="4"/>
      <c r="Q34" s="4"/>
      <c r="R34" s="4"/>
      <c r="S34" s="8"/>
      <c r="T34" s="8"/>
      <c r="U34" s="8"/>
      <c r="V34" s="8"/>
      <c r="W34" s="8"/>
      <c r="Y34" s="16" t="s">
        <v>106</v>
      </c>
      <c r="Z34" s="18">
        <f>+AVERAGE(AA33:AE33)</f>
        <v>188.58487633548751</v>
      </c>
      <c r="AA34" s="19" t="s">
        <v>95</v>
      </c>
      <c r="AB34" s="14"/>
      <c r="AC34" s="14"/>
      <c r="AD34" s="14"/>
    </row>
    <row r="35" spans="1:32" ht="16.5" x14ac:dyDescent="0.25">
      <c r="A35" s="2" t="s">
        <v>53</v>
      </c>
      <c r="B35" s="4"/>
      <c r="C35" s="4"/>
      <c r="D35" s="4"/>
      <c r="E35" s="4"/>
      <c r="F35" s="4"/>
      <c r="G35" s="4"/>
      <c r="H35" s="8"/>
      <c r="I35" s="8"/>
      <c r="J35" s="8"/>
      <c r="K35" s="8"/>
      <c r="L35" s="8"/>
      <c r="M35" s="8"/>
      <c r="N35" s="4"/>
      <c r="O35" s="4"/>
      <c r="P35" s="4"/>
      <c r="Q35" s="4"/>
      <c r="R35" s="4"/>
      <c r="S35" s="8"/>
      <c r="T35" s="8"/>
      <c r="U35" s="8"/>
      <c r="V35" s="8"/>
      <c r="W35" s="8"/>
      <c r="Y35" s="14"/>
      <c r="Z35" s="14"/>
      <c r="AA35" s="14"/>
      <c r="AB35" s="14"/>
      <c r="AC35" s="14"/>
      <c r="AD35" s="14"/>
    </row>
    <row r="36" spans="1:32" ht="16.5" x14ac:dyDescent="0.25">
      <c r="A36" s="2" t="s">
        <v>55</v>
      </c>
      <c r="B36" s="4"/>
      <c r="C36" s="4">
        <v>103658589</v>
      </c>
      <c r="D36" s="4">
        <v>4634891</v>
      </c>
      <c r="E36" s="4">
        <v>1191603</v>
      </c>
      <c r="F36" s="4">
        <v>7110373</v>
      </c>
      <c r="G36" s="4">
        <v>1653354</v>
      </c>
      <c r="H36" s="8"/>
      <c r="I36" s="8">
        <f t="shared" si="27"/>
        <v>0.5755259121438131</v>
      </c>
      <c r="J36" s="8">
        <f t="shared" si="28"/>
        <v>2.5132954694704231E-2</v>
      </c>
      <c r="K36" s="8">
        <f t="shared" si="29"/>
        <v>4.2793574919310559E-3</v>
      </c>
      <c r="L36" s="8">
        <f t="shared" ref="L36:L44" si="66">+F36/F$23</f>
        <v>2.1945551584709625E-2</v>
      </c>
      <c r="M36" s="8">
        <f t="shared" ref="M36:M44" si="67">+G36/G$23</f>
        <v>3.92061667158939E-3</v>
      </c>
      <c r="N36" s="4">
        <f t="shared" si="7"/>
        <v>103658589</v>
      </c>
      <c r="O36" s="4">
        <f t="shared" si="32"/>
        <v>-99023698</v>
      </c>
      <c r="P36" s="4">
        <f t="shared" si="33"/>
        <v>-3443288</v>
      </c>
      <c r="Q36" s="4">
        <f t="shared" ref="Q36:Q44" si="68">+F36-E36</f>
        <v>5918770</v>
      </c>
      <c r="R36" s="4">
        <f t="shared" ref="R36:R44" si="69">+G36-F36</f>
        <v>-5457019</v>
      </c>
      <c r="S36" s="8"/>
      <c r="T36" s="8">
        <f t="shared" si="36"/>
        <v>-0.95528695649137185</v>
      </c>
      <c r="U36" s="8">
        <f t="shared" si="37"/>
        <v>-0.74290592810057454</v>
      </c>
      <c r="V36" s="8">
        <f t="shared" ref="V36:V44" si="70">+F36/E36-1</f>
        <v>4.96706537328288</v>
      </c>
      <c r="W36" s="8">
        <f t="shared" ref="W36:W44" si="71">+G36/F36-1</f>
        <v>-0.76747295816970507</v>
      </c>
      <c r="Y36" s="14"/>
      <c r="Z36" s="3">
        <v>2018</v>
      </c>
      <c r="AA36" s="3">
        <v>2019</v>
      </c>
      <c r="AB36" s="3">
        <v>2020</v>
      </c>
      <c r="AC36" s="3">
        <v>2021</v>
      </c>
      <c r="AD36" s="3">
        <v>2022</v>
      </c>
    </row>
    <row r="37" spans="1:32" ht="16.5" x14ac:dyDescent="0.25">
      <c r="A37" s="2" t="s">
        <v>56</v>
      </c>
      <c r="B37" s="4"/>
      <c r="C37" s="4">
        <v>1324193</v>
      </c>
      <c r="D37" s="4">
        <v>2372152</v>
      </c>
      <c r="E37" s="4">
        <v>13660792</v>
      </c>
      <c r="F37" s="4">
        <v>24014566</v>
      </c>
      <c r="G37" s="4">
        <v>23280246</v>
      </c>
      <c r="H37" s="8"/>
      <c r="I37" s="8">
        <f t="shared" si="27"/>
        <v>7.3520910474620905E-3</v>
      </c>
      <c r="J37" s="8">
        <f t="shared" si="28"/>
        <v>1.2863126391742983E-2</v>
      </c>
      <c r="K37" s="8">
        <f t="shared" si="29"/>
        <v>4.9059470806058589E-2</v>
      </c>
      <c r="L37" s="8">
        <f t="shared" si="66"/>
        <v>7.4118881940147707E-2</v>
      </c>
      <c r="M37" s="8">
        <f t="shared" si="67"/>
        <v>5.5204705457090379E-2</v>
      </c>
      <c r="N37" s="4">
        <f t="shared" si="7"/>
        <v>1324193</v>
      </c>
      <c r="O37" s="4">
        <f t="shared" si="32"/>
        <v>1047959</v>
      </c>
      <c r="P37" s="4">
        <f t="shared" si="33"/>
        <v>11288640</v>
      </c>
      <c r="Q37" s="4">
        <f t="shared" si="68"/>
        <v>10353774</v>
      </c>
      <c r="R37" s="4">
        <f t="shared" si="69"/>
        <v>-734320</v>
      </c>
      <c r="S37" s="8"/>
      <c r="T37" s="8">
        <f t="shared" si="36"/>
        <v>0.79139445685032328</v>
      </c>
      <c r="U37" s="8">
        <f t="shared" si="37"/>
        <v>4.7588181533055218</v>
      </c>
      <c r="V37" s="8">
        <f t="shared" si="70"/>
        <v>0.75791901377313997</v>
      </c>
      <c r="W37" s="8">
        <f t="shared" si="71"/>
        <v>-3.0578108303102369E-2</v>
      </c>
      <c r="Y37" s="16" t="s">
        <v>107</v>
      </c>
      <c r="Z37" s="18">
        <f>+Z18+Z24-AA33</f>
        <v>-352.50893958665267</v>
      </c>
      <c r="AA37" s="18">
        <f t="shared" ref="AA37:AB37" si="72">+AA18+AA24-AB33</f>
        <v>-22.342470454964968</v>
      </c>
      <c r="AB37" s="18">
        <f t="shared" si="72"/>
        <v>112.42379958774059</v>
      </c>
      <c r="AC37" s="18">
        <f t="shared" ref="AC37" si="73">+AC18+AC24-AD33</f>
        <v>53.381683356603503</v>
      </c>
      <c r="AD37" s="18">
        <f t="shared" ref="AD37" si="74">+AD18+AD24-AE33</f>
        <v>139.67395580616827</v>
      </c>
      <c r="AE37" s="19" t="s">
        <v>95</v>
      </c>
    </row>
    <row r="38" spans="1:32" ht="16.5" x14ac:dyDescent="0.25">
      <c r="A38" s="1" t="s">
        <v>57</v>
      </c>
      <c r="B38" s="7">
        <f>SUM(B31:B37)</f>
        <v>55482500</v>
      </c>
      <c r="C38" s="7">
        <f t="shared" ref="C38:E38" si="75">SUM(C31:C37)</f>
        <v>104982782</v>
      </c>
      <c r="D38" s="7">
        <f t="shared" si="75"/>
        <v>47007043</v>
      </c>
      <c r="E38" s="7">
        <f t="shared" si="75"/>
        <v>156307393</v>
      </c>
      <c r="F38" s="7">
        <f t="shared" ref="F38:G38" si="76">SUM(F31:F37)</f>
        <v>135124939</v>
      </c>
      <c r="G38" s="7">
        <f t="shared" si="76"/>
        <v>204933600</v>
      </c>
      <c r="H38" s="11">
        <f t="shared" si="5"/>
        <v>0.30576675577848605</v>
      </c>
      <c r="I38" s="11">
        <f t="shared" si="27"/>
        <v>0.58287800319127525</v>
      </c>
      <c r="J38" s="11">
        <f t="shared" si="28"/>
        <v>0.25489830980944611</v>
      </c>
      <c r="K38" s="11">
        <f t="shared" si="29"/>
        <v>0.5613406589936093</v>
      </c>
      <c r="L38" s="11">
        <f t="shared" si="66"/>
        <v>0.41705144289972429</v>
      </c>
      <c r="M38" s="11">
        <f t="shared" si="67"/>
        <v>0.48596131785983604</v>
      </c>
      <c r="N38" s="7">
        <f t="shared" si="7"/>
        <v>49500282</v>
      </c>
      <c r="O38" s="7">
        <f t="shared" si="32"/>
        <v>-57975739</v>
      </c>
      <c r="P38" s="7">
        <f t="shared" si="33"/>
        <v>109300350</v>
      </c>
      <c r="Q38" s="7">
        <f t="shared" si="68"/>
        <v>-21182454</v>
      </c>
      <c r="R38" s="7">
        <f t="shared" si="69"/>
        <v>69808661</v>
      </c>
      <c r="S38" s="11">
        <f t="shared" si="8"/>
        <v>0.89217829045194441</v>
      </c>
      <c r="T38" s="11">
        <f t="shared" si="36"/>
        <v>-0.55224045215338258</v>
      </c>
      <c r="U38" s="11">
        <f t="shared" si="37"/>
        <v>2.3251909293677544</v>
      </c>
      <c r="V38" s="11">
        <f t="shared" si="70"/>
        <v>-0.13551792780524463</v>
      </c>
      <c r="W38" s="11">
        <f t="shared" si="71"/>
        <v>0.51662307133400454</v>
      </c>
      <c r="Y38" s="14"/>
      <c r="Z38" s="14"/>
      <c r="AA38" s="14"/>
      <c r="AB38" s="14"/>
      <c r="AC38" s="14"/>
      <c r="AD38" s="14"/>
    </row>
    <row r="39" spans="1:32" ht="16.5" x14ac:dyDescent="0.25">
      <c r="A39" s="1" t="s">
        <v>59</v>
      </c>
      <c r="B39" s="7">
        <f>+B30+B38</f>
        <v>175298743</v>
      </c>
      <c r="C39" s="7">
        <f t="shared" ref="C39:E39" si="77">+C30+C38</f>
        <v>176817977</v>
      </c>
      <c r="D39" s="7">
        <f t="shared" si="77"/>
        <v>119078142</v>
      </c>
      <c r="E39" s="7">
        <f t="shared" si="77"/>
        <v>202959310</v>
      </c>
      <c r="F39" s="7">
        <f t="shared" ref="F39:G39" si="78">+F30+F38</f>
        <v>214189482</v>
      </c>
      <c r="G39" s="7">
        <f t="shared" si="78"/>
        <v>282471351</v>
      </c>
      <c r="H39" s="11">
        <f t="shared" si="5"/>
        <v>0.96607989797065008</v>
      </c>
      <c r="I39" s="11">
        <f t="shared" si="27"/>
        <v>0.98171631003339987</v>
      </c>
      <c r="J39" s="11">
        <f t="shared" si="28"/>
        <v>0.64570785979984358</v>
      </c>
      <c r="K39" s="11">
        <f t="shared" si="29"/>
        <v>0.72887987341896388</v>
      </c>
      <c r="L39" s="11">
        <f t="shared" si="66"/>
        <v>0.66107731987242213</v>
      </c>
      <c r="M39" s="11">
        <f t="shared" si="67"/>
        <v>0.6698274464978331</v>
      </c>
      <c r="N39" s="7">
        <f t="shared" si="7"/>
        <v>1519234</v>
      </c>
      <c r="O39" s="7">
        <f t="shared" si="32"/>
        <v>-57739835</v>
      </c>
      <c r="P39" s="7">
        <f t="shared" si="33"/>
        <v>83881168</v>
      </c>
      <c r="Q39" s="7">
        <f t="shared" si="68"/>
        <v>11230172</v>
      </c>
      <c r="R39" s="7">
        <f t="shared" si="69"/>
        <v>68281869</v>
      </c>
      <c r="S39" s="11">
        <f t="shared" si="8"/>
        <v>8.6665424634562171E-3</v>
      </c>
      <c r="T39" s="11">
        <f t="shared" si="36"/>
        <v>-0.3265495736330023</v>
      </c>
      <c r="U39" s="11">
        <f t="shared" si="37"/>
        <v>0.7044212026754666</v>
      </c>
      <c r="V39" s="11">
        <f t="shared" si="70"/>
        <v>5.5332135293522544E-2</v>
      </c>
      <c r="W39" s="11">
        <f t="shared" si="71"/>
        <v>0.31879188633548305</v>
      </c>
      <c r="Z39" s="3">
        <v>2017</v>
      </c>
      <c r="AA39" s="3">
        <v>2018</v>
      </c>
      <c r="AB39" s="3">
        <v>2019</v>
      </c>
      <c r="AC39" s="3">
        <v>2020</v>
      </c>
      <c r="AD39" s="3">
        <v>2021</v>
      </c>
      <c r="AE39" s="3">
        <v>2022</v>
      </c>
    </row>
    <row r="40" spans="1:32" ht="16.5" x14ac:dyDescent="0.25">
      <c r="A40" s="2" t="s">
        <v>61</v>
      </c>
      <c r="B40" s="4">
        <v>2521750</v>
      </c>
      <c r="C40" s="4">
        <v>2521750</v>
      </c>
      <c r="D40" s="4">
        <v>3121750</v>
      </c>
      <c r="E40" s="4">
        <v>3121750</v>
      </c>
      <c r="F40" s="4">
        <v>3121750</v>
      </c>
      <c r="G40" s="4">
        <v>3121750</v>
      </c>
      <c r="H40" s="8">
        <f t="shared" si="5"/>
        <v>1.3897486890179736E-2</v>
      </c>
      <c r="I40" s="8">
        <f t="shared" si="27"/>
        <v>1.4001082620839655E-2</v>
      </c>
      <c r="J40" s="8">
        <f t="shared" si="28"/>
        <v>1.6927863312900547E-2</v>
      </c>
      <c r="K40" s="8">
        <f t="shared" si="29"/>
        <v>1.1211019316362727E-2</v>
      </c>
      <c r="L40" s="8">
        <f t="shared" si="66"/>
        <v>9.6350115049614517E-3</v>
      </c>
      <c r="M40" s="8">
        <f t="shared" si="67"/>
        <v>7.4026403870763174E-3</v>
      </c>
      <c r="N40" s="4">
        <f t="shared" si="7"/>
        <v>0</v>
      </c>
      <c r="O40" s="4">
        <f t="shared" si="32"/>
        <v>600000</v>
      </c>
      <c r="P40" s="4">
        <f t="shared" si="33"/>
        <v>0</v>
      </c>
      <c r="Q40" s="4">
        <f t="shared" si="68"/>
        <v>0</v>
      </c>
      <c r="R40" s="4">
        <f t="shared" si="69"/>
        <v>0</v>
      </c>
      <c r="S40" s="8">
        <f t="shared" si="8"/>
        <v>0</v>
      </c>
      <c r="T40" s="8">
        <f t="shared" si="36"/>
        <v>0.23793000892237526</v>
      </c>
      <c r="U40" s="8">
        <f t="shared" si="37"/>
        <v>0</v>
      </c>
      <c r="V40" s="8">
        <f t="shared" si="70"/>
        <v>0</v>
      </c>
      <c r="W40" s="8">
        <f t="shared" si="71"/>
        <v>0</v>
      </c>
      <c r="Y40" s="2" t="s">
        <v>108</v>
      </c>
      <c r="Z40" s="15">
        <f>+B12-B30</f>
        <v>3859981</v>
      </c>
      <c r="AA40" s="15">
        <f>+C12-C30</f>
        <v>49577896</v>
      </c>
      <c r="AB40" s="15">
        <f>+D12-D30</f>
        <v>17672737</v>
      </c>
      <c r="AC40" s="15">
        <f>+E12-E30</f>
        <v>126170793</v>
      </c>
      <c r="AD40" s="15">
        <f t="shared" ref="AD40:AE40" si="79">+F12-F30</f>
        <v>117175122</v>
      </c>
      <c r="AE40" s="15">
        <f t="shared" si="79"/>
        <v>218909258</v>
      </c>
    </row>
    <row r="41" spans="1:32" ht="16.5" x14ac:dyDescent="0.25">
      <c r="A41" s="2" t="s">
        <v>62</v>
      </c>
      <c r="B41" s="4">
        <v>22065750</v>
      </c>
      <c r="C41" s="4">
        <v>22065750</v>
      </c>
      <c r="D41" s="4">
        <v>81465750</v>
      </c>
      <c r="E41" s="4">
        <v>81465750</v>
      </c>
      <c r="F41" s="4">
        <v>81465750</v>
      </c>
      <c r="G41" s="4">
        <v>81465750</v>
      </c>
      <c r="H41" s="8">
        <f t="shared" si="5"/>
        <v>0.1216054213728496</v>
      </c>
      <c r="I41" s="8">
        <f t="shared" si="27"/>
        <v>0.12251190198901264</v>
      </c>
      <c r="J41" s="8">
        <f t="shared" si="28"/>
        <v>0.44175256848976624</v>
      </c>
      <c r="K41" s="8">
        <f t="shared" si="29"/>
        <v>0.29256477836853584</v>
      </c>
      <c r="L41" s="8">
        <f t="shared" si="66"/>
        <v>0.25143699479789006</v>
      </c>
      <c r="M41" s="8">
        <f t="shared" si="67"/>
        <v>0.19318063621797471</v>
      </c>
      <c r="N41" s="4">
        <f t="shared" si="7"/>
        <v>0</v>
      </c>
      <c r="O41" s="4">
        <f t="shared" si="32"/>
        <v>59400000</v>
      </c>
      <c r="P41" s="4">
        <f t="shared" si="33"/>
        <v>0</v>
      </c>
      <c r="Q41" s="4">
        <f t="shared" si="68"/>
        <v>0</v>
      </c>
      <c r="R41" s="4">
        <f t="shared" si="69"/>
        <v>0</v>
      </c>
      <c r="S41" s="8">
        <f t="shared" si="8"/>
        <v>0</v>
      </c>
      <c r="T41" s="8">
        <f t="shared" si="36"/>
        <v>2.6919547262159682</v>
      </c>
      <c r="U41" s="8">
        <f t="shared" si="37"/>
        <v>0</v>
      </c>
      <c r="V41" s="8">
        <f t="shared" si="70"/>
        <v>0</v>
      </c>
      <c r="W41" s="8">
        <f t="shared" si="71"/>
        <v>0</v>
      </c>
      <c r="Y41" s="2" t="s">
        <v>109</v>
      </c>
      <c r="Z41" s="14"/>
      <c r="AA41" s="15">
        <f>+AVERAGE(Z40:AA40)</f>
        <v>26718938.5</v>
      </c>
      <c r="AB41" s="15">
        <f t="shared" ref="AB41:AC41" si="80">+AVERAGE(AA40:AB40)</f>
        <v>33625316.5</v>
      </c>
      <c r="AC41" s="15">
        <f t="shared" si="80"/>
        <v>71921765</v>
      </c>
      <c r="AD41" s="15">
        <f t="shared" ref="AD41" si="81">+AVERAGE(AC40:AD40)</f>
        <v>121672957.5</v>
      </c>
      <c r="AE41" s="15">
        <f t="shared" ref="AE41" si="82">+AVERAGE(AD40:AE40)</f>
        <v>168042190</v>
      </c>
    </row>
    <row r="42" spans="1:32" ht="16.5" x14ac:dyDescent="0.25">
      <c r="A42" s="2" t="s">
        <v>63</v>
      </c>
      <c r="B42" s="4">
        <v>-18432573</v>
      </c>
      <c r="C42" s="4">
        <v>-21294405</v>
      </c>
      <c r="D42" s="4">
        <v>-19250755</v>
      </c>
      <c r="E42" s="4">
        <v>-9093093</v>
      </c>
      <c r="F42" s="4">
        <v>25223669</v>
      </c>
      <c r="G42" s="4">
        <v>54648788</v>
      </c>
      <c r="H42" s="8">
        <f t="shared" si="5"/>
        <v>-0.10158280623367938</v>
      </c>
      <c r="I42" s="8">
        <f t="shared" si="27"/>
        <v>-0.11822929464325213</v>
      </c>
      <c r="J42" s="8">
        <f t="shared" si="28"/>
        <v>-0.10438829160251038</v>
      </c>
      <c r="K42" s="8">
        <f t="shared" si="29"/>
        <v>-3.2655671103862478E-2</v>
      </c>
      <c r="L42" s="8">
        <f t="shared" si="66"/>
        <v>7.7850673824726352E-2</v>
      </c>
      <c r="M42" s="8">
        <f t="shared" si="67"/>
        <v>0.12958927689711591</v>
      </c>
      <c r="N42" s="4">
        <f t="shared" si="7"/>
        <v>-2861832</v>
      </c>
      <c r="O42" s="4">
        <f t="shared" si="32"/>
        <v>2043650</v>
      </c>
      <c r="P42" s="4">
        <f t="shared" si="33"/>
        <v>10157662</v>
      </c>
      <c r="Q42" s="4">
        <f t="shared" si="68"/>
        <v>34316762</v>
      </c>
      <c r="R42" s="4">
        <f t="shared" si="69"/>
        <v>29425119</v>
      </c>
      <c r="S42" s="8">
        <f t="shared" si="8"/>
        <v>0.15525949632750669</v>
      </c>
      <c r="T42" s="8">
        <f t="shared" si="36"/>
        <v>-9.5971218730929508E-2</v>
      </c>
      <c r="U42" s="8">
        <f t="shared" si="37"/>
        <v>-0.52765005840030688</v>
      </c>
      <c r="V42" s="8">
        <f t="shared" si="70"/>
        <v>-3.7739372070647468</v>
      </c>
      <c r="W42" s="8">
        <f t="shared" si="71"/>
        <v>1.1665677582432594</v>
      </c>
      <c r="Y42" s="16" t="s">
        <v>110</v>
      </c>
      <c r="Z42" s="14"/>
      <c r="AA42" s="17">
        <f>+C48/AA41</f>
        <v>5.4828453982181964</v>
      </c>
      <c r="AB42" s="17">
        <f>+D48/AB41</f>
        <v>6.1680440985588936</v>
      </c>
      <c r="AC42" s="17">
        <f>+E48/AC41</f>
        <v>2.9134154035290987</v>
      </c>
      <c r="AD42" s="17">
        <f t="shared" ref="AD42:AE42" si="83">+F48/AD41</f>
        <v>4.9415441800204452</v>
      </c>
      <c r="AE42" s="17">
        <f t="shared" si="83"/>
        <v>2.3800883754252431</v>
      </c>
      <c r="AF42" s="19" t="s">
        <v>93</v>
      </c>
    </row>
    <row r="43" spans="1:32" ht="16.5" x14ac:dyDescent="0.25">
      <c r="A43" s="1" t="s">
        <v>64</v>
      </c>
      <c r="B43" s="7">
        <f>SUM(B40:B42)</f>
        <v>6154927</v>
      </c>
      <c r="C43" s="7">
        <f t="shared" ref="C43:E43" si="84">SUM(C40:C42)</f>
        <v>3293095</v>
      </c>
      <c r="D43" s="7">
        <f t="shared" si="84"/>
        <v>65336745</v>
      </c>
      <c r="E43" s="7">
        <f t="shared" si="84"/>
        <v>75494407</v>
      </c>
      <c r="F43" s="7">
        <f t="shared" ref="F43:G43" si="85">SUM(F40:F42)</f>
        <v>109811169</v>
      </c>
      <c r="G43" s="7">
        <f t="shared" si="85"/>
        <v>139236288</v>
      </c>
      <c r="H43" s="11">
        <f t="shared" si="5"/>
        <v>3.3920102029349974E-2</v>
      </c>
      <c r="I43" s="11">
        <f t="shared" si="27"/>
        <v>1.8283689966600167E-2</v>
      </c>
      <c r="J43" s="11">
        <f t="shared" si="28"/>
        <v>0.35429214020015642</v>
      </c>
      <c r="K43" s="11">
        <f t="shared" si="29"/>
        <v>0.27112012658103607</v>
      </c>
      <c r="L43" s="11">
        <f t="shared" si="66"/>
        <v>0.33892268012757787</v>
      </c>
      <c r="M43" s="11">
        <f t="shared" si="67"/>
        <v>0.33017255350216695</v>
      </c>
      <c r="N43" s="7">
        <f t="shared" si="7"/>
        <v>-2861832</v>
      </c>
      <c r="O43" s="7">
        <f t="shared" si="32"/>
        <v>62043650</v>
      </c>
      <c r="P43" s="7">
        <f t="shared" si="33"/>
        <v>10157662</v>
      </c>
      <c r="Q43" s="7">
        <f t="shared" si="68"/>
        <v>34316762</v>
      </c>
      <c r="R43" s="7">
        <f t="shared" si="69"/>
        <v>29425119</v>
      </c>
      <c r="S43" s="11">
        <f t="shared" si="8"/>
        <v>-0.46496603452811058</v>
      </c>
      <c r="T43" s="11">
        <f t="shared" si="36"/>
        <v>18.840528439052015</v>
      </c>
      <c r="U43" s="11">
        <f t="shared" si="37"/>
        <v>0.15546630001234374</v>
      </c>
      <c r="V43" s="11">
        <f t="shared" si="70"/>
        <v>0.45456032259449364</v>
      </c>
      <c r="W43" s="11">
        <f t="shared" si="71"/>
        <v>0.26796107598126007</v>
      </c>
      <c r="Y43" s="14"/>
      <c r="Z43" s="14"/>
      <c r="AA43" s="14"/>
      <c r="AB43" s="14"/>
      <c r="AC43" s="14"/>
      <c r="AD43" s="14"/>
    </row>
    <row r="44" spans="1:32" ht="16.5" x14ac:dyDescent="0.25">
      <c r="A44" s="1" t="s">
        <v>65</v>
      </c>
      <c r="B44" s="7">
        <f>+B39+B43</f>
        <v>181453670</v>
      </c>
      <c r="C44" s="7">
        <f t="shared" ref="C44:E44" si="86">+C39+C43</f>
        <v>180111072</v>
      </c>
      <c r="D44" s="7">
        <f t="shared" si="86"/>
        <v>184414887</v>
      </c>
      <c r="E44" s="7">
        <f t="shared" si="86"/>
        <v>278453717</v>
      </c>
      <c r="F44" s="7">
        <f t="shared" ref="F44:G44" si="87">+F39+F43</f>
        <v>324000651</v>
      </c>
      <c r="G44" s="7">
        <f t="shared" si="87"/>
        <v>421707639</v>
      </c>
      <c r="H44" s="11">
        <f t="shared" si="5"/>
        <v>1</v>
      </c>
      <c r="I44" s="11">
        <f t="shared" si="27"/>
        <v>1</v>
      </c>
      <c r="J44" s="11">
        <f t="shared" si="28"/>
        <v>1</v>
      </c>
      <c r="K44" s="11">
        <f t="shared" si="29"/>
        <v>1</v>
      </c>
      <c r="L44" s="11">
        <f t="shared" si="66"/>
        <v>1</v>
      </c>
      <c r="M44" s="11">
        <f t="shared" si="67"/>
        <v>1</v>
      </c>
      <c r="N44" s="7">
        <f t="shared" si="7"/>
        <v>-1342598</v>
      </c>
      <c r="O44" s="7">
        <f t="shared" si="32"/>
        <v>4303815</v>
      </c>
      <c r="P44" s="7">
        <f t="shared" si="33"/>
        <v>94038830</v>
      </c>
      <c r="Q44" s="7">
        <f t="shared" si="68"/>
        <v>45546934</v>
      </c>
      <c r="R44" s="7">
        <f t="shared" si="69"/>
        <v>97706988</v>
      </c>
      <c r="S44" s="11">
        <f t="shared" si="8"/>
        <v>-7.3991228725216462E-3</v>
      </c>
      <c r="T44" s="11">
        <f t="shared" si="36"/>
        <v>2.3895338316569426E-2</v>
      </c>
      <c r="U44" s="11">
        <f t="shared" si="37"/>
        <v>0.50993079533758023</v>
      </c>
      <c r="V44" s="11">
        <f t="shared" si="70"/>
        <v>0.16357093196927952</v>
      </c>
      <c r="W44" s="11">
        <f t="shared" si="71"/>
        <v>0.3015641718571731</v>
      </c>
      <c r="Z44" s="3">
        <v>2017</v>
      </c>
      <c r="AA44" s="3">
        <v>2018</v>
      </c>
      <c r="AB44" s="3">
        <v>2019</v>
      </c>
      <c r="AC44" s="3">
        <v>2020</v>
      </c>
      <c r="AD44" s="3">
        <v>2021</v>
      </c>
      <c r="AE44" s="3">
        <v>2022</v>
      </c>
    </row>
    <row r="45" spans="1:32" ht="16.5" x14ac:dyDescent="0.25">
      <c r="A45" s="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Y45" s="2" t="s">
        <v>111</v>
      </c>
      <c r="Z45" s="15">
        <f>+B6+B7+B8+B9+B11-B24-B25-B26-B27-B29</f>
        <v>3859981</v>
      </c>
      <c r="AA45" s="15">
        <f>+C6+C7+C8+C9+C11-C24-C25-C26-C27-C29</f>
        <v>49577896</v>
      </c>
      <c r="AB45" s="15">
        <f>+D6+D7+D8+D9+D11-D24-D25-D26-D27-D29</f>
        <v>20992707</v>
      </c>
      <c r="AC45" s="15">
        <f>+E6+E7+E8+E9+E11-E24-E25-E26-E27-E29</f>
        <v>130737893</v>
      </c>
      <c r="AD45" s="15">
        <f t="shared" ref="AD45:AE45" si="88">+F6+F7+F8+F9+F11-F24-F25-F26-F27-F29</f>
        <v>122500053</v>
      </c>
      <c r="AE45" s="15">
        <f t="shared" si="88"/>
        <v>224605723</v>
      </c>
    </row>
    <row r="46" spans="1:32" ht="16.5" x14ac:dyDescent="0.25">
      <c r="A46" s="2"/>
      <c r="H46" s="23" t="s">
        <v>81</v>
      </c>
      <c r="I46" s="23"/>
      <c r="J46" s="23"/>
      <c r="K46" s="23"/>
      <c r="L46" s="13"/>
      <c r="M46" s="13"/>
      <c r="N46" s="23" t="s">
        <v>82</v>
      </c>
      <c r="O46" s="23"/>
      <c r="P46" s="23"/>
      <c r="Q46" s="13"/>
      <c r="R46" s="13"/>
      <c r="S46" s="23" t="s">
        <v>83</v>
      </c>
      <c r="T46" s="23"/>
      <c r="U46" s="23"/>
      <c r="V46" s="13"/>
      <c r="W46" s="13"/>
      <c r="Y46" s="2" t="s">
        <v>109</v>
      </c>
      <c r="Z46" s="14"/>
      <c r="AA46" s="15">
        <f>+AVERAGE(Z45:AA45)</f>
        <v>26718938.5</v>
      </c>
      <c r="AB46" s="15">
        <f t="shared" ref="AB46" si="89">+AVERAGE(AA45:AB45)</f>
        <v>35285301.5</v>
      </c>
      <c r="AC46" s="15">
        <f t="shared" ref="AC46" si="90">+AVERAGE(AB45:AC45)</f>
        <v>75865300</v>
      </c>
      <c r="AD46" s="15">
        <f t="shared" ref="AD46" si="91">+AVERAGE(AC45:AD45)</f>
        <v>126618973</v>
      </c>
      <c r="AE46" s="15">
        <f t="shared" ref="AE46" si="92">+AVERAGE(AD45:AE45)</f>
        <v>173552888</v>
      </c>
    </row>
    <row r="47" spans="1:32" ht="16.5" x14ac:dyDescent="0.25">
      <c r="A47" s="2"/>
      <c r="B47" s="3">
        <v>2017</v>
      </c>
      <c r="C47" s="3">
        <v>2018</v>
      </c>
      <c r="D47" s="3">
        <v>2019</v>
      </c>
      <c r="E47" s="3">
        <v>2020</v>
      </c>
      <c r="F47" s="3">
        <v>2021</v>
      </c>
      <c r="G47" s="3">
        <v>2022</v>
      </c>
      <c r="H47" s="3">
        <v>2017</v>
      </c>
      <c r="I47" s="3">
        <v>2018</v>
      </c>
      <c r="J47" s="3">
        <v>2019</v>
      </c>
      <c r="K47" s="3">
        <v>2020</v>
      </c>
      <c r="L47" s="3">
        <v>2021</v>
      </c>
      <c r="M47" s="3">
        <v>2022</v>
      </c>
      <c r="N47" s="3">
        <v>2018</v>
      </c>
      <c r="O47" s="3">
        <v>2019</v>
      </c>
      <c r="P47" s="3">
        <v>2020</v>
      </c>
      <c r="Q47" s="3">
        <v>2021</v>
      </c>
      <c r="R47" s="3">
        <v>2022</v>
      </c>
      <c r="S47" s="3">
        <v>2018</v>
      </c>
      <c r="T47" s="3">
        <v>2019</v>
      </c>
      <c r="U47" s="3">
        <v>2020</v>
      </c>
      <c r="V47" s="3">
        <v>2021</v>
      </c>
      <c r="W47" s="3">
        <v>2022</v>
      </c>
      <c r="Y47" s="16" t="s">
        <v>110</v>
      </c>
      <c r="Z47" s="14"/>
      <c r="AA47" s="17">
        <f>+C48/AA46</f>
        <v>5.4828453982181964</v>
      </c>
      <c r="AB47" s="17">
        <f>+D48/AB46</f>
        <v>5.877870563186204</v>
      </c>
      <c r="AC47" s="17">
        <f>+E48/AC46</f>
        <v>2.7619738932028213</v>
      </c>
      <c r="AD47" s="17">
        <f t="shared" ref="AD47:AE47" si="93">+F48/AD46</f>
        <v>4.7485165986933096</v>
      </c>
      <c r="AE47" s="17">
        <f t="shared" si="93"/>
        <v>2.3045151688861552</v>
      </c>
      <c r="AF47" s="19" t="s">
        <v>93</v>
      </c>
    </row>
    <row r="48" spans="1:32" ht="16.5" x14ac:dyDescent="0.25">
      <c r="A48" s="2" t="s">
        <v>66</v>
      </c>
      <c r="B48" s="4">
        <v>95221493</v>
      </c>
      <c r="C48" s="4">
        <v>146495809</v>
      </c>
      <c r="D48" s="4">
        <v>207402435</v>
      </c>
      <c r="E48" s="4">
        <v>209537978</v>
      </c>
      <c r="F48" s="4">
        <v>601252295</v>
      </c>
      <c r="G48" s="4">
        <v>399955263</v>
      </c>
      <c r="H48" s="8">
        <f>+B48/B$48</f>
        <v>1</v>
      </c>
      <c r="I48" s="8">
        <f>+C48/C$48</f>
        <v>1</v>
      </c>
      <c r="J48" s="8">
        <f>+D48/D$48</f>
        <v>1</v>
      </c>
      <c r="K48" s="8">
        <f>+E48/E$48</f>
        <v>1</v>
      </c>
      <c r="L48" s="8">
        <f t="shared" ref="L48:M53" si="94">+F48/F$48</f>
        <v>1</v>
      </c>
      <c r="M48" s="8">
        <f t="shared" si="94"/>
        <v>1</v>
      </c>
      <c r="N48" s="4">
        <f>+C48-B48</f>
        <v>51274316</v>
      </c>
      <c r="O48" s="4">
        <f>+D48-C48</f>
        <v>60906626</v>
      </c>
      <c r="P48" s="4">
        <f>+E48-D48</f>
        <v>2135543</v>
      </c>
      <c r="Q48" s="4">
        <f t="shared" ref="Q48:R50" si="95">+F48-E48</f>
        <v>391714317</v>
      </c>
      <c r="R48" s="4">
        <f t="shared" si="95"/>
        <v>-201297032</v>
      </c>
      <c r="S48" s="8">
        <f>+C48/B48-1</f>
        <v>0.53847418670488612</v>
      </c>
      <c r="T48" s="8">
        <f>+D48/C48-1</f>
        <v>0.41575678113767744</v>
      </c>
      <c r="U48" s="8">
        <f>+E48/D48-1</f>
        <v>1.029661488786271E-2</v>
      </c>
      <c r="V48" s="8">
        <f t="shared" ref="V48:W50" si="96">+F48/E48-1</f>
        <v>1.869419189489363</v>
      </c>
      <c r="W48" s="8">
        <f t="shared" si="96"/>
        <v>-0.33479628048654686</v>
      </c>
    </row>
    <row r="49" spans="1:31" ht="16.5" x14ac:dyDescent="0.25">
      <c r="A49" s="2" t="s">
        <v>67</v>
      </c>
      <c r="B49" s="4">
        <v>48837338</v>
      </c>
      <c r="C49" s="4">
        <v>69805162</v>
      </c>
      <c r="D49" s="4">
        <v>101074134</v>
      </c>
      <c r="E49" s="4">
        <v>107450900</v>
      </c>
      <c r="F49" s="4">
        <v>381070023</v>
      </c>
      <c r="G49" s="4">
        <v>229088519</v>
      </c>
      <c r="H49" s="8">
        <f t="shared" ref="H49:H61" si="97">+B49/B$48</f>
        <v>0.51288145629054571</v>
      </c>
      <c r="I49" s="8">
        <f t="shared" ref="I49:K50" si="98">+C49/C$48</f>
        <v>0.47649937890032062</v>
      </c>
      <c r="J49" s="8">
        <f t="shared" si="98"/>
        <v>0.48733340088316707</v>
      </c>
      <c r="K49" s="8">
        <f t="shared" si="98"/>
        <v>0.51279916426415073</v>
      </c>
      <c r="L49" s="8">
        <f t="shared" si="94"/>
        <v>0.63379387682836208</v>
      </c>
      <c r="M49" s="8">
        <f t="shared" si="94"/>
        <v>0.5727853592465415</v>
      </c>
      <c r="N49" s="4">
        <f t="shared" ref="N49:N61" si="99">+C49-B49</f>
        <v>20967824</v>
      </c>
      <c r="O49" s="4">
        <f>+D49-C49</f>
        <v>31268972</v>
      </c>
      <c r="P49" s="4">
        <f>+E49-D49</f>
        <v>6376766</v>
      </c>
      <c r="Q49" s="4">
        <f t="shared" si="95"/>
        <v>273619123</v>
      </c>
      <c r="R49" s="4">
        <f t="shared" si="95"/>
        <v>-151981504</v>
      </c>
      <c r="S49" s="8">
        <f t="shared" ref="S49:S61" si="100">+C49/B49-1</f>
        <v>0.42934002668204396</v>
      </c>
      <c r="T49" s="8">
        <f>+D49/C49-1</f>
        <v>0.44794641404886359</v>
      </c>
      <c r="U49" s="8">
        <f>+E49/D49-1</f>
        <v>6.3089988977793166E-2</v>
      </c>
      <c r="V49" s="8">
        <f t="shared" si="96"/>
        <v>2.5464572469844367</v>
      </c>
      <c r="W49" s="8">
        <f t="shared" si="96"/>
        <v>-0.39882828568753625</v>
      </c>
    </row>
    <row r="50" spans="1:31" ht="16.5" x14ac:dyDescent="0.25">
      <c r="A50" s="1" t="s">
        <v>68</v>
      </c>
      <c r="B50" s="7">
        <f>+B48-B49</f>
        <v>46384155</v>
      </c>
      <c r="C50" s="7">
        <f t="shared" ref="C50:G50" si="101">+C48-C49</f>
        <v>76690647</v>
      </c>
      <c r="D50" s="7">
        <f t="shared" si="101"/>
        <v>106328301</v>
      </c>
      <c r="E50" s="7">
        <f t="shared" si="101"/>
        <v>102087078</v>
      </c>
      <c r="F50" s="7">
        <f t="shared" si="101"/>
        <v>220182272</v>
      </c>
      <c r="G50" s="7">
        <f t="shared" si="101"/>
        <v>170866744</v>
      </c>
      <c r="H50" s="11">
        <f t="shared" si="97"/>
        <v>0.48711854370945434</v>
      </c>
      <c r="I50" s="11">
        <f t="shared" si="98"/>
        <v>0.52350062109967943</v>
      </c>
      <c r="J50" s="11">
        <f t="shared" si="98"/>
        <v>0.51266659911683299</v>
      </c>
      <c r="K50" s="11">
        <f t="shared" si="98"/>
        <v>0.48720083573584927</v>
      </c>
      <c r="L50" s="11">
        <f t="shared" si="94"/>
        <v>0.36620612317163798</v>
      </c>
      <c r="M50" s="11">
        <f t="shared" si="94"/>
        <v>0.42721464075345844</v>
      </c>
      <c r="N50" s="7">
        <f t="shared" si="99"/>
        <v>30306492</v>
      </c>
      <c r="O50" s="7">
        <f>+D50-C50</f>
        <v>29637654</v>
      </c>
      <c r="P50" s="7">
        <f>+E50-D50</f>
        <v>-4241223</v>
      </c>
      <c r="Q50" s="7">
        <f t="shared" si="95"/>
        <v>118095194</v>
      </c>
      <c r="R50" s="7">
        <f t="shared" si="95"/>
        <v>-49315528</v>
      </c>
      <c r="S50" s="11">
        <f t="shared" si="100"/>
        <v>0.6533802760878149</v>
      </c>
      <c r="T50" s="11">
        <f>+D50/C50-1</f>
        <v>0.38645721687548162</v>
      </c>
      <c r="U50" s="11">
        <f>+E50/D50-1</f>
        <v>-3.9887997457986324E-2</v>
      </c>
      <c r="V50" s="11">
        <f t="shared" si="96"/>
        <v>1.1568084454332213</v>
      </c>
      <c r="W50" s="11">
        <f t="shared" si="96"/>
        <v>-0.22397592481923345</v>
      </c>
      <c r="Y50" s="26" t="s">
        <v>3</v>
      </c>
      <c r="Z50" s="26"/>
      <c r="AA50" s="26"/>
      <c r="AB50" s="26"/>
      <c r="AC50" s="26"/>
    </row>
    <row r="51" spans="1:31" ht="16.5" x14ac:dyDescent="0.25">
      <c r="A51" s="2" t="s">
        <v>69</v>
      </c>
      <c r="B51" s="4">
        <v>5388102</v>
      </c>
      <c r="C51" s="4"/>
      <c r="D51" s="4"/>
      <c r="E51" s="4"/>
      <c r="F51" s="4"/>
      <c r="G51" s="4"/>
      <c r="H51" s="8">
        <f t="shared" si="97"/>
        <v>5.6584935083931101E-2</v>
      </c>
      <c r="I51" s="8"/>
      <c r="J51" s="8"/>
      <c r="K51" s="8">
        <f>+E51/E$48</f>
        <v>0</v>
      </c>
      <c r="L51" s="8">
        <f t="shared" si="94"/>
        <v>0</v>
      </c>
      <c r="M51" s="8">
        <f t="shared" si="94"/>
        <v>0</v>
      </c>
      <c r="N51" s="4">
        <f t="shared" si="99"/>
        <v>-5388102</v>
      </c>
      <c r="O51" s="4"/>
      <c r="P51" s="4"/>
      <c r="Q51" s="4"/>
      <c r="R51" s="4"/>
      <c r="S51" s="8">
        <f t="shared" si="100"/>
        <v>-1</v>
      </c>
      <c r="T51" s="8"/>
      <c r="U51" s="8"/>
      <c r="V51" s="8"/>
      <c r="W51" s="8"/>
      <c r="Z51" s="3">
        <v>2017</v>
      </c>
      <c r="AA51" s="3">
        <v>2018</v>
      </c>
      <c r="AB51" s="3">
        <v>2019</v>
      </c>
      <c r="AC51" s="3">
        <v>2020</v>
      </c>
      <c r="AD51" s="3">
        <v>2021</v>
      </c>
      <c r="AE51" s="3">
        <v>2022</v>
      </c>
    </row>
    <row r="52" spans="1:31" ht="16.5" x14ac:dyDescent="0.25">
      <c r="A52" s="2" t="s">
        <v>70</v>
      </c>
      <c r="B52" s="4">
        <v>41445847</v>
      </c>
      <c r="C52" s="4"/>
      <c r="D52" s="4">
        <v>65453755</v>
      </c>
      <c r="E52" s="4">
        <v>66786465</v>
      </c>
      <c r="F52" s="4">
        <v>133921892</v>
      </c>
      <c r="G52" s="4">
        <v>103022065</v>
      </c>
      <c r="H52" s="8">
        <f t="shared" si="97"/>
        <v>0.43525726907054479</v>
      </c>
      <c r="I52" s="8">
        <f>+C52/C$48</f>
        <v>0</v>
      </c>
      <c r="J52" s="8">
        <f>+D52/D$48</f>
        <v>0.31558817040889614</v>
      </c>
      <c r="K52" s="8">
        <f>+E52/E$48</f>
        <v>0.31873202957031493</v>
      </c>
      <c r="L52" s="8">
        <f t="shared" si="94"/>
        <v>0.22273826331091176</v>
      </c>
      <c r="M52" s="8">
        <f t="shared" si="94"/>
        <v>0.25758397133531408</v>
      </c>
      <c r="N52" s="4">
        <f t="shared" si="99"/>
        <v>-41445847</v>
      </c>
      <c r="O52" s="4">
        <f>+D52-C52</f>
        <v>65453755</v>
      </c>
      <c r="P52" s="4">
        <f>+E52-D52</f>
        <v>1332710</v>
      </c>
      <c r="Q52" s="4">
        <f t="shared" ref="Q52:R53" si="102">+F52-E52</f>
        <v>67135427</v>
      </c>
      <c r="R52" s="4">
        <f t="shared" si="102"/>
        <v>-30899827</v>
      </c>
      <c r="S52" s="8">
        <f t="shared" si="100"/>
        <v>-1</v>
      </c>
      <c r="T52" s="8"/>
      <c r="U52" s="8">
        <f>+E52/D52-1</f>
        <v>2.0361093110700779E-2</v>
      </c>
      <c r="V52" s="8">
        <f t="shared" ref="V52:W53" si="103">+F52/E52-1</f>
        <v>1.0052250407324297</v>
      </c>
      <c r="W52" s="8">
        <f t="shared" si="103"/>
        <v>-0.23073021549008577</v>
      </c>
      <c r="Y52" s="2" t="s">
        <v>5</v>
      </c>
      <c r="Z52" s="5">
        <f>+B12/B30</f>
        <v>1.0322158407186912</v>
      </c>
      <c r="AA52" s="5">
        <f>+C12/C30</f>
        <v>1.6901616401264032</v>
      </c>
      <c r="AB52" s="5">
        <f>+D12/D30</f>
        <v>1.2452125365814111</v>
      </c>
      <c r="AC52" s="5">
        <f>+E12/E30</f>
        <v>3.7045146504912112</v>
      </c>
      <c r="AD52" s="5">
        <f t="shared" ref="AD52:AE52" si="104">+F12/F30</f>
        <v>2.4820185832225703</v>
      </c>
      <c r="AE52" s="5">
        <f t="shared" si="104"/>
        <v>3.8232603496585811</v>
      </c>
    </row>
    <row r="53" spans="1:31" ht="16.5" x14ac:dyDescent="0.25">
      <c r="A53" s="2" t="s">
        <v>71</v>
      </c>
      <c r="B53" s="4">
        <v>19209605</v>
      </c>
      <c r="C53" s="4">
        <v>27198225</v>
      </c>
      <c r="D53" s="4">
        <v>15806679</v>
      </c>
      <c r="E53" s="4">
        <v>11467772</v>
      </c>
      <c r="F53" s="4">
        <v>23220044</v>
      </c>
      <c r="G53" s="4">
        <v>15366345</v>
      </c>
      <c r="H53" s="8">
        <f t="shared" si="97"/>
        <v>0.20173601982905268</v>
      </c>
      <c r="I53" s="8">
        <f>+C53/C$48</f>
        <v>0.18565872420282004</v>
      </c>
      <c r="J53" s="8">
        <f>+D53/D$48</f>
        <v>7.6212600879059109E-2</v>
      </c>
      <c r="K53" s="8">
        <f>+E53/E$48</f>
        <v>5.4728847292780498E-2</v>
      </c>
      <c r="L53" s="8">
        <f t="shared" si="94"/>
        <v>3.8619468388058291E-2</v>
      </c>
      <c r="M53" s="8">
        <f t="shared" si="94"/>
        <v>3.842015950668963E-2</v>
      </c>
      <c r="N53" s="4">
        <f t="shared" si="99"/>
        <v>7988620</v>
      </c>
      <c r="O53" s="4">
        <f>+D53-C53</f>
        <v>-11391546</v>
      </c>
      <c r="P53" s="4">
        <f>+E53-D53</f>
        <v>-4338907</v>
      </c>
      <c r="Q53" s="4">
        <f t="shared" si="102"/>
        <v>11752272</v>
      </c>
      <c r="R53" s="4">
        <f t="shared" si="102"/>
        <v>-7853699</v>
      </c>
      <c r="S53" s="8">
        <f t="shared" si="100"/>
        <v>0.41586591707637921</v>
      </c>
      <c r="T53" s="8">
        <f t="shared" ref="T53:T61" si="105">+D53/C53-1</f>
        <v>-0.4188341702445656</v>
      </c>
      <c r="U53" s="8">
        <f>+E53/D53-1</f>
        <v>-0.27449833073727881</v>
      </c>
      <c r="V53" s="8">
        <f t="shared" si="103"/>
        <v>1.0248086550726678</v>
      </c>
      <c r="W53" s="8">
        <f t="shared" si="103"/>
        <v>-0.33822929017705561</v>
      </c>
      <c r="Y53" s="2" t="s">
        <v>7</v>
      </c>
      <c r="Z53" s="5">
        <f>+(B6+B7+B10)/B30</f>
        <v>0.64874610531728993</v>
      </c>
      <c r="AA53" s="5">
        <f>+(C6+C7+C10)/C30</f>
        <v>1.2940163522908235</v>
      </c>
      <c r="AB53" s="5">
        <f>+(D6+D7+D10)/D30</f>
        <v>0.66540504675806322</v>
      </c>
      <c r="AC53" s="5">
        <f>+(E6+E7+E10)/E30</f>
        <v>2.109810385712553</v>
      </c>
      <c r="AD53" s="5">
        <f t="shared" ref="AD53:AE53" si="106">+(F6+F7+F10)/F30</f>
        <v>1.1586941190566296</v>
      </c>
      <c r="AE53" s="5">
        <f t="shared" si="106"/>
        <v>1.8512389790619539</v>
      </c>
    </row>
    <row r="54" spans="1:31" ht="16.5" x14ac:dyDescent="0.25">
      <c r="A54" s="2" t="s">
        <v>72</v>
      </c>
      <c r="B54" s="4">
        <v>627842</v>
      </c>
      <c r="C54" s="4">
        <v>38651352</v>
      </c>
      <c r="D54" s="4"/>
      <c r="E54" s="4"/>
      <c r="F54" s="4">
        <v>1761664</v>
      </c>
      <c r="G54" s="4">
        <v>660253</v>
      </c>
      <c r="H54" s="8">
        <f t="shared" si="97"/>
        <v>6.5934904003238006E-3</v>
      </c>
      <c r="I54" s="8">
        <f t="shared" ref="I54:I61" si="107">+C54/C$48</f>
        <v>0.26383930205129624</v>
      </c>
      <c r="J54" s="8"/>
      <c r="K54" s="8"/>
      <c r="L54" s="8"/>
      <c r="M54" s="8"/>
      <c r="N54" s="4">
        <f t="shared" si="99"/>
        <v>38023510</v>
      </c>
      <c r="O54" s="4">
        <f t="shared" ref="O54:O61" si="108">+D54-C54</f>
        <v>-38651352</v>
      </c>
      <c r="P54" s="4"/>
      <c r="Q54" s="4"/>
      <c r="R54" s="4"/>
      <c r="S54" s="8">
        <f t="shared" si="100"/>
        <v>60.56222743938762</v>
      </c>
      <c r="T54" s="8">
        <f t="shared" si="105"/>
        <v>-1</v>
      </c>
      <c r="U54" s="8"/>
      <c r="V54" s="8"/>
      <c r="W54" s="8"/>
      <c r="Y54" s="2" t="s">
        <v>9</v>
      </c>
      <c r="Z54" s="4">
        <f>+B12-B30</f>
        <v>3859981</v>
      </c>
      <c r="AA54" s="4">
        <f>+C12-C30</f>
        <v>49577896</v>
      </c>
      <c r="AB54" s="4">
        <f>+D12-D30</f>
        <v>17672737</v>
      </c>
      <c r="AC54" s="4">
        <f>+E12-E30</f>
        <v>126170793</v>
      </c>
      <c r="AD54" s="4">
        <f t="shared" ref="AD54:AE54" si="109">+F12-F30</f>
        <v>117175122</v>
      </c>
      <c r="AE54" s="4">
        <f t="shared" si="109"/>
        <v>218909258</v>
      </c>
    </row>
    <row r="55" spans="1:31" ht="16.5" x14ac:dyDescent="0.25">
      <c r="A55" s="2" t="s">
        <v>73</v>
      </c>
      <c r="B55" s="4"/>
      <c r="C55" s="4">
        <v>-3781821</v>
      </c>
      <c r="D55" s="4">
        <v>-5371313</v>
      </c>
      <c r="E55" s="4">
        <v>-1879639</v>
      </c>
      <c r="F55" s="4"/>
      <c r="G55" s="4"/>
      <c r="H55" s="8"/>
      <c r="I55" s="8">
        <f t="shared" si="107"/>
        <v>-2.5815216324720936E-2</v>
      </c>
      <c r="J55" s="8">
        <f t="shared" ref="J55:K61" si="110">+D55/D$48</f>
        <v>-2.5898022846260218E-2</v>
      </c>
      <c r="K55" s="8">
        <f t="shared" si="110"/>
        <v>-8.9703977195007573E-3</v>
      </c>
      <c r="L55" s="8">
        <f t="shared" ref="L55:M61" si="111">+F55/F$48</f>
        <v>0</v>
      </c>
      <c r="M55" s="8">
        <f t="shared" si="111"/>
        <v>0</v>
      </c>
      <c r="N55" s="4">
        <f t="shared" si="99"/>
        <v>-3781821</v>
      </c>
      <c r="O55" s="4">
        <f t="shared" si="108"/>
        <v>-1589492</v>
      </c>
      <c r="P55" s="4">
        <f t="shared" ref="P55:P61" si="112">+E55-D55</f>
        <v>3491674</v>
      </c>
      <c r="Q55" s="4">
        <f t="shared" ref="Q55:R61" si="113">+F55-E55</f>
        <v>1879639</v>
      </c>
      <c r="R55" s="4">
        <f t="shared" si="113"/>
        <v>0</v>
      </c>
      <c r="S55" s="8"/>
      <c r="T55" s="8">
        <f t="shared" si="105"/>
        <v>0.42029805218173988</v>
      </c>
      <c r="U55" s="8">
        <f t="shared" ref="U55:U61" si="114">+E55/D55-1</f>
        <v>-0.65005967814573462</v>
      </c>
      <c r="V55" s="8">
        <f t="shared" ref="V55:W61" si="115">+F55/E55-1</f>
        <v>-1</v>
      </c>
      <c r="W55" s="8"/>
      <c r="Y55" s="6" t="s">
        <v>11</v>
      </c>
      <c r="Z55" s="5">
        <f>+(+B6+B10)/(B24+B26+B28)</f>
        <v>0.52399618485837252</v>
      </c>
      <c r="AA55" s="5">
        <f>+(+C6+C10)/(C24+C26+C28)</f>
        <v>1.2366420667903788</v>
      </c>
      <c r="AB55" s="5">
        <f>+(+D6+D10)/(D24+D26+D28)</f>
        <v>0.8927451114886924</v>
      </c>
      <c r="AC55" s="5">
        <f>+(+E6+E10)/(E24+E26+E28)</f>
        <v>2.8066085043670843</v>
      </c>
      <c r="AD55" s="5">
        <f t="shared" ref="AD55:AE55" si="116">+(+F6+F10)/(F24+F26+F28)</f>
        <v>1.4902262381604838</v>
      </c>
      <c r="AE55" s="5">
        <f t="shared" si="116"/>
        <v>2.1547011578883062</v>
      </c>
    </row>
    <row r="56" spans="1:31" ht="16.5" x14ac:dyDescent="0.25">
      <c r="A56" s="1" t="s">
        <v>74</v>
      </c>
      <c r="B56" s="7">
        <f t="shared" ref="B56:G56" si="117">+B50+B51-B52-B53-B54+B55</f>
        <v>-9511037</v>
      </c>
      <c r="C56" s="7">
        <f t="shared" si="117"/>
        <v>7059249</v>
      </c>
      <c r="D56" s="7">
        <f t="shared" si="117"/>
        <v>19696554</v>
      </c>
      <c r="E56" s="7">
        <f t="shared" si="117"/>
        <v>21953202</v>
      </c>
      <c r="F56" s="7">
        <f t="shared" si="117"/>
        <v>61278672</v>
      </c>
      <c r="G56" s="7">
        <f t="shared" si="117"/>
        <v>51818081</v>
      </c>
      <c r="H56" s="11">
        <f t="shared" si="97"/>
        <v>-9.9883300506535849E-2</v>
      </c>
      <c r="I56" s="11">
        <f t="shared" si="107"/>
        <v>4.8187378520842192E-2</v>
      </c>
      <c r="J56" s="11">
        <f t="shared" si="110"/>
        <v>9.496780498261749E-2</v>
      </c>
      <c r="K56" s="11">
        <f t="shared" si="110"/>
        <v>0.10476956115325309</v>
      </c>
      <c r="L56" s="11">
        <f t="shared" si="111"/>
        <v>0.10191840016178233</v>
      </c>
      <c r="M56" s="11">
        <f t="shared" si="111"/>
        <v>0.12955969277993973</v>
      </c>
      <c r="N56" s="7">
        <f t="shared" si="99"/>
        <v>16570286</v>
      </c>
      <c r="O56" s="7">
        <f t="shared" si="108"/>
        <v>12637305</v>
      </c>
      <c r="P56" s="7">
        <f t="shared" si="112"/>
        <v>2256648</v>
      </c>
      <c r="Q56" s="7">
        <f t="shared" si="113"/>
        <v>39325470</v>
      </c>
      <c r="R56" s="7">
        <f t="shared" si="113"/>
        <v>-9460591</v>
      </c>
      <c r="S56" s="11">
        <f t="shared" si="100"/>
        <v>-1.7422165427387151</v>
      </c>
      <c r="T56" s="11">
        <f t="shared" si="105"/>
        <v>1.7901769720830076</v>
      </c>
      <c r="U56" s="11">
        <f t="shared" si="114"/>
        <v>0.114570701047503</v>
      </c>
      <c r="V56" s="11">
        <f t="shared" si="115"/>
        <v>1.7913318521826564</v>
      </c>
      <c r="W56" s="11">
        <f t="shared" si="115"/>
        <v>-0.15438635811167711</v>
      </c>
    </row>
    <row r="57" spans="1:31" ht="16.5" x14ac:dyDescent="0.25">
      <c r="A57" s="2" t="s">
        <v>75</v>
      </c>
      <c r="B57" s="4">
        <v>312884</v>
      </c>
      <c r="C57" s="4">
        <v>481784</v>
      </c>
      <c r="D57" s="4">
        <v>453435</v>
      </c>
      <c r="E57" s="4">
        <v>273447</v>
      </c>
      <c r="F57" s="4">
        <v>616461</v>
      </c>
      <c r="G57" s="4">
        <v>674867</v>
      </c>
      <c r="H57" s="8">
        <f t="shared" si="97"/>
        <v>3.285854801709526E-3</v>
      </c>
      <c r="I57" s="8">
        <f t="shared" si="107"/>
        <v>3.2887220684927579E-3</v>
      </c>
      <c r="J57" s="8">
        <f t="shared" si="110"/>
        <v>2.1862568778423454E-3</v>
      </c>
      <c r="K57" s="8">
        <f t="shared" si="110"/>
        <v>1.304999707499325E-3</v>
      </c>
      <c r="L57" s="8">
        <f t="shared" si="111"/>
        <v>1.02529504689874E-3</v>
      </c>
      <c r="M57" s="8">
        <f t="shared" si="111"/>
        <v>1.6873562181378271E-3</v>
      </c>
      <c r="N57" s="4">
        <f t="shared" si="99"/>
        <v>168900</v>
      </c>
      <c r="O57" s="4">
        <f t="shared" si="108"/>
        <v>-28349</v>
      </c>
      <c r="P57" s="4">
        <f t="shared" si="112"/>
        <v>-179988</v>
      </c>
      <c r="Q57" s="4">
        <f t="shared" si="113"/>
        <v>343014</v>
      </c>
      <c r="R57" s="4">
        <f t="shared" si="113"/>
        <v>58406</v>
      </c>
      <c r="S57" s="8">
        <f t="shared" si="100"/>
        <v>0.53981667327188343</v>
      </c>
      <c r="T57" s="8">
        <f t="shared" si="105"/>
        <v>-5.8841721601381569E-2</v>
      </c>
      <c r="U57" s="8">
        <f t="shared" si="114"/>
        <v>-0.39694333256144765</v>
      </c>
      <c r="V57" s="8">
        <f t="shared" si="115"/>
        <v>1.2544076182953185</v>
      </c>
      <c r="W57" s="8">
        <f t="shared" si="115"/>
        <v>9.4744030847044636E-2</v>
      </c>
      <c r="Y57" s="26" t="s">
        <v>14</v>
      </c>
      <c r="Z57" s="26"/>
      <c r="AA57" s="26"/>
      <c r="AB57" s="26"/>
      <c r="AC57" s="26"/>
    </row>
    <row r="58" spans="1:31" ht="16.5" x14ac:dyDescent="0.25">
      <c r="A58" s="2" t="s">
        <v>76</v>
      </c>
      <c r="B58" s="4">
        <v>7196584</v>
      </c>
      <c r="C58" s="4">
        <v>6052503</v>
      </c>
      <c r="D58" s="4">
        <v>8309315</v>
      </c>
      <c r="E58" s="4">
        <v>5544644</v>
      </c>
      <c r="F58" s="4">
        <v>16652083</v>
      </c>
      <c r="G58" s="4">
        <v>4839424</v>
      </c>
      <c r="H58" s="8">
        <f t="shared" si="97"/>
        <v>7.5577306900659502E-2</v>
      </c>
      <c r="I58" s="8">
        <f t="shared" si="107"/>
        <v>4.1315195576687114E-2</v>
      </c>
      <c r="J58" s="8">
        <f t="shared" si="110"/>
        <v>4.0063729242137393E-2</v>
      </c>
      <c r="K58" s="8">
        <f t="shared" si="110"/>
        <v>2.646128426418241E-2</v>
      </c>
      <c r="L58" s="8">
        <f t="shared" si="111"/>
        <v>2.7695666425689068E-2</v>
      </c>
      <c r="M58" s="8">
        <f t="shared" si="111"/>
        <v>1.2099913284551527E-2</v>
      </c>
      <c r="N58" s="4">
        <f t="shared" si="99"/>
        <v>-1144081</v>
      </c>
      <c r="O58" s="4">
        <f t="shared" si="108"/>
        <v>2256812</v>
      </c>
      <c r="P58" s="4">
        <f t="shared" si="112"/>
        <v>-2764671</v>
      </c>
      <c r="Q58" s="4">
        <f t="shared" si="113"/>
        <v>11107439</v>
      </c>
      <c r="R58" s="4">
        <f t="shared" si="113"/>
        <v>-11812659</v>
      </c>
      <c r="S58" s="8">
        <f t="shared" si="100"/>
        <v>-0.15897556396201307</v>
      </c>
      <c r="T58" s="8">
        <f t="shared" si="105"/>
        <v>0.37287251241345931</v>
      </c>
      <c r="U58" s="8">
        <f t="shared" si="114"/>
        <v>-0.33271948409706453</v>
      </c>
      <c r="V58" s="8">
        <f t="shared" si="115"/>
        <v>2.0032736096312043</v>
      </c>
      <c r="W58" s="8">
        <f t="shared" si="115"/>
        <v>-0.70938026191678238</v>
      </c>
      <c r="Z58" s="3">
        <v>2017</v>
      </c>
      <c r="AA58" s="3">
        <v>2018</v>
      </c>
      <c r="AB58" s="3">
        <v>2019</v>
      </c>
      <c r="AC58" s="3">
        <v>2020</v>
      </c>
      <c r="AD58" s="3">
        <v>2021</v>
      </c>
      <c r="AE58" s="3">
        <v>2022</v>
      </c>
    </row>
    <row r="59" spans="1:31" ht="16.5" x14ac:dyDescent="0.25">
      <c r="A59" s="1" t="s">
        <v>77</v>
      </c>
      <c r="B59" s="7">
        <f>+B56+B57-B58</f>
        <v>-16394737</v>
      </c>
      <c r="C59" s="7">
        <f t="shared" ref="C59:G59" si="118">+C56+C57-C58</f>
        <v>1488530</v>
      </c>
      <c r="D59" s="7">
        <f t="shared" si="118"/>
        <v>11840674</v>
      </c>
      <c r="E59" s="7">
        <f t="shared" si="118"/>
        <v>16682005</v>
      </c>
      <c r="F59" s="7">
        <f t="shared" si="118"/>
        <v>45243050</v>
      </c>
      <c r="G59" s="7">
        <f t="shared" si="118"/>
        <v>47653524</v>
      </c>
      <c r="H59" s="11">
        <f t="shared" si="97"/>
        <v>-0.17217475260548581</v>
      </c>
      <c r="I59" s="11">
        <f t="shared" si="107"/>
        <v>1.0160905012647835E-2</v>
      </c>
      <c r="J59" s="11">
        <f t="shared" si="110"/>
        <v>5.7090332618322442E-2</v>
      </c>
      <c r="K59" s="11">
        <f t="shared" si="110"/>
        <v>7.9613276596569998E-2</v>
      </c>
      <c r="L59" s="11">
        <f t="shared" si="111"/>
        <v>7.5248028782991999E-2</v>
      </c>
      <c r="M59" s="11">
        <f t="shared" si="111"/>
        <v>0.11914713571352605</v>
      </c>
      <c r="N59" s="7">
        <f t="shared" si="99"/>
        <v>17883267</v>
      </c>
      <c r="O59" s="7">
        <f t="shared" si="108"/>
        <v>10352144</v>
      </c>
      <c r="P59" s="7">
        <f t="shared" si="112"/>
        <v>4841331</v>
      </c>
      <c r="Q59" s="7">
        <f t="shared" si="113"/>
        <v>28561045</v>
      </c>
      <c r="R59" s="7">
        <f t="shared" si="113"/>
        <v>2410474</v>
      </c>
      <c r="S59" s="11">
        <f t="shared" si="100"/>
        <v>-1.0907931612443675</v>
      </c>
      <c r="T59" s="11">
        <f t="shared" si="105"/>
        <v>6.9546089094610117</v>
      </c>
      <c r="U59" s="11">
        <f t="shared" si="114"/>
        <v>0.4088729239568627</v>
      </c>
      <c r="V59" s="11">
        <f t="shared" si="115"/>
        <v>1.7120870662729089</v>
      </c>
      <c r="W59" s="11">
        <f t="shared" si="115"/>
        <v>5.3278326726425407E-2</v>
      </c>
      <c r="Y59" s="2" t="s">
        <v>17</v>
      </c>
      <c r="Z59" s="5">
        <f>+B39/B23</f>
        <v>0.96607989797065008</v>
      </c>
      <c r="AA59" s="5">
        <f>+C39/C23</f>
        <v>0.98171631003339987</v>
      </c>
      <c r="AB59" s="5">
        <f>+D39/D23</f>
        <v>0.64570785979984358</v>
      </c>
      <c r="AC59" s="5">
        <f>+E39/E23</f>
        <v>0.72887987341896388</v>
      </c>
      <c r="AD59" s="5">
        <f t="shared" ref="AD59:AE59" si="119">+F39/F23</f>
        <v>0.66107731987242213</v>
      </c>
      <c r="AE59" s="5">
        <f t="shared" si="119"/>
        <v>0.6698274464978331</v>
      </c>
    </row>
    <row r="60" spans="1:31" ht="16.5" x14ac:dyDescent="0.25">
      <c r="A60" s="2" t="s">
        <v>78</v>
      </c>
      <c r="B60" s="4">
        <v>0</v>
      </c>
      <c r="C60" s="4">
        <v>4350362</v>
      </c>
      <c r="D60" s="4">
        <v>9797024</v>
      </c>
      <c r="E60" s="4">
        <v>6524343</v>
      </c>
      <c r="F60" s="4">
        <v>15817931</v>
      </c>
      <c r="G60" s="4">
        <v>13336762</v>
      </c>
      <c r="H60" s="8">
        <f t="shared" si="97"/>
        <v>0</v>
      </c>
      <c r="I60" s="8">
        <f t="shared" si="107"/>
        <v>2.9696153287224757E-2</v>
      </c>
      <c r="J60" s="8">
        <f t="shared" si="110"/>
        <v>4.7236783888289453E-2</v>
      </c>
      <c r="K60" s="8">
        <f t="shared" si="110"/>
        <v>3.1136804231259693E-2</v>
      </c>
      <c r="L60" s="8">
        <f t="shared" si="111"/>
        <v>2.6308308727536749E-2</v>
      </c>
      <c r="M60" s="8">
        <f t="shared" si="111"/>
        <v>3.3345634459121996E-2</v>
      </c>
      <c r="N60" s="4">
        <f t="shared" si="99"/>
        <v>4350362</v>
      </c>
      <c r="O60" s="4">
        <f t="shared" si="108"/>
        <v>5446662</v>
      </c>
      <c r="P60" s="4">
        <f t="shared" si="112"/>
        <v>-3272681</v>
      </c>
      <c r="Q60" s="4">
        <f t="shared" si="113"/>
        <v>9293588</v>
      </c>
      <c r="R60" s="4">
        <f t="shared" si="113"/>
        <v>-2481169</v>
      </c>
      <c r="S60" s="8"/>
      <c r="T60" s="8">
        <f t="shared" si="105"/>
        <v>1.2520020173033877</v>
      </c>
      <c r="U60" s="8">
        <f t="shared" si="114"/>
        <v>-0.33404848247794428</v>
      </c>
      <c r="V60" s="8">
        <f t="shared" si="115"/>
        <v>1.4244481015176547</v>
      </c>
      <c r="W60" s="8">
        <f t="shared" si="115"/>
        <v>-0.15685799868516304</v>
      </c>
      <c r="Y60" s="2" t="s">
        <v>19</v>
      </c>
      <c r="Z60" s="4">
        <f>+B28+B36</f>
        <v>0</v>
      </c>
      <c r="AA60" s="4">
        <f>+C28+C36</f>
        <v>103658589</v>
      </c>
      <c r="AB60" s="4">
        <f>+D28+D36</f>
        <v>7954861</v>
      </c>
      <c r="AC60" s="4">
        <f>+E28+E36</f>
        <v>5758703</v>
      </c>
      <c r="AD60" s="4">
        <f t="shared" ref="AD60:AE60" si="120">+F28+F36</f>
        <v>12435304</v>
      </c>
      <c r="AE60" s="4">
        <f t="shared" si="120"/>
        <v>7349819</v>
      </c>
    </row>
    <row r="61" spans="1:31" ht="16.5" x14ac:dyDescent="0.25">
      <c r="A61" s="1" t="s">
        <v>79</v>
      </c>
      <c r="B61" s="7">
        <f t="shared" ref="B61:G61" si="121">+B59-B60</f>
        <v>-16394737</v>
      </c>
      <c r="C61" s="7">
        <f t="shared" si="121"/>
        <v>-2861832</v>
      </c>
      <c r="D61" s="7">
        <f t="shared" si="121"/>
        <v>2043650</v>
      </c>
      <c r="E61" s="7">
        <f t="shared" si="121"/>
        <v>10157662</v>
      </c>
      <c r="F61" s="7">
        <f t="shared" si="121"/>
        <v>29425119</v>
      </c>
      <c r="G61" s="7">
        <f t="shared" si="121"/>
        <v>34316762</v>
      </c>
      <c r="H61" s="11">
        <f t="shared" si="97"/>
        <v>-0.17217475260548581</v>
      </c>
      <c r="I61" s="11">
        <f t="shared" si="107"/>
        <v>-1.9535248274576918E-2</v>
      </c>
      <c r="J61" s="11">
        <f t="shared" si="110"/>
        <v>9.8535487300329908E-3</v>
      </c>
      <c r="K61" s="11">
        <f t="shared" si="110"/>
        <v>4.8476472365310309E-2</v>
      </c>
      <c r="L61" s="11">
        <f t="shared" si="111"/>
        <v>4.8939720055455257E-2</v>
      </c>
      <c r="M61" s="11">
        <f t="shared" si="111"/>
        <v>8.5801501254404042E-2</v>
      </c>
      <c r="N61" s="7">
        <f t="shared" si="99"/>
        <v>13532905</v>
      </c>
      <c r="O61" s="7">
        <f t="shared" si="108"/>
        <v>4905482</v>
      </c>
      <c r="P61" s="7">
        <f t="shared" si="112"/>
        <v>8114012</v>
      </c>
      <c r="Q61" s="7">
        <f t="shared" si="113"/>
        <v>19267457</v>
      </c>
      <c r="R61" s="7">
        <f t="shared" si="113"/>
        <v>4891643</v>
      </c>
      <c r="S61" s="11">
        <f t="shared" si="100"/>
        <v>-0.825442030573592</v>
      </c>
      <c r="T61" s="11">
        <f t="shared" si="105"/>
        <v>-1.7141055100369273</v>
      </c>
      <c r="U61" s="11">
        <f t="shared" si="114"/>
        <v>3.9703530447972986</v>
      </c>
      <c r="V61" s="11">
        <f t="shared" si="115"/>
        <v>1.8968397452090846</v>
      </c>
      <c r="W61" s="11">
        <f t="shared" si="115"/>
        <v>0.16624038121986873</v>
      </c>
      <c r="Y61" s="2" t="s">
        <v>21</v>
      </c>
      <c r="Z61" s="5">
        <f>+Z60/B23</f>
        <v>0</v>
      </c>
      <c r="AA61" s="5">
        <f>+AA60/C23</f>
        <v>0.5755259121438131</v>
      </c>
      <c r="AB61" s="5">
        <f>+AB60/D23</f>
        <v>4.31356770020416E-2</v>
      </c>
      <c r="AC61" s="5">
        <f>+AC60/E23</f>
        <v>2.0681006028732594E-2</v>
      </c>
      <c r="AD61" s="5">
        <f t="shared" ref="AD61:AE61" si="122">+AD60/F23</f>
        <v>3.8380490784878082E-2</v>
      </c>
      <c r="AE61" s="5">
        <f t="shared" si="122"/>
        <v>1.7428707285048729E-2</v>
      </c>
    </row>
    <row r="62" spans="1:31" ht="16.5" x14ac:dyDescent="0.25">
      <c r="A62" s="2"/>
      <c r="Y62" s="6" t="s">
        <v>60</v>
      </c>
      <c r="AA62" s="21">
        <f>+AVERAGE(B39:C39)/AVERAGE(B43:C43)</f>
        <v>37.268829390956121</v>
      </c>
      <c r="AB62" s="21">
        <f>+AVERAGE(C39:D39)/AVERAGE(C43:D43)</f>
        <v>4.3114790738256126</v>
      </c>
      <c r="AC62" s="21">
        <f>+AVERAGE(D39:E39)/AVERAGE(D43:E43)</f>
        <v>2.2866918819211248</v>
      </c>
      <c r="AD62" s="21">
        <f t="shared" ref="AD62:AE62" si="123">+AVERAGE(E39:F39)/AVERAGE(E43:F43)</f>
        <v>2.251139987282412</v>
      </c>
      <c r="AE62" s="21">
        <f t="shared" si="123"/>
        <v>1.9942417360238294</v>
      </c>
    </row>
    <row r="63" spans="1:31" ht="16.5" x14ac:dyDescent="0.25">
      <c r="A63" s="2" t="s">
        <v>80</v>
      </c>
      <c r="B63" s="4">
        <v>3882481</v>
      </c>
      <c r="C63" s="4">
        <v>8343094</v>
      </c>
      <c r="D63" s="4">
        <v>13562214</v>
      </c>
      <c r="E63" s="4">
        <v>18286619</v>
      </c>
      <c r="F63" s="4">
        <v>21479602</v>
      </c>
      <c r="G63" s="4">
        <v>24744125</v>
      </c>
      <c r="H63" s="8">
        <f t="shared" ref="H63:H64" si="124">+B63/B$48</f>
        <v>4.0773158219646902E-2</v>
      </c>
      <c r="I63" s="8">
        <f t="shared" ref="I63:I64" si="125">+C63/C$48</f>
        <v>5.6951076327378072E-2</v>
      </c>
      <c r="J63" s="8">
        <f t="shared" ref="J63:J64" si="126">+D63/D$48</f>
        <v>6.5390813757803756E-2</v>
      </c>
      <c r="K63" s="8">
        <f t="shared" ref="K63:K64" si="127">+E63/E$48</f>
        <v>8.7271143754188554E-2</v>
      </c>
      <c r="L63" s="8">
        <f t="shared" ref="L63:L64" si="128">+F63/F$48</f>
        <v>3.5724773408141418E-2</v>
      </c>
      <c r="M63" s="8">
        <f t="shared" ref="M63:M64" si="129">+G63/G$48</f>
        <v>6.1867231885882196E-2</v>
      </c>
      <c r="N63" s="4">
        <f t="shared" ref="N63:N64" si="130">+C63-B63</f>
        <v>4460613</v>
      </c>
      <c r="O63" s="4">
        <f t="shared" ref="O63:O64" si="131">+D63-C63</f>
        <v>5219120</v>
      </c>
      <c r="P63" s="4">
        <f t="shared" ref="P63:P64" si="132">+E63-D63</f>
        <v>4724405</v>
      </c>
      <c r="Q63" s="4">
        <f t="shared" ref="Q63:Q64" si="133">+F63-E63</f>
        <v>3192983</v>
      </c>
      <c r="R63" s="4">
        <f t="shared" ref="R63:R64" si="134">+G63-F63</f>
        <v>3264523</v>
      </c>
      <c r="S63" s="8">
        <f t="shared" ref="S63:S64" si="135">+C63/B63-1</f>
        <v>1.1489078761750542</v>
      </c>
      <c r="T63" s="8">
        <f t="shared" ref="T63:T64" si="136">+D63/C63-1</f>
        <v>0.62556169210127566</v>
      </c>
      <c r="U63" s="8">
        <f t="shared" ref="U63:U64" si="137">+E63/D63-1</f>
        <v>0.34835057166919792</v>
      </c>
      <c r="V63" s="8">
        <f t="shared" ref="V63:V64" si="138">+F63/E63-1</f>
        <v>0.17460761882773412</v>
      </c>
      <c r="W63" s="8">
        <f t="shared" ref="W63:W64" si="139">+G63/F63-1</f>
        <v>0.15198247155603717</v>
      </c>
      <c r="Y63" s="6" t="s">
        <v>112</v>
      </c>
      <c r="AA63" s="21">
        <f>+AVERAGE(Z60:AA60)/AVERAGE(B43:C43)</f>
        <v>10.971459317093037</v>
      </c>
      <c r="AB63" s="21">
        <f>+AVERAGE(AA60:AB60)/AVERAGE(C43:D43)</f>
        <v>1.6263108000834623</v>
      </c>
      <c r="AC63" s="21">
        <f>+AVERAGE(AB60:AC60)/AVERAGE(D43:E43)</f>
        <v>9.7375927167023382E-2</v>
      </c>
      <c r="AD63" s="21">
        <f t="shared" ref="AD63:AE63" si="140">+AVERAGE(AC60:AD60)/AVERAGE(E43:F43)</f>
        <v>9.8183807485641983E-2</v>
      </c>
      <c r="AE63" s="21">
        <f t="shared" si="140"/>
        <v>7.9443184196014496E-2</v>
      </c>
    </row>
    <row r="64" spans="1:31" ht="16.5" x14ac:dyDescent="0.25">
      <c r="A64" s="6" t="s">
        <v>40</v>
      </c>
      <c r="B64" s="7">
        <f>+B56+B63</f>
        <v>-5628556</v>
      </c>
      <c r="C64" s="7">
        <f t="shared" ref="C64:G64" si="141">+C56+C63</f>
        <v>15402343</v>
      </c>
      <c r="D64" s="7">
        <f t="shared" si="141"/>
        <v>33258768</v>
      </c>
      <c r="E64" s="7">
        <f t="shared" si="141"/>
        <v>40239821</v>
      </c>
      <c r="F64" s="7">
        <f t="shared" si="141"/>
        <v>82758274</v>
      </c>
      <c r="G64" s="7">
        <f t="shared" si="141"/>
        <v>76562206</v>
      </c>
      <c r="H64" s="11">
        <f t="shared" si="124"/>
        <v>-5.9110142286888948E-2</v>
      </c>
      <c r="I64" s="11">
        <f t="shared" si="125"/>
        <v>0.10513845484822026</v>
      </c>
      <c r="J64" s="11">
        <f t="shared" si="126"/>
        <v>0.16035861874042126</v>
      </c>
      <c r="K64" s="11">
        <f t="shared" si="127"/>
        <v>0.19204070490744166</v>
      </c>
      <c r="L64" s="11">
        <f t="shared" si="128"/>
        <v>0.13764317356992375</v>
      </c>
      <c r="M64" s="11">
        <f t="shared" si="129"/>
        <v>0.19142692466582192</v>
      </c>
      <c r="N64" s="7">
        <f t="shared" si="130"/>
        <v>21030899</v>
      </c>
      <c r="O64" s="7">
        <f t="shared" si="131"/>
        <v>17856425</v>
      </c>
      <c r="P64" s="7">
        <f t="shared" si="132"/>
        <v>6981053</v>
      </c>
      <c r="Q64" s="7">
        <f t="shared" si="133"/>
        <v>42518453</v>
      </c>
      <c r="R64" s="7">
        <f t="shared" si="134"/>
        <v>-6196068</v>
      </c>
      <c r="S64" s="11">
        <f t="shared" si="135"/>
        <v>-3.7364643791409375</v>
      </c>
      <c r="T64" s="11">
        <f t="shared" si="136"/>
        <v>1.1593317328409061</v>
      </c>
      <c r="U64" s="11">
        <f t="shared" si="137"/>
        <v>0.20990113043273273</v>
      </c>
      <c r="V64" s="11">
        <f t="shared" si="138"/>
        <v>1.0566262956288996</v>
      </c>
      <c r="W64" s="11">
        <f t="shared" si="139"/>
        <v>-7.4869468640682335E-2</v>
      </c>
      <c r="Y64" s="6" t="s">
        <v>26</v>
      </c>
      <c r="Z64" s="5">
        <f>+B56/B58</f>
        <v>-1.3216043889712119</v>
      </c>
      <c r="AA64" s="5">
        <f>+C56/C58</f>
        <v>1.1663354813702695</v>
      </c>
      <c r="AB64" s="5">
        <f>+D56/D58</f>
        <v>2.3704185002012803</v>
      </c>
      <c r="AC64" s="5">
        <f>+E56/E58</f>
        <v>3.9593528457372558</v>
      </c>
      <c r="AD64" s="5">
        <f t="shared" ref="AD64:AE64" si="142">+F56/F58</f>
        <v>3.6799403413975296</v>
      </c>
      <c r="AE64" s="5">
        <f t="shared" si="142"/>
        <v>10.707489362370398</v>
      </c>
    </row>
    <row r="65" spans="21:31" ht="16.5" x14ac:dyDescent="0.25">
      <c r="Y65" s="6" t="s">
        <v>114</v>
      </c>
      <c r="Z65" s="5">
        <f>+B64/B58</f>
        <v>-0.78211495898609673</v>
      </c>
      <c r="AA65" s="5">
        <f>+C64/C58</f>
        <v>2.544788990604383</v>
      </c>
      <c r="AB65" s="5">
        <f>+D64/D58</f>
        <v>4.002588420345119</v>
      </c>
      <c r="AC65" s="5">
        <f>+E64/E58</f>
        <v>7.2574219372785702</v>
      </c>
      <c r="AD65" s="5">
        <f t="shared" ref="AD65:AE65" si="143">+F64/F58</f>
        <v>4.9698451539065713</v>
      </c>
      <c r="AE65" s="5">
        <f t="shared" si="143"/>
        <v>15.82052037597863</v>
      </c>
    </row>
    <row r="66" spans="21:31" ht="16.5" x14ac:dyDescent="0.25">
      <c r="Y66" s="6" t="s">
        <v>28</v>
      </c>
      <c r="Z66" s="8">
        <f>+B58/B48</f>
        <v>7.5577306900659502E-2</v>
      </c>
      <c r="AA66" s="8">
        <f>+C58/C48</f>
        <v>4.1315195576687114E-2</v>
      </c>
      <c r="AB66" s="8">
        <f>+D58/D48</f>
        <v>4.0063729242137393E-2</v>
      </c>
      <c r="AC66" s="8">
        <f>+E58/E48</f>
        <v>2.646128426418241E-2</v>
      </c>
      <c r="AD66" s="8">
        <f t="shared" ref="AD66:AE66" si="144">+F58/F48</f>
        <v>2.7695666425689068E-2</v>
      </c>
      <c r="AE66" s="8">
        <f t="shared" si="144"/>
        <v>1.2099913284551527E-2</v>
      </c>
    </row>
    <row r="67" spans="21:31" x14ac:dyDescent="0.25">
      <c r="Y67" s="9" t="s">
        <v>30</v>
      </c>
      <c r="AA67" s="10"/>
      <c r="AB67" s="10"/>
      <c r="AC67" s="10"/>
    </row>
    <row r="68" spans="21:31" x14ac:dyDescent="0.25">
      <c r="Y68" s="9" t="s">
        <v>113</v>
      </c>
    </row>
    <row r="69" spans="21:31" ht="16.5" x14ac:dyDescent="0.25">
      <c r="Y69" s="26" t="s">
        <v>33</v>
      </c>
      <c r="Z69" s="26"/>
      <c r="AA69" s="26"/>
      <c r="AB69" s="26"/>
      <c r="AC69" s="26"/>
    </row>
    <row r="70" spans="21:31" ht="16.5" x14ac:dyDescent="0.25">
      <c r="Z70" s="3">
        <v>2017</v>
      </c>
      <c r="AA70" s="3">
        <v>2018</v>
      </c>
      <c r="AB70" s="3">
        <v>2019</v>
      </c>
      <c r="AC70" s="3">
        <v>2020</v>
      </c>
      <c r="AD70" s="3">
        <v>2021</v>
      </c>
      <c r="AE70" s="3">
        <v>2022</v>
      </c>
    </row>
    <row r="71" spans="21:31" ht="16.5" x14ac:dyDescent="0.25">
      <c r="Y71" s="6" t="s">
        <v>36</v>
      </c>
      <c r="Z71" s="8">
        <f>+B50/B48</f>
        <v>0.48711854370945434</v>
      </c>
      <c r="AA71" s="8">
        <f>+C50/C48</f>
        <v>0.52350062109967943</v>
      </c>
      <c r="AB71" s="8">
        <f>+D50/D48</f>
        <v>0.51266659911683299</v>
      </c>
      <c r="AC71" s="8">
        <f>+E50/E48</f>
        <v>0.48720083573584927</v>
      </c>
      <c r="AD71" s="8">
        <f t="shared" ref="AD71:AE71" si="145">+F50/F48</f>
        <v>0.36620612317163798</v>
      </c>
      <c r="AE71" s="8">
        <f t="shared" si="145"/>
        <v>0.42721464075345844</v>
      </c>
    </row>
    <row r="72" spans="21:31" ht="16.5" x14ac:dyDescent="0.25">
      <c r="Y72" s="6" t="s">
        <v>38</v>
      </c>
      <c r="Z72" s="8">
        <f>+B56/B48</f>
        <v>-9.9883300506535849E-2</v>
      </c>
      <c r="AA72" s="8">
        <f t="shared" ref="AA72:AE72" si="146">+C56/C48</f>
        <v>4.8187378520842192E-2</v>
      </c>
      <c r="AB72" s="8">
        <f t="shared" si="146"/>
        <v>9.496780498261749E-2</v>
      </c>
      <c r="AC72" s="8">
        <f t="shared" si="146"/>
        <v>0.10476956115325309</v>
      </c>
      <c r="AD72" s="8">
        <f t="shared" si="146"/>
        <v>0.10191840016178233</v>
      </c>
      <c r="AE72" s="8">
        <f t="shared" si="146"/>
        <v>0.12955969277993973</v>
      </c>
    </row>
    <row r="73" spans="21:31" ht="16.5" x14ac:dyDescent="0.25">
      <c r="Y73" s="6" t="s">
        <v>42</v>
      </c>
      <c r="Z73" s="8">
        <f>+H64</f>
        <v>-5.9110142286888948E-2</v>
      </c>
      <c r="AA73" s="8">
        <f>+I64</f>
        <v>0.10513845484822026</v>
      </c>
      <c r="AB73" s="8">
        <f>+J64</f>
        <v>0.16035861874042126</v>
      </c>
      <c r="AC73" s="8">
        <f>+K64</f>
        <v>0.19204070490744166</v>
      </c>
      <c r="AD73" s="8">
        <f t="shared" ref="AD73:AE73" si="147">+L64</f>
        <v>0.13764317356992375</v>
      </c>
      <c r="AE73" s="8">
        <f t="shared" si="147"/>
        <v>0.19142692466582192</v>
      </c>
    </row>
    <row r="74" spans="21:31" ht="16.5" x14ac:dyDescent="0.25">
      <c r="Y74" s="6" t="s">
        <v>44</v>
      </c>
      <c r="Z74" s="8">
        <f>+B61/B48</f>
        <v>-0.17217475260548581</v>
      </c>
      <c r="AA74" s="8">
        <f>+C61/C48</f>
        <v>-1.9535248274576918E-2</v>
      </c>
      <c r="AB74" s="8">
        <f>+D61/D48</f>
        <v>9.8535487300329908E-3</v>
      </c>
      <c r="AC74" s="8">
        <f>+E61/E48</f>
        <v>4.8476472365310309E-2</v>
      </c>
      <c r="AD74" s="8">
        <f t="shared" ref="AD74:AE74" si="148">+F61/F48</f>
        <v>4.8939720055455257E-2</v>
      </c>
      <c r="AE74" s="8">
        <f t="shared" si="148"/>
        <v>8.5801501254404042E-2</v>
      </c>
    </row>
    <row r="75" spans="21:31" x14ac:dyDescent="0.25">
      <c r="U75" s="20"/>
      <c r="V75" s="20"/>
      <c r="W75" s="20"/>
    </row>
    <row r="76" spans="21:31" ht="16.5" x14ac:dyDescent="0.25">
      <c r="U76" s="20"/>
      <c r="V76" s="20"/>
      <c r="W76" s="20"/>
      <c r="Y76" s="6" t="s">
        <v>47</v>
      </c>
      <c r="AA76" s="8">
        <f>+C56/AVERAGE(B23:C23)</f>
        <v>3.904832623309272E-2</v>
      </c>
      <c r="AB76" s="8">
        <f>+D56/AVERAGE(C23:D23)</f>
        <v>0.10806667406641401</v>
      </c>
      <c r="AC76" s="8">
        <f>+E56/AVERAGE(D23:E23)</f>
        <v>9.4857165987434308E-2</v>
      </c>
      <c r="AD76" s="8">
        <f t="shared" ref="AD76:AE76" si="149">+F56/AVERAGE(E23:F23)</f>
        <v>0.20343008617708289</v>
      </c>
      <c r="AE76" s="8">
        <f t="shared" si="149"/>
        <v>0.13897681357411221</v>
      </c>
    </row>
    <row r="77" spans="21:31" ht="16.5" x14ac:dyDescent="0.25">
      <c r="Y77" s="6" t="s">
        <v>49</v>
      </c>
      <c r="AA77" s="8">
        <f>+C61/AVERAGE(B23:C23)</f>
        <v>-1.5830260352100372E-2</v>
      </c>
      <c r="AB77" s="8">
        <f>+D61/AVERAGE(C23:D23)</f>
        <v>1.1212644529384532E-2</v>
      </c>
      <c r="AC77" s="8">
        <f>+E61/AVERAGE(D23:E23)</f>
        <v>4.3890045305384331E-2</v>
      </c>
      <c r="AD77" s="8">
        <f t="shared" ref="AD77:AE77" si="150">+F61/AVERAGE(E23:F23)</f>
        <v>9.7684141946498423E-2</v>
      </c>
      <c r="AE77" s="8">
        <f t="shared" si="150"/>
        <v>9.2038032727247809E-2</v>
      </c>
    </row>
    <row r="78" spans="21:31" ht="16.5" x14ac:dyDescent="0.25">
      <c r="Y78" s="6" t="s">
        <v>51</v>
      </c>
      <c r="AA78" s="8">
        <f>+C61/AVERAGE(B43:C43)</f>
        <v>-0.60580553262894599</v>
      </c>
      <c r="AB78" s="8">
        <f>+D61/AVERAGE(C43:D43)</f>
        <v>5.9555726780071178E-2</v>
      </c>
      <c r="AC78" s="8">
        <f>+E61/AVERAGE(D43:E43)</f>
        <v>0.14425305560235707</v>
      </c>
      <c r="AD78" s="8">
        <f t="shared" ref="AD78:AE78" si="151">+F61/AVERAGE(E43:F43)</f>
        <v>0.31758482000563221</v>
      </c>
      <c r="AE78" s="8">
        <f t="shared" si="151"/>
        <v>0.27558411889345252</v>
      </c>
    </row>
    <row r="80" spans="21:31" ht="16.5" x14ac:dyDescent="0.25">
      <c r="Y80" s="26" t="s">
        <v>54</v>
      </c>
      <c r="Z80" s="26"/>
      <c r="AA80" s="26"/>
      <c r="AB80" s="26"/>
      <c r="AC80" s="26"/>
    </row>
    <row r="81" spans="25:31" ht="16.5" x14ac:dyDescent="0.25">
      <c r="AA81" s="3">
        <v>2018</v>
      </c>
      <c r="AB81" s="3">
        <v>2019</v>
      </c>
      <c r="AC81" s="3">
        <v>2020</v>
      </c>
      <c r="AD81" s="3">
        <v>2021</v>
      </c>
      <c r="AE81" s="3">
        <v>2022</v>
      </c>
    </row>
    <row r="82" spans="25:31" ht="16.5" x14ac:dyDescent="0.25">
      <c r="Y82" s="24" t="s">
        <v>44</v>
      </c>
      <c r="Z82" s="25"/>
      <c r="AA82" s="8">
        <f>+AA74</f>
        <v>-1.9535248274576918E-2</v>
      </c>
      <c r="AB82" s="8">
        <f t="shared" ref="AB82:AC82" si="152">+AB74</f>
        <v>9.8535487300329908E-3</v>
      </c>
      <c r="AC82" s="8">
        <f t="shared" si="152"/>
        <v>4.8476472365310309E-2</v>
      </c>
      <c r="AD82" s="8">
        <f t="shared" ref="AD82:AE82" si="153">+AD74</f>
        <v>4.8939720055455257E-2</v>
      </c>
      <c r="AE82" s="8">
        <f t="shared" si="153"/>
        <v>8.5801501254404042E-2</v>
      </c>
    </row>
    <row r="83" spans="25:31" ht="16.5" x14ac:dyDescent="0.25">
      <c r="Y83" s="24" t="s">
        <v>58</v>
      </c>
      <c r="Z83" s="25"/>
      <c r="AA83" s="5">
        <f>+Z6</f>
        <v>0.81034344327744212</v>
      </c>
      <c r="AB83" s="5">
        <f t="shared" ref="AB83:AC83" si="154">+AA6</f>
        <v>1.1379295760936465</v>
      </c>
      <c r="AC83" s="5">
        <f t="shared" si="154"/>
        <v>0.90538859706285024</v>
      </c>
      <c r="AD83" s="5">
        <f t="shared" ref="AD83" si="155">+AC6</f>
        <v>1.9960094139445264</v>
      </c>
      <c r="AE83" s="5">
        <f t="shared" ref="AE83" si="156">+AD6</f>
        <v>1.0726855752133317</v>
      </c>
    </row>
    <row r="84" spans="25:31" ht="16.5" x14ac:dyDescent="0.25">
      <c r="Y84" s="24" t="s">
        <v>115</v>
      </c>
      <c r="Z84" s="25"/>
      <c r="AA84" s="5">
        <f>+AVERAGE(B23:C23)/AVERAGE(B43:C43)</f>
        <v>38.268829390956121</v>
      </c>
      <c r="AB84" s="5">
        <f t="shared" ref="AB84:AC84" si="157">1+AB62</f>
        <v>5.3114790738256126</v>
      </c>
      <c r="AC84" s="5">
        <f t="shared" si="157"/>
        <v>3.2866918819211248</v>
      </c>
      <c r="AD84" s="5">
        <f>1+AD62</f>
        <v>3.251139987282412</v>
      </c>
      <c r="AE84" s="5">
        <f>1+AE62</f>
        <v>2.9942417360238291</v>
      </c>
    </row>
    <row r="85" spans="25:31" ht="16.5" x14ac:dyDescent="0.25">
      <c r="Y85" s="24" t="s">
        <v>51</v>
      </c>
      <c r="Z85" s="25"/>
      <c r="AA85" s="11">
        <f>+AA82*AA83*AA84</f>
        <v>-0.60580553262894599</v>
      </c>
      <c r="AB85" s="11">
        <f t="shared" ref="AB85:AC85" si="158">+AB82*AB83*AB84</f>
        <v>5.9555726780071164E-2</v>
      </c>
      <c r="AC85" s="11">
        <f t="shared" si="158"/>
        <v>0.14425305560235704</v>
      </c>
      <c r="AD85" s="11">
        <f t="shared" ref="AD85:AE85" si="159">+AD82*AD83*AD84</f>
        <v>0.31758482000563226</v>
      </c>
      <c r="AE85" s="11">
        <f t="shared" si="159"/>
        <v>0.27558411889345247</v>
      </c>
    </row>
    <row r="86" spans="25:31" x14ac:dyDescent="0.25">
      <c r="AA86" t="b">
        <f>+AA85=AA78</f>
        <v>1</v>
      </c>
      <c r="AB86" t="b">
        <f t="shared" ref="AB86:AC86" si="160">+AB85=AB78</f>
        <v>1</v>
      </c>
      <c r="AC86" t="b">
        <f t="shared" si="160"/>
        <v>1</v>
      </c>
      <c r="AD86" t="b">
        <f t="shared" ref="AD86:AE86" si="161">+AD85=AD78</f>
        <v>1</v>
      </c>
      <c r="AE86" t="b">
        <f t="shared" si="161"/>
        <v>0</v>
      </c>
    </row>
    <row r="87" spans="25:31" x14ac:dyDescent="0.25">
      <c r="AE87" s="22"/>
    </row>
  </sheetData>
  <mergeCells count="14">
    <mergeCell ref="S4:W4"/>
    <mergeCell ref="Y84:Z84"/>
    <mergeCell ref="Y85:Z85"/>
    <mergeCell ref="H46:K46"/>
    <mergeCell ref="N46:P46"/>
    <mergeCell ref="S46:U46"/>
    <mergeCell ref="Y50:AC50"/>
    <mergeCell ref="Y57:AC57"/>
    <mergeCell ref="Y69:AC69"/>
    <mergeCell ref="Y80:AC80"/>
    <mergeCell ref="Y82:Z82"/>
    <mergeCell ref="Y83:Z83"/>
    <mergeCell ref="H4:M4"/>
    <mergeCell ref="N4:R4"/>
  </mergeCells>
  <pageMargins left="0.7" right="0.7" top="0.75" bottom="0.75" header="0.3" footer="0.3"/>
  <ignoredErrors>
    <ignoredError sqref="B12:E12 Z16 Z22 AA22:AB22 AA31:AC31 AA16 F12:G12 AB16:AD16 AC22:AD22 AD31:AE3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H&amp;M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2022-01-09T02:04:52Z</dcterms:created>
  <dcterms:modified xsi:type="dcterms:W3CDTF">2024-04-29T22:10:28Z</dcterms:modified>
</cp:coreProperties>
</file>