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igue\Dropbox\UNAL\DERIVADOS FINANCIEROS\CLASES\Futuros\"/>
    </mc:Choice>
  </mc:AlternateContent>
  <xr:revisionPtr revIDLastSave="0" documentId="13_ncr:1_{38537112-8574-4E57-8ED8-E244F156A29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pot vs Futuros" sheetId="1" r:id="rId1"/>
    <sheet name="Futuro TRM 1" sheetId="5" r:id="rId2"/>
    <sheet name="Futuro TRM 2" sheetId="2" r:id="rId3"/>
    <sheet name="Futuro TRS" sheetId="9" r:id="rId4"/>
    <sheet name="Futuro COS" sheetId="8" r:id="rId5"/>
    <sheet name="Futuro TES" sheetId="7" r:id="rId6"/>
    <sheet name="Llamado al margen CME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4" l="1"/>
  <c r="B10" i="7"/>
  <c r="B6" i="7"/>
  <c r="B11" i="8"/>
  <c r="B11" i="9" l="1"/>
  <c r="B19" i="2"/>
  <c r="B25" i="1"/>
  <c r="B24" i="1"/>
  <c r="B17" i="2"/>
  <c r="B13" i="9" l="1"/>
  <c r="B6" i="9"/>
  <c r="B7" i="9" s="1"/>
  <c r="B9" i="9" s="1"/>
  <c r="B5" i="8"/>
  <c r="B7" i="8"/>
  <c r="B12" i="9" l="1"/>
  <c r="B8" i="8"/>
  <c r="B20" i="1"/>
  <c r="B8" i="7"/>
  <c r="B13" i="5"/>
  <c r="B11" i="5"/>
  <c r="B10" i="5"/>
  <c r="B6" i="5"/>
  <c r="B7" i="5" s="1"/>
  <c r="B9" i="5" s="1"/>
  <c r="B12" i="5" l="1"/>
  <c r="E13" i="4" l="1"/>
  <c r="D13" i="4"/>
  <c r="D12" i="4"/>
  <c r="E12" i="4"/>
  <c r="E11" i="4"/>
  <c r="D11" i="4"/>
  <c r="E10" i="4"/>
  <c r="D10" i="4"/>
  <c r="F10" i="4" s="1"/>
  <c r="F11" i="4" s="1"/>
  <c r="F7" i="4"/>
  <c r="G11" i="4" l="1"/>
  <c r="F12" i="4"/>
  <c r="F13" i="4" s="1"/>
  <c r="B11" i="2"/>
  <c r="B7" i="2"/>
  <c r="B23" i="1"/>
  <c r="B22" i="1"/>
  <c r="B17" i="1"/>
  <c r="B19" i="1" s="1"/>
  <c r="B8" i="1"/>
  <c r="B11" i="1" s="1"/>
  <c r="B7" i="1"/>
  <c r="B5" i="1"/>
  <c r="B9" i="2" l="1"/>
  <c r="B18" i="2"/>
  <c r="B12" i="2"/>
  <c r="B13" i="2" s="1"/>
  <c r="B20" i="2"/>
  <c r="B9" i="1"/>
  <c r="B10" i="1" s="1"/>
  <c r="B21" i="2" l="1"/>
</calcChain>
</file>

<file path=xl/sharedStrings.xml><?xml version="1.0" encoding="utf-8"?>
<sst xmlns="http://schemas.openxmlformats.org/spreadsheetml/2006/main" count="134" uniqueCount="62">
  <si>
    <t>Acción</t>
  </si>
  <si>
    <t>Ecopetrol</t>
  </si>
  <si>
    <t>Renta variable</t>
  </si>
  <si>
    <t>Q</t>
  </si>
  <si>
    <t>Acciones</t>
  </si>
  <si>
    <t>Inversión</t>
  </si>
  <si>
    <t>Cambio precio</t>
  </si>
  <si>
    <t>Venta</t>
  </si>
  <si>
    <t>Rentabilidad</t>
  </si>
  <si>
    <t>Mercado Spot (contado)</t>
  </si>
  <si>
    <t>Ganancia</t>
  </si>
  <si>
    <t>Futuros</t>
  </si>
  <si>
    <t>Nominal</t>
  </si>
  <si>
    <t>Garantía</t>
  </si>
  <si>
    <t>Sobre nominal</t>
  </si>
  <si>
    <t>Nivel de apalancamiento</t>
  </si>
  <si>
    <t>Posición</t>
  </si>
  <si>
    <t>Largo</t>
  </si>
  <si>
    <t>Compensación</t>
  </si>
  <si>
    <t>Garantía (inversión)</t>
  </si>
  <si>
    <t>veces</t>
  </si>
  <si>
    <t>Futuro TRM</t>
  </si>
  <si>
    <t>Tick</t>
  </si>
  <si>
    <t>Contratos</t>
  </si>
  <si>
    <t>Tamaño del contrato</t>
  </si>
  <si>
    <t>USD</t>
  </si>
  <si>
    <t>COP</t>
  </si>
  <si>
    <t>sobre nominal</t>
  </si>
  <si>
    <t>1 tick</t>
  </si>
  <si>
    <t>Número contratos</t>
  </si>
  <si>
    <t>Tamaño contrato</t>
  </si>
  <si>
    <t>Corto</t>
  </si>
  <si>
    <t>Mantenimiento</t>
  </si>
  <si>
    <t>Día</t>
  </si>
  <si>
    <t>Compensación del día</t>
  </si>
  <si>
    <t>Llamado al margen</t>
  </si>
  <si>
    <t>Futuro E-MINI S&amp;P 500</t>
  </si>
  <si>
    <t>USD/contrato</t>
  </si>
  <si>
    <t>Precio</t>
  </si>
  <si>
    <t>Compensación global</t>
  </si>
  <si>
    <t>Cuenta de margen</t>
  </si>
  <si>
    <t>USDxPrecio</t>
  </si>
  <si>
    <r>
      <t>Precio spot (S</t>
    </r>
    <r>
      <rPr>
        <vertAlign val="subscript"/>
        <sz val="11"/>
        <color theme="1"/>
        <rFont val="Tahoma"/>
        <family val="2"/>
      </rPr>
      <t>0</t>
    </r>
    <r>
      <rPr>
        <sz val="11"/>
        <color theme="1"/>
        <rFont val="Tahoma"/>
        <family val="2"/>
      </rPr>
      <t>)</t>
    </r>
  </si>
  <si>
    <r>
      <t>Precio final (S</t>
    </r>
    <r>
      <rPr>
        <vertAlign val="subscript"/>
        <sz val="11"/>
        <color theme="1"/>
        <rFont val="Tahoma"/>
        <family val="2"/>
      </rPr>
      <t>T</t>
    </r>
    <r>
      <rPr>
        <sz val="11"/>
        <color theme="1"/>
        <rFont val="Tahoma"/>
        <family val="2"/>
      </rPr>
      <t>)</t>
    </r>
  </si>
  <si>
    <r>
      <t>Precio futuro (F</t>
    </r>
    <r>
      <rPr>
        <vertAlign val="subscript"/>
        <sz val="11"/>
        <color theme="1"/>
        <rFont val="Tahoma"/>
        <family val="2"/>
      </rPr>
      <t>0</t>
    </r>
    <r>
      <rPr>
        <sz val="11"/>
        <color theme="1"/>
        <rFont val="Tahoma"/>
        <family val="2"/>
      </rPr>
      <t>)</t>
    </r>
  </si>
  <si>
    <r>
      <t>F</t>
    </r>
    <r>
      <rPr>
        <vertAlign val="subscript"/>
        <sz val="11"/>
        <color theme="1"/>
        <rFont val="Tahoma"/>
        <family val="2"/>
      </rPr>
      <t>0</t>
    </r>
  </si>
  <si>
    <r>
      <t>F</t>
    </r>
    <r>
      <rPr>
        <vertAlign val="subscript"/>
        <sz val="11"/>
        <color theme="1"/>
        <rFont val="Tahoma"/>
        <family val="2"/>
      </rPr>
      <t>T</t>
    </r>
  </si>
  <si>
    <t>Garantía [%]</t>
  </si>
  <si>
    <t>Garantía [$]</t>
  </si>
  <si>
    <t>Cambio del 1%</t>
  </si>
  <si>
    <t>COP x precio</t>
  </si>
  <si>
    <t>Comisión variable</t>
  </si>
  <si>
    <t>Comisión de entrada</t>
  </si>
  <si>
    <t>IVA (19% de la comisión)</t>
  </si>
  <si>
    <t>Comisión de salida</t>
  </si>
  <si>
    <t>Total costos de transacción</t>
  </si>
  <si>
    <r>
      <t>Precio futuro final (F</t>
    </r>
    <r>
      <rPr>
        <vertAlign val="subscript"/>
        <sz val="11"/>
        <color theme="1"/>
        <rFont val="Tahoma"/>
        <family val="2"/>
      </rPr>
      <t>T</t>
    </r>
    <r>
      <rPr>
        <sz val="11"/>
        <color theme="1"/>
        <rFont val="Tahoma"/>
        <family val="2"/>
      </rPr>
      <t>)</t>
    </r>
  </si>
  <si>
    <t>Pérdida</t>
  </si>
  <si>
    <r>
      <t>Q</t>
    </r>
    <r>
      <rPr>
        <vertAlign val="subscript"/>
        <sz val="11"/>
        <color theme="1"/>
        <rFont val="Tahoma"/>
        <family val="2"/>
      </rPr>
      <t>F</t>
    </r>
  </si>
  <si>
    <t>Mini Futuro COLCAP - COS</t>
  </si>
  <si>
    <t>T24M21F</t>
  </si>
  <si>
    <t>Mercado Futuros (a plazo)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</si>
</sst>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$&quot;#,##0;[Red]\-&quot;$&quot;#,##0"/>
    <numFmt numFmtId="165" formatCode="&quot;$&quot;#,##0.00;[Red]\-&quot;$&quot;#,##0.00"/>
    <numFmt numFmtId="166" formatCode="_-&quot;$&quot;* #,##0.00_-;\-&quot;$&quot;* #,##0.00_-;_-&quot;$&quot;* &quot;-&quot;??_-;_-@_-"/>
    <numFmt numFmtId="167" formatCode="&quot;$&quot;#,##0.000;[Red]\-&quot;$&quot;#,##0.000"/>
    <numFmt numFmtId="168" formatCode="0.0000%"/>
    <numFmt numFmtId="169" formatCode="0.000000%"/>
    <numFmt numFmtId="170" formatCode="&quot;$&quot;#,##0.0;[Red]\-&quot;$&quot;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vertAlign val="subscript"/>
      <sz val="11"/>
      <color theme="1"/>
      <name val="Tahoma"/>
      <family val="2"/>
    </font>
    <font>
      <b/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168" fontId="3" fillId="0" borderId="0" xfId="2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9" fontId="3" fillId="0" borderId="0" xfId="2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542923</xdr:colOff>
      <xdr:row>4</xdr:row>
      <xdr:rowOff>78582</xdr:rowOff>
    </xdr:from>
    <xdr:ext cx="1087927" cy="1955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2D0E8E5-4123-4E1F-AF0D-D0E3AD198555}"/>
                </a:ext>
              </a:extLst>
            </xdr:cNvPr>
            <xdr:cNvSpPr txBox="1"/>
          </xdr:nvSpPr>
          <xdr:spPr>
            <a:xfrm>
              <a:off x="3981448" y="1002507"/>
              <a:ext cx="1087927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Inversi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S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Q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2D0E8E5-4123-4E1F-AF0D-D0E3AD198555}"/>
                </a:ext>
              </a:extLst>
            </xdr:cNvPr>
            <xdr:cNvSpPr txBox="1"/>
          </xdr:nvSpPr>
          <xdr:spPr>
            <a:xfrm>
              <a:off x="3981448" y="1002507"/>
              <a:ext cx="1087927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"Inversión="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"S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"×Q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561975</xdr:colOff>
      <xdr:row>5</xdr:row>
      <xdr:rowOff>154781</xdr:rowOff>
    </xdr:from>
    <xdr:ext cx="1080104" cy="1955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3A0DB-1DEC-4FAC-ADAB-735AEB5FC74A}"/>
                </a:ext>
              </a:extLst>
            </xdr:cNvPr>
            <xdr:cNvSpPr txBox="1"/>
          </xdr:nvSpPr>
          <xdr:spPr>
            <a:xfrm>
              <a:off x="4000500" y="1326356"/>
              <a:ext cx="1080104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S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S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×(1+2%)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3A0DB-1DEC-4FAC-ADAB-735AEB5FC74A}"/>
                </a:ext>
              </a:extLst>
            </xdr:cNvPr>
            <xdr:cNvSpPr txBox="1"/>
          </xdr:nvSpPr>
          <xdr:spPr>
            <a:xfrm>
              <a:off x="4000500" y="1326356"/>
              <a:ext cx="1080104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"S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"=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"S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×(1+2%)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571502</xdr:colOff>
      <xdr:row>7</xdr:row>
      <xdr:rowOff>7143</xdr:rowOff>
    </xdr:from>
    <xdr:ext cx="874470" cy="1913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EFFDE02-1159-4AAE-9903-D7276A899FBB}"/>
                </a:ext>
              </a:extLst>
            </xdr:cNvPr>
            <xdr:cNvSpPr txBox="1"/>
          </xdr:nvSpPr>
          <xdr:spPr>
            <a:xfrm>
              <a:off x="4010027" y="1674018"/>
              <a:ext cx="874470" cy="191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Venta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S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Q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EFFDE02-1159-4AAE-9903-D7276A899FBB}"/>
                </a:ext>
              </a:extLst>
            </xdr:cNvPr>
            <xdr:cNvSpPr txBox="1"/>
          </xdr:nvSpPr>
          <xdr:spPr>
            <a:xfrm>
              <a:off x="4010027" y="1674018"/>
              <a:ext cx="874470" cy="191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"Venta="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"S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"×Q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561974</xdr:colOff>
      <xdr:row>8</xdr:row>
      <xdr:rowOff>111918</xdr:rowOff>
    </xdr:from>
    <xdr:ext cx="1704569" cy="1724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4494BA2-BB54-44D5-A067-538CEC54A3F8}"/>
                </a:ext>
              </a:extLst>
            </xdr:cNvPr>
            <xdr:cNvSpPr txBox="1"/>
          </xdr:nvSpPr>
          <xdr:spPr>
            <a:xfrm>
              <a:off x="4000499" y="2026443"/>
              <a:ext cx="1704569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Ganancia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Venta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-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Inversi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4494BA2-BB54-44D5-A067-538CEC54A3F8}"/>
                </a:ext>
              </a:extLst>
            </xdr:cNvPr>
            <xdr:cNvSpPr txBox="1"/>
          </xdr:nvSpPr>
          <xdr:spPr>
            <a:xfrm>
              <a:off x="4000499" y="2026443"/>
              <a:ext cx="1704569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"Ganancia=Venta-Inversión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571500</xdr:colOff>
      <xdr:row>9</xdr:row>
      <xdr:rowOff>216695</xdr:rowOff>
    </xdr:from>
    <xdr:ext cx="1513940" cy="3316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62E4968-DC3B-4B0E-BC5B-C7C381E63BDA}"/>
                </a:ext>
              </a:extLst>
            </xdr:cNvPr>
            <xdr:cNvSpPr txBox="1"/>
          </xdr:nvSpPr>
          <xdr:spPr>
            <a:xfrm>
              <a:off x="4010025" y="2378870"/>
              <a:ext cx="1513940" cy="331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Rentabilidad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Ganancia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Inversi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</m:den>
                    </m:f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62E4968-DC3B-4B0E-BC5B-C7C381E63BDA}"/>
                </a:ext>
              </a:extLst>
            </xdr:cNvPr>
            <xdr:cNvSpPr txBox="1"/>
          </xdr:nvSpPr>
          <xdr:spPr>
            <a:xfrm>
              <a:off x="4010025" y="2378870"/>
              <a:ext cx="1513940" cy="331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"Rentabilidad="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"Ganancia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Inversión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223838</xdr:colOff>
      <xdr:row>9</xdr:row>
      <xdr:rowOff>188119</xdr:rowOff>
    </xdr:from>
    <xdr:ext cx="1759071" cy="3298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3D2C7FC-1771-4652-B3FB-340DFE5806C6}"/>
                </a:ext>
              </a:extLst>
            </xdr:cNvPr>
            <xdr:cNvSpPr txBox="1"/>
          </xdr:nvSpPr>
          <xdr:spPr>
            <a:xfrm>
              <a:off x="5948363" y="2350294"/>
              <a:ext cx="1759071" cy="329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Rentabilidad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Inversi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Tahoma" panose="020B0604030504040204" pitchFamily="34" charset="0"/>
                      </a:rPr>
                      <m:t>−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1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3D2C7FC-1771-4652-B3FB-340DFE5806C6}"/>
                </a:ext>
              </a:extLst>
            </xdr:cNvPr>
            <xdr:cNvSpPr txBox="1"/>
          </xdr:nvSpPr>
          <xdr:spPr>
            <a:xfrm>
              <a:off x="5948363" y="2350294"/>
              <a:ext cx="1759071" cy="329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"Rentabilidad="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Inversión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−"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1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361951</xdr:colOff>
      <xdr:row>16</xdr:row>
      <xdr:rowOff>92868</xdr:rowOff>
    </xdr:from>
    <xdr:ext cx="1091516" cy="1955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0D9BC1F-D3C8-4224-AF2D-4482BA588A7D}"/>
                </a:ext>
              </a:extLst>
            </xdr:cNvPr>
            <xdr:cNvSpPr txBox="1"/>
          </xdr:nvSpPr>
          <xdr:spPr>
            <a:xfrm>
              <a:off x="3800476" y="3988593"/>
              <a:ext cx="1091516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Nominal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Q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sub>
                    </m:sSub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0D9BC1F-D3C8-4224-AF2D-4482BA588A7D}"/>
                </a:ext>
              </a:extLst>
            </xdr:cNvPr>
            <xdr:cNvSpPr txBox="1"/>
          </xdr:nvSpPr>
          <xdr:spPr>
            <a:xfrm>
              <a:off x="3800476" y="3988593"/>
              <a:ext cx="1091516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"Nominal="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"×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"Q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371474</xdr:colOff>
      <xdr:row>18</xdr:row>
      <xdr:rowOff>50006</xdr:rowOff>
    </xdr:from>
    <xdr:ext cx="2814296" cy="1724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B9D3040-0DCF-4658-B9B4-FEAD815F2077}"/>
                </a:ext>
              </a:extLst>
            </xdr:cNvPr>
            <xdr:cNvSpPr txBox="1"/>
          </xdr:nvSpPr>
          <xdr:spPr>
            <a:xfrm>
              <a:off x="3809999" y="4441031"/>
              <a:ext cx="2814296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Garant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inversi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</m:e>
                    </m:d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Nominal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Garant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[%]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B9D3040-0DCF-4658-B9B4-FEAD815F2077}"/>
                </a:ext>
              </a:extLst>
            </xdr:cNvPr>
            <xdr:cNvSpPr txBox="1"/>
          </xdr:nvSpPr>
          <xdr:spPr>
            <a:xfrm>
              <a:off x="3809999" y="4441031"/>
              <a:ext cx="2814296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"Garantía " </a:t>
              </a:r>
              <a:r>
                <a:rPr lang="es-MX" sz="1100" b="0" i="0">
                  <a:latin typeface="Cambria Math" panose="02040503050406030204" pitchFamily="18" charset="0"/>
                </a:rPr>
                <a:t>("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inversión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)"=Nominal×Garantía [%]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376238</xdr:colOff>
      <xdr:row>19</xdr:row>
      <xdr:rowOff>45243</xdr:rowOff>
    </xdr:from>
    <xdr:ext cx="2506712" cy="3550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B5F6FC87-0710-4F2C-8978-F996E2D99F0E}"/>
                </a:ext>
              </a:extLst>
            </xdr:cNvPr>
            <xdr:cNvSpPr txBox="1"/>
          </xdr:nvSpPr>
          <xdr:spPr>
            <a:xfrm>
              <a:off x="3814763" y="4683918"/>
              <a:ext cx="2506712" cy="35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Nivel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apalancamiento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Garant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í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[%]</m:t>
                        </m:r>
                      </m:den>
                    </m:f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B5F6FC87-0710-4F2C-8978-F996E2D99F0E}"/>
                </a:ext>
              </a:extLst>
            </xdr:cNvPr>
            <xdr:cNvSpPr txBox="1"/>
          </xdr:nvSpPr>
          <xdr:spPr>
            <a:xfrm>
              <a:off x="3814763" y="4683918"/>
              <a:ext cx="2506712" cy="35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"Nivel de apalancamiento="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"1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Garantía [%]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390525</xdr:colOff>
      <xdr:row>20</xdr:row>
      <xdr:rowOff>242888</xdr:rowOff>
    </xdr:from>
    <xdr:ext cx="1069973" cy="1955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A3D0879-2A8E-494B-9EBD-DF1D5D7DDE1A}"/>
                </a:ext>
              </a:extLst>
            </xdr:cNvPr>
            <xdr:cNvSpPr txBox="1"/>
          </xdr:nvSpPr>
          <xdr:spPr>
            <a:xfrm>
              <a:off x="3829050" y="5129213"/>
              <a:ext cx="1069973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×(1+2%)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A3D0879-2A8E-494B-9EBD-DF1D5D7DDE1A}"/>
                </a:ext>
              </a:extLst>
            </xdr:cNvPr>
            <xdr:cNvSpPr txBox="1"/>
          </xdr:nvSpPr>
          <xdr:spPr>
            <a:xfrm>
              <a:off x="3829050" y="5129213"/>
              <a:ext cx="1069973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"="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"×(1+2%)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390525</xdr:colOff>
      <xdr:row>22</xdr:row>
      <xdr:rowOff>121444</xdr:rowOff>
    </xdr:from>
    <xdr:ext cx="2331536" cy="1955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39118758-2EF2-47C8-BF16-D43231CB2806}"/>
                </a:ext>
              </a:extLst>
            </xdr:cNvPr>
            <xdr:cNvSpPr txBox="1"/>
          </xdr:nvSpPr>
          <xdr:spPr>
            <a:xfrm>
              <a:off x="3829050" y="5503069"/>
              <a:ext cx="2331536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Compensaci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Largo</m:t>
                        </m:r>
                      </m:e>
                    </m:d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=(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Tahoma" panose="020B0604030504040204" pitchFamily="34" charset="0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)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Q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sub>
                    </m:sSub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39118758-2EF2-47C8-BF16-D43231CB2806}"/>
                </a:ext>
              </a:extLst>
            </xdr:cNvPr>
            <xdr:cNvSpPr txBox="1"/>
          </xdr:nvSpPr>
          <xdr:spPr>
            <a:xfrm>
              <a:off x="3829050" y="5503069"/>
              <a:ext cx="2331536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"Compensación " </a:t>
              </a:r>
              <a:r>
                <a:rPr lang="es-MX" sz="1100" b="0" i="0">
                  <a:latin typeface="Cambria Math" panose="02040503050406030204" pitchFamily="18" charset="0"/>
                </a:rPr>
                <a:t>("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Largo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)"=("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−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")"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"Q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395288</xdr:colOff>
      <xdr:row>23</xdr:row>
      <xdr:rowOff>235744</xdr:rowOff>
    </xdr:from>
    <xdr:ext cx="2180020" cy="3655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EC5E7F2-061F-4A93-9FD9-0DE02897B400}"/>
                </a:ext>
              </a:extLst>
            </xdr:cNvPr>
            <xdr:cNvSpPr txBox="1"/>
          </xdr:nvSpPr>
          <xdr:spPr>
            <a:xfrm>
              <a:off x="3833813" y="5865019"/>
              <a:ext cx="2180020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Rentabilidad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Compensaci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Garant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í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nor/>
                              </m:rP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inversi</m:t>
                            </m:r>
                            <m:r>
                              <m:rPr>
                                <m:nor/>
                              </m:rP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ó</m:t>
                            </m:r>
                            <m:r>
                              <m:rPr>
                                <m:nor/>
                              </m:rP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n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EC5E7F2-061F-4A93-9FD9-0DE02897B400}"/>
                </a:ext>
              </a:extLst>
            </xdr:cNvPr>
            <xdr:cNvSpPr txBox="1"/>
          </xdr:nvSpPr>
          <xdr:spPr>
            <a:xfrm>
              <a:off x="3833813" y="5865019"/>
              <a:ext cx="2180020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"Rentabilidad="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"Compensación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Garantía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("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inversión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414336</xdr:colOff>
      <xdr:row>26</xdr:row>
      <xdr:rowOff>111919</xdr:rowOff>
    </xdr:from>
    <xdr:ext cx="3712234" cy="1724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F675083-E787-40F3-8208-13877353F02C}"/>
                </a:ext>
              </a:extLst>
            </xdr:cNvPr>
            <xdr:cNvSpPr txBox="1"/>
          </xdr:nvSpPr>
          <xdr:spPr>
            <a:xfrm>
              <a:off x="3852861" y="6484144"/>
              <a:ext cx="3712234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Rentabilidad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Cambio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precio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[%]×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Nivel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apalancamiento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F675083-E787-40F3-8208-13877353F02C}"/>
                </a:ext>
              </a:extLst>
            </xdr:cNvPr>
            <xdr:cNvSpPr txBox="1"/>
          </xdr:nvSpPr>
          <xdr:spPr>
            <a:xfrm>
              <a:off x="3852861" y="6484144"/>
              <a:ext cx="3712234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"Rentabilidad=Cambio precio [%]×Nivel de apalancamiento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709613</xdr:colOff>
      <xdr:row>6</xdr:row>
      <xdr:rowOff>35719</xdr:rowOff>
    </xdr:from>
    <xdr:ext cx="1091516" cy="1955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1FDBEE7-2B6F-469C-AAD5-32F7DEEF4D55}"/>
                </a:ext>
              </a:extLst>
            </xdr:cNvPr>
            <xdr:cNvSpPr txBox="1"/>
          </xdr:nvSpPr>
          <xdr:spPr>
            <a:xfrm>
              <a:off x="4348163" y="1312069"/>
              <a:ext cx="1091516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Nominal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Q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sub>
                    </m:sSub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1FDBEE7-2B6F-469C-AAD5-32F7DEEF4D55}"/>
                </a:ext>
              </a:extLst>
            </xdr:cNvPr>
            <xdr:cNvSpPr txBox="1"/>
          </xdr:nvSpPr>
          <xdr:spPr>
            <a:xfrm>
              <a:off x="4348163" y="1312069"/>
              <a:ext cx="1091516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"Nominal="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"×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"Q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709614</xdr:colOff>
      <xdr:row>8</xdr:row>
      <xdr:rowOff>16669</xdr:rowOff>
    </xdr:from>
    <xdr:ext cx="2316147" cy="1724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8297519-04BE-42B2-A77C-E0A5403B7828}"/>
                </a:ext>
              </a:extLst>
            </xdr:cNvPr>
            <xdr:cNvSpPr txBox="1"/>
          </xdr:nvSpPr>
          <xdr:spPr>
            <a:xfrm>
              <a:off x="4348164" y="1731169"/>
              <a:ext cx="2316147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Garant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$</m:t>
                        </m:r>
                      </m:e>
                    </m:d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Nominal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Garant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[%]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8297519-04BE-42B2-A77C-E0A5403B7828}"/>
                </a:ext>
              </a:extLst>
            </xdr:cNvPr>
            <xdr:cNvSpPr txBox="1"/>
          </xdr:nvSpPr>
          <xdr:spPr>
            <a:xfrm>
              <a:off x="4348164" y="1731169"/>
              <a:ext cx="2316147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"Garantía " </a:t>
              </a:r>
              <a:r>
                <a:rPr lang="es-MX" sz="1100" b="0" i="0">
                  <a:latin typeface="Cambria Math" panose="02040503050406030204" pitchFamily="18" charset="0"/>
                </a:rPr>
                <a:t>["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$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]"=Nominal×Garantía [%]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704849</xdr:colOff>
      <xdr:row>10</xdr:row>
      <xdr:rowOff>61913</xdr:rowOff>
    </xdr:from>
    <xdr:ext cx="2331536" cy="1955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B62847B-F7BF-4BCE-90F3-2E0C1EC4C778}"/>
                </a:ext>
              </a:extLst>
            </xdr:cNvPr>
            <xdr:cNvSpPr txBox="1"/>
          </xdr:nvSpPr>
          <xdr:spPr>
            <a:xfrm>
              <a:off x="4343399" y="2214563"/>
              <a:ext cx="2331536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Compensaci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Largo</m:t>
                        </m:r>
                      </m:e>
                    </m:d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=(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Tahoma" panose="020B0604030504040204" pitchFamily="34" charset="0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)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Q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sub>
                    </m:sSub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B62847B-F7BF-4BCE-90F3-2E0C1EC4C778}"/>
                </a:ext>
              </a:extLst>
            </xdr:cNvPr>
            <xdr:cNvSpPr txBox="1"/>
          </xdr:nvSpPr>
          <xdr:spPr>
            <a:xfrm>
              <a:off x="4343399" y="2214563"/>
              <a:ext cx="2331536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"Compensación " </a:t>
              </a:r>
              <a:r>
                <a:rPr lang="es-MX" sz="1100" b="0" i="0">
                  <a:latin typeface="Cambria Math" panose="02040503050406030204" pitchFamily="18" charset="0"/>
                </a:rPr>
                <a:t>("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Largo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)"=("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−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")"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"Q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690562</xdr:colOff>
      <xdr:row>11</xdr:row>
      <xdr:rowOff>200024</xdr:rowOff>
    </xdr:from>
    <xdr:ext cx="1837106" cy="3687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0C10309-8623-4D70-9404-0ED3AB7D480D}"/>
                </a:ext>
              </a:extLst>
            </xdr:cNvPr>
            <xdr:cNvSpPr txBox="1"/>
          </xdr:nvSpPr>
          <xdr:spPr>
            <a:xfrm>
              <a:off x="4329112" y="2571749"/>
              <a:ext cx="1837106" cy="368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Rentabilidad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Compensaci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Garant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í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[$]</m:t>
                        </m:r>
                      </m:den>
                    </m:f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0C10309-8623-4D70-9404-0ED3AB7D480D}"/>
                </a:ext>
              </a:extLst>
            </xdr:cNvPr>
            <xdr:cNvSpPr txBox="1"/>
          </xdr:nvSpPr>
          <xdr:spPr>
            <a:xfrm>
              <a:off x="4329112" y="2571749"/>
              <a:ext cx="1837106" cy="368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"Rentabilidad="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"Compensación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Garantía [$]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690563</xdr:colOff>
      <xdr:row>14</xdr:row>
      <xdr:rowOff>28574</xdr:rowOff>
    </xdr:from>
    <xdr:ext cx="2506712" cy="3550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94BB74B-30F0-4617-A8BF-4DAFF1CBE063}"/>
                </a:ext>
              </a:extLst>
            </xdr:cNvPr>
            <xdr:cNvSpPr txBox="1"/>
          </xdr:nvSpPr>
          <xdr:spPr>
            <a:xfrm>
              <a:off x="4329113" y="3019424"/>
              <a:ext cx="2506712" cy="35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Nivel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apalancamiento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Garant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í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[%]</m:t>
                        </m:r>
                      </m:den>
                    </m:f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94BB74B-30F0-4617-A8BF-4DAFF1CBE063}"/>
                </a:ext>
              </a:extLst>
            </xdr:cNvPr>
            <xdr:cNvSpPr txBox="1"/>
          </xdr:nvSpPr>
          <xdr:spPr>
            <a:xfrm>
              <a:off x="4329113" y="3019424"/>
              <a:ext cx="2506712" cy="35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"Nivel de apalancamiento="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"1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Garantía [%]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438151</xdr:colOff>
      <xdr:row>5</xdr:row>
      <xdr:rowOff>223837</xdr:rowOff>
    </xdr:from>
    <xdr:ext cx="2678554" cy="1955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9C2BD96-AFC0-4A02-B976-085B8558CDE9}"/>
                </a:ext>
              </a:extLst>
            </xdr:cNvPr>
            <xdr:cNvSpPr txBox="1"/>
          </xdr:nvSpPr>
          <xdr:spPr>
            <a:xfrm>
              <a:off x="4419601" y="1319212"/>
              <a:ext cx="2678554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Nominal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Tama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ñ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9C2BD96-AFC0-4A02-B976-085B8558CDE9}"/>
                </a:ext>
              </a:extLst>
            </xdr:cNvPr>
            <xdr:cNvSpPr txBox="1"/>
          </xdr:nvSpPr>
          <xdr:spPr>
            <a:xfrm>
              <a:off x="4419601" y="1319212"/>
              <a:ext cx="2678554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"Nominal="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"×Tamaño contrato×Contratos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457200</xdr:colOff>
      <xdr:row>8</xdr:row>
      <xdr:rowOff>40481</xdr:rowOff>
    </xdr:from>
    <xdr:ext cx="2148217" cy="1724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846FF06-0988-47A0-8441-0676C5F4673D}"/>
                </a:ext>
              </a:extLst>
            </xdr:cNvPr>
            <xdr:cNvSpPr txBox="1"/>
          </xdr:nvSpPr>
          <xdr:spPr>
            <a:xfrm>
              <a:off x="4438650" y="1821656"/>
              <a:ext cx="2148217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Inversi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Nominal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Garant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[%]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846FF06-0988-47A0-8441-0676C5F4673D}"/>
                </a:ext>
              </a:extLst>
            </xdr:cNvPr>
            <xdr:cNvSpPr txBox="1"/>
          </xdr:nvSpPr>
          <xdr:spPr>
            <a:xfrm>
              <a:off x="4438650" y="1821656"/>
              <a:ext cx="2148217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"Inversión=Nominal×Garantía [%]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457200</xdr:colOff>
      <xdr:row>9</xdr:row>
      <xdr:rowOff>188119</xdr:rowOff>
    </xdr:from>
    <xdr:ext cx="817596" cy="1955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1E122A4-C923-4A58-995B-E66C255BEF7A}"/>
                </a:ext>
              </a:extLst>
            </xdr:cNvPr>
            <xdr:cNvSpPr txBox="1"/>
          </xdr:nvSpPr>
          <xdr:spPr>
            <a:xfrm>
              <a:off x="4438650" y="2197894"/>
              <a:ext cx="817596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+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Tick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1E122A4-C923-4A58-995B-E66C255BEF7A}"/>
                </a:ext>
              </a:extLst>
            </xdr:cNvPr>
            <xdr:cNvSpPr txBox="1"/>
          </xdr:nvSpPr>
          <xdr:spPr>
            <a:xfrm>
              <a:off x="4438650" y="2197894"/>
              <a:ext cx="817596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"="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"+Tick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433387</xdr:colOff>
      <xdr:row>11</xdr:row>
      <xdr:rowOff>61913</xdr:rowOff>
    </xdr:from>
    <xdr:ext cx="4021229" cy="1955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F3CEC2C-5099-4B97-ABAA-6E2ABA8635B3}"/>
                </a:ext>
              </a:extLst>
            </xdr:cNvPr>
            <xdr:cNvSpPr txBox="1"/>
          </xdr:nvSpPr>
          <xdr:spPr>
            <a:xfrm>
              <a:off x="4414837" y="2528888"/>
              <a:ext cx="4021229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Compensaci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Largo</m:t>
                        </m:r>
                      </m:e>
                    </m:d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=(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Tahoma" panose="020B0604030504040204" pitchFamily="34" charset="0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)×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Tama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ñ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F3CEC2C-5099-4B97-ABAA-6E2ABA8635B3}"/>
                </a:ext>
              </a:extLst>
            </xdr:cNvPr>
            <xdr:cNvSpPr txBox="1"/>
          </xdr:nvSpPr>
          <xdr:spPr>
            <a:xfrm>
              <a:off x="4414837" y="2528888"/>
              <a:ext cx="4021229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"Compensación " </a:t>
              </a:r>
              <a:r>
                <a:rPr lang="es-MX" sz="1100" b="0" i="0">
                  <a:latin typeface="Cambria Math" panose="02040503050406030204" pitchFamily="18" charset="0"/>
                </a:rPr>
                <a:t>("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Largo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)"=("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−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")×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Tamaño contrato×Contratos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461962</xdr:colOff>
      <xdr:row>12</xdr:row>
      <xdr:rowOff>161925</xdr:rowOff>
    </xdr:from>
    <xdr:ext cx="1837106" cy="3426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2B68CF2-3B48-4572-8E3D-0C59C99E6906}"/>
                </a:ext>
              </a:extLst>
            </xdr:cNvPr>
            <xdr:cNvSpPr txBox="1"/>
          </xdr:nvSpPr>
          <xdr:spPr>
            <a:xfrm>
              <a:off x="4443412" y="2857500"/>
              <a:ext cx="1837106" cy="342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Rentabilidad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Compensaci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Inversi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</m:den>
                    </m:f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2B68CF2-3B48-4572-8E3D-0C59C99E6906}"/>
                </a:ext>
              </a:extLst>
            </xdr:cNvPr>
            <xdr:cNvSpPr txBox="1"/>
          </xdr:nvSpPr>
          <xdr:spPr>
            <a:xfrm>
              <a:off x="4443412" y="2857500"/>
              <a:ext cx="1837106" cy="342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"Rentabilidad="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"Compensación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Inversión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257174</xdr:colOff>
      <xdr:row>15</xdr:row>
      <xdr:rowOff>154781</xdr:rowOff>
    </xdr:from>
    <xdr:ext cx="3128677" cy="1724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A77F54C-2C29-4AF9-953A-B9C4939E7C80}"/>
                </a:ext>
              </a:extLst>
            </xdr:cNvPr>
            <xdr:cNvSpPr txBox="1"/>
          </xdr:nvSpPr>
          <xdr:spPr>
            <a:xfrm>
              <a:off x="4238624" y="3440906"/>
              <a:ext cx="3128677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Comisi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entrada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Nominal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Comisi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variable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A77F54C-2C29-4AF9-953A-B9C4939E7C80}"/>
                </a:ext>
              </a:extLst>
            </xdr:cNvPr>
            <xdr:cNvSpPr txBox="1"/>
          </xdr:nvSpPr>
          <xdr:spPr>
            <a:xfrm>
              <a:off x="4238624" y="3440906"/>
              <a:ext cx="3128677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"Comisión de entrada=Nominal×Comisión variable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276225</xdr:colOff>
      <xdr:row>19</xdr:row>
      <xdr:rowOff>69056</xdr:rowOff>
    </xdr:from>
    <xdr:ext cx="1325171" cy="1724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89E311B-B5D7-4B87-86EE-C01B243AA31B}"/>
                </a:ext>
              </a:extLst>
            </xdr:cNvPr>
            <xdr:cNvSpPr txBox="1"/>
          </xdr:nvSpPr>
          <xdr:spPr>
            <a:xfrm>
              <a:off x="4257675" y="4079081"/>
              <a:ext cx="1325171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IVA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=19%×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Comisi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89E311B-B5D7-4B87-86EE-C01B243AA31B}"/>
                </a:ext>
              </a:extLst>
            </xdr:cNvPr>
            <xdr:cNvSpPr txBox="1"/>
          </xdr:nvSpPr>
          <xdr:spPr>
            <a:xfrm>
              <a:off x="4257675" y="4079081"/>
              <a:ext cx="1325171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"IVA=19%×Comisión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238126</xdr:colOff>
      <xdr:row>17</xdr:row>
      <xdr:rowOff>102392</xdr:rowOff>
    </xdr:from>
    <xdr:ext cx="4529381" cy="1913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AE0EEF1-3A4D-4BC0-977C-4A957845F21A}"/>
                </a:ext>
              </a:extLst>
            </xdr:cNvPr>
            <xdr:cNvSpPr txBox="1"/>
          </xdr:nvSpPr>
          <xdr:spPr>
            <a:xfrm>
              <a:off x="4219576" y="3750467"/>
              <a:ext cx="4529381" cy="191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Comisi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salida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Tama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ñ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Comisi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variable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AE0EEF1-3A4D-4BC0-977C-4A957845F21A}"/>
                </a:ext>
              </a:extLst>
            </xdr:cNvPr>
            <xdr:cNvSpPr txBox="1"/>
          </xdr:nvSpPr>
          <xdr:spPr>
            <a:xfrm>
              <a:off x="4219576" y="3750467"/>
              <a:ext cx="4529381" cy="191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"Comisión de salida=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×Tamaño contrato×Contratos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×Comisión variable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395287</xdr:colOff>
      <xdr:row>4</xdr:row>
      <xdr:rowOff>154781</xdr:rowOff>
    </xdr:from>
    <xdr:ext cx="2092239" cy="1913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2CF8F31-3DD4-4DCD-B9F8-67E80A911B44}"/>
                </a:ext>
              </a:extLst>
            </xdr:cNvPr>
            <xdr:cNvSpPr txBox="1"/>
          </xdr:nvSpPr>
          <xdr:spPr>
            <a:xfrm>
              <a:off x="4033837" y="992981"/>
              <a:ext cx="2092239" cy="191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Q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Tama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ñ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2CF8F31-3DD4-4DCD-B9F8-67E80A911B44}"/>
                </a:ext>
              </a:extLst>
            </xdr:cNvPr>
            <xdr:cNvSpPr txBox="1"/>
          </xdr:nvSpPr>
          <xdr:spPr>
            <a:xfrm>
              <a:off x="4033837" y="992981"/>
              <a:ext cx="2092239" cy="191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"Q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"=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Tamaño contrato×Contratos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442912</xdr:colOff>
      <xdr:row>6</xdr:row>
      <xdr:rowOff>52387</xdr:rowOff>
    </xdr:from>
    <xdr:ext cx="1090490" cy="1955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B3CBA6-7613-44ED-9D6F-E748FAF10E72}"/>
                </a:ext>
              </a:extLst>
            </xdr:cNvPr>
            <xdr:cNvSpPr txBox="1"/>
          </xdr:nvSpPr>
          <xdr:spPr>
            <a:xfrm>
              <a:off x="4081462" y="1328737"/>
              <a:ext cx="1090490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Nominal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Q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sub>
                    </m:sSub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B3CBA6-7613-44ED-9D6F-E748FAF10E72}"/>
                </a:ext>
              </a:extLst>
            </xdr:cNvPr>
            <xdr:cNvSpPr txBox="1"/>
          </xdr:nvSpPr>
          <xdr:spPr>
            <a:xfrm>
              <a:off x="4081462" y="1328737"/>
              <a:ext cx="1090490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"Nominal="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"×"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"Q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438150</xdr:colOff>
      <xdr:row>7</xdr:row>
      <xdr:rowOff>195263</xdr:rowOff>
    </xdr:from>
    <xdr:ext cx="2316147" cy="1724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EF44668-AF3F-4388-8ACC-183461D7AA2C}"/>
                </a:ext>
              </a:extLst>
            </xdr:cNvPr>
            <xdr:cNvSpPr txBox="1"/>
          </xdr:nvSpPr>
          <xdr:spPr>
            <a:xfrm>
              <a:off x="4076700" y="1690688"/>
              <a:ext cx="2316147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Garant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$</m:t>
                        </m:r>
                      </m:e>
                    </m:d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Nominal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Garant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[%]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EF44668-AF3F-4388-8ACC-183461D7AA2C}"/>
                </a:ext>
              </a:extLst>
            </xdr:cNvPr>
            <xdr:cNvSpPr txBox="1"/>
          </xdr:nvSpPr>
          <xdr:spPr>
            <a:xfrm>
              <a:off x="4076700" y="1690688"/>
              <a:ext cx="2316147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"Garantía " </a:t>
              </a:r>
              <a:r>
                <a:rPr lang="es-MX" sz="1100" b="0" i="0">
                  <a:latin typeface="Cambria Math" panose="02040503050406030204" pitchFamily="18" charset="0"/>
                </a:rPr>
                <a:t>["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$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]"=Nominal×Garantía [%]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442913</xdr:colOff>
      <xdr:row>9</xdr:row>
      <xdr:rowOff>180976</xdr:rowOff>
    </xdr:from>
    <xdr:ext cx="2420471" cy="1955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53843F9-3632-4029-9E68-9EED60F00365}"/>
                </a:ext>
              </a:extLst>
            </xdr:cNvPr>
            <xdr:cNvSpPr txBox="1"/>
          </xdr:nvSpPr>
          <xdr:spPr>
            <a:xfrm>
              <a:off x="4081463" y="2114551"/>
              <a:ext cx="2420471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Compensaci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Corto</m:t>
                        </m:r>
                      </m:e>
                    </m:d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=(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)×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Q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sub>
                    </m:sSub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53843F9-3632-4029-9E68-9EED60F00365}"/>
                </a:ext>
              </a:extLst>
            </xdr:cNvPr>
            <xdr:cNvSpPr txBox="1"/>
          </xdr:nvSpPr>
          <xdr:spPr>
            <a:xfrm>
              <a:off x="4081463" y="2114551"/>
              <a:ext cx="2420471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"Compensación " </a:t>
              </a:r>
              <a:r>
                <a:rPr lang="es-MX" sz="1100" b="0" i="0">
                  <a:latin typeface="Cambria Math" panose="02040503050406030204" pitchFamily="18" charset="0"/>
                </a:rPr>
                <a:t>("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Corto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)"=("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")×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"Q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466726</xdr:colOff>
      <xdr:row>11</xdr:row>
      <xdr:rowOff>80962</xdr:rowOff>
    </xdr:from>
    <xdr:ext cx="1837106" cy="3720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6DFB559-C73E-41A6-978D-BA91B4B1BAB6}"/>
                </a:ext>
              </a:extLst>
            </xdr:cNvPr>
            <xdr:cNvSpPr txBox="1"/>
          </xdr:nvSpPr>
          <xdr:spPr>
            <a:xfrm>
              <a:off x="4105276" y="2452687"/>
              <a:ext cx="1837106" cy="372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Rentabilidad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Compensaci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Garant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í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[%]</m:t>
                        </m:r>
                      </m:den>
                    </m:f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6DFB559-C73E-41A6-978D-BA91B4B1BAB6}"/>
                </a:ext>
              </a:extLst>
            </xdr:cNvPr>
            <xdr:cNvSpPr txBox="1"/>
          </xdr:nvSpPr>
          <xdr:spPr>
            <a:xfrm>
              <a:off x="4105276" y="2452687"/>
              <a:ext cx="1837106" cy="372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"Rentabilidad="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"Compensación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Garantía [%]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466725</xdr:colOff>
      <xdr:row>13</xdr:row>
      <xdr:rowOff>85725</xdr:rowOff>
    </xdr:from>
    <xdr:ext cx="2506712" cy="3550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395CDC5-AC80-4D2E-B5FB-69F1D686ADA4}"/>
                </a:ext>
              </a:extLst>
            </xdr:cNvPr>
            <xdr:cNvSpPr txBox="1"/>
          </xdr:nvSpPr>
          <xdr:spPr>
            <a:xfrm>
              <a:off x="4105275" y="2895600"/>
              <a:ext cx="2506712" cy="35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Nivel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apalancamiento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Garant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í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[%]</m:t>
                        </m:r>
                      </m:den>
                    </m:f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395CDC5-AC80-4D2E-B5FB-69F1D686ADA4}"/>
                </a:ext>
              </a:extLst>
            </xdr:cNvPr>
            <xdr:cNvSpPr txBox="1"/>
          </xdr:nvSpPr>
          <xdr:spPr>
            <a:xfrm>
              <a:off x="4105275" y="2895600"/>
              <a:ext cx="2506712" cy="35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"Nivel de apalancamiento="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"1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Garantía [%]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37171</xdr:colOff>
      <xdr:row>3</xdr:row>
      <xdr:rowOff>0</xdr:rowOff>
    </xdr:from>
    <xdr:ext cx="2678554" cy="1955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4699AE6-EA0D-4E28-B70A-2EB8060C1695}"/>
                </a:ext>
              </a:extLst>
            </xdr:cNvPr>
            <xdr:cNvSpPr txBox="1"/>
          </xdr:nvSpPr>
          <xdr:spPr>
            <a:xfrm>
              <a:off x="3782122" y="580793"/>
              <a:ext cx="2678554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Nominal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Tama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ñ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4699AE6-EA0D-4E28-B70A-2EB8060C1695}"/>
                </a:ext>
              </a:extLst>
            </xdr:cNvPr>
            <xdr:cNvSpPr txBox="1"/>
          </xdr:nvSpPr>
          <xdr:spPr>
            <a:xfrm>
              <a:off x="3782122" y="580793"/>
              <a:ext cx="2678554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"Nominal="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"×Tamaño contrato×Contratos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46464</xdr:colOff>
      <xdr:row>4</xdr:row>
      <xdr:rowOff>102219</xdr:rowOff>
    </xdr:from>
    <xdr:ext cx="2506712" cy="3550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A07A50D-5CEC-4D47-9ABF-7705DC5660B5}"/>
                </a:ext>
              </a:extLst>
            </xdr:cNvPr>
            <xdr:cNvSpPr txBox="1"/>
          </xdr:nvSpPr>
          <xdr:spPr>
            <a:xfrm>
              <a:off x="3791415" y="864219"/>
              <a:ext cx="2506712" cy="35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Nivel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apalancamiento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Garant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í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[%]</m:t>
                        </m:r>
                      </m:den>
                    </m:f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A07A50D-5CEC-4D47-9ABF-7705DC5660B5}"/>
                </a:ext>
              </a:extLst>
            </xdr:cNvPr>
            <xdr:cNvSpPr txBox="1"/>
          </xdr:nvSpPr>
          <xdr:spPr>
            <a:xfrm>
              <a:off x="3791415" y="864219"/>
              <a:ext cx="2506712" cy="35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"Nivel de apalancamiento="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"1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Garantía [%]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55756</xdr:colOff>
      <xdr:row>7</xdr:row>
      <xdr:rowOff>116159</xdr:rowOff>
    </xdr:from>
    <xdr:ext cx="2316147" cy="1724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175017D-7E9A-43CF-9437-3715349FBBCE}"/>
                </a:ext>
              </a:extLst>
            </xdr:cNvPr>
            <xdr:cNvSpPr txBox="1"/>
          </xdr:nvSpPr>
          <xdr:spPr>
            <a:xfrm>
              <a:off x="3800707" y="1421781"/>
              <a:ext cx="2316147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Garant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$</m:t>
                        </m:r>
                      </m:e>
                    </m:d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Nominal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Garant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[%]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175017D-7E9A-43CF-9437-3715349FBBCE}"/>
                </a:ext>
              </a:extLst>
            </xdr:cNvPr>
            <xdr:cNvSpPr txBox="1"/>
          </xdr:nvSpPr>
          <xdr:spPr>
            <a:xfrm>
              <a:off x="3800707" y="1421781"/>
              <a:ext cx="2316147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"Garantía " </a:t>
              </a:r>
              <a:r>
                <a:rPr lang="es-MX" sz="1100" b="0" i="0">
                  <a:latin typeface="Cambria Math" panose="02040503050406030204" pitchFamily="18" charset="0"/>
                </a:rPr>
                <a:t>["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$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]"=Nominal×Garantía [%]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32523</xdr:colOff>
      <xdr:row>9</xdr:row>
      <xdr:rowOff>213732</xdr:rowOff>
    </xdr:from>
    <xdr:ext cx="4007507" cy="1955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FE2EC32-3148-4800-9D37-36886A21C089}"/>
                </a:ext>
              </a:extLst>
            </xdr:cNvPr>
            <xdr:cNvSpPr txBox="1"/>
          </xdr:nvSpPr>
          <xdr:spPr>
            <a:xfrm>
              <a:off x="3777474" y="1881769"/>
              <a:ext cx="4007507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Compensaci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Corto</m:t>
                        </m:r>
                      </m:e>
                    </m:d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=(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)×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Tama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ñ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FE2EC32-3148-4800-9D37-36886A21C089}"/>
                </a:ext>
              </a:extLst>
            </xdr:cNvPr>
            <xdr:cNvSpPr txBox="1"/>
          </xdr:nvSpPr>
          <xdr:spPr>
            <a:xfrm>
              <a:off x="3777474" y="1881769"/>
              <a:ext cx="4007507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"Compensación " </a:t>
              </a:r>
              <a:r>
                <a:rPr lang="es-MX" sz="1100" b="0" i="0">
                  <a:latin typeface="Cambria Math" panose="02040503050406030204" pitchFamily="18" charset="0"/>
                </a:rPr>
                <a:t>("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Corto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)"=("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")×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Tamaño contrato×Contratos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423863</xdr:colOff>
      <xdr:row>4</xdr:row>
      <xdr:rowOff>83343</xdr:rowOff>
    </xdr:from>
    <xdr:ext cx="2702086" cy="3466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EDC8230-2490-4395-AFC2-7B03704CAE9C}"/>
                </a:ext>
              </a:extLst>
            </xdr:cNvPr>
            <xdr:cNvSpPr txBox="1"/>
          </xdr:nvSpPr>
          <xdr:spPr>
            <a:xfrm>
              <a:off x="3490913" y="892968"/>
              <a:ext cx="2702086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Nominal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F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0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×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Tama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ñ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o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contrato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×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Contratos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100</m:t>
                        </m:r>
                      </m:den>
                    </m:f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EDC8230-2490-4395-AFC2-7B03704CAE9C}"/>
                </a:ext>
              </a:extLst>
            </xdr:cNvPr>
            <xdr:cNvSpPr txBox="1"/>
          </xdr:nvSpPr>
          <xdr:spPr>
            <a:xfrm>
              <a:off x="3490913" y="892968"/>
              <a:ext cx="2702086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"Nominal="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×Tamaño contrato×Contratos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)/"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100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419100</xdr:colOff>
      <xdr:row>7</xdr:row>
      <xdr:rowOff>4763</xdr:rowOff>
    </xdr:from>
    <xdr:ext cx="2316147" cy="1724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8D5E500-DC37-44DA-8BE3-EDB93497A1CA}"/>
                </a:ext>
              </a:extLst>
            </xdr:cNvPr>
            <xdr:cNvSpPr txBox="1"/>
          </xdr:nvSpPr>
          <xdr:spPr>
            <a:xfrm>
              <a:off x="3486150" y="1443038"/>
              <a:ext cx="2316147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Garant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$</m:t>
                        </m:r>
                      </m:e>
                    </m:d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Nominal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Garant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[%]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8D5E500-DC37-44DA-8BE3-EDB93497A1CA}"/>
                </a:ext>
              </a:extLst>
            </xdr:cNvPr>
            <xdr:cNvSpPr txBox="1"/>
          </xdr:nvSpPr>
          <xdr:spPr>
            <a:xfrm>
              <a:off x="3486150" y="1443038"/>
              <a:ext cx="2316147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"Garantía " </a:t>
              </a:r>
              <a:r>
                <a:rPr lang="es-MX" sz="1100" b="0" i="0">
                  <a:latin typeface="Cambria Math" panose="02040503050406030204" pitchFamily="18" charset="0"/>
                </a:rPr>
                <a:t>["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$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]"=Nominal×Garantía [%]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390524</xdr:colOff>
      <xdr:row>8</xdr:row>
      <xdr:rowOff>178593</xdr:rowOff>
    </xdr:from>
    <xdr:ext cx="4035657" cy="3466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252BF94-2E99-4D7E-A159-4794703CE258}"/>
                </a:ext>
              </a:extLst>
            </xdr:cNvPr>
            <xdr:cNvSpPr txBox="1"/>
          </xdr:nvSpPr>
          <xdr:spPr>
            <a:xfrm>
              <a:off x="3457574" y="1826418"/>
              <a:ext cx="4035657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Compensaci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(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Largo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)=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(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F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T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Tahoma" panose="020B0604030504040204" pitchFamily="34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F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0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)×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Tama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ñ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o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contrato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×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Contratos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100</m:t>
                        </m:r>
                      </m:den>
                    </m:f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252BF94-2E99-4D7E-A159-4794703CE258}"/>
                </a:ext>
              </a:extLst>
            </xdr:cNvPr>
            <xdr:cNvSpPr txBox="1"/>
          </xdr:nvSpPr>
          <xdr:spPr>
            <a:xfrm>
              <a:off x="3457574" y="1826418"/>
              <a:ext cx="4035657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"Compensación (Largo)="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("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−"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)×Tamaño contrato×Contratos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)/"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100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357187</xdr:colOff>
      <xdr:row>15</xdr:row>
      <xdr:rowOff>9525</xdr:rowOff>
    </xdr:from>
    <xdr:ext cx="4804713" cy="2242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EF6FB26-179A-4D98-8563-63661FDC0FDD}"/>
                </a:ext>
              </a:extLst>
            </xdr:cNvPr>
            <xdr:cNvSpPr txBox="1"/>
          </xdr:nvSpPr>
          <xdr:spPr>
            <a:xfrm>
              <a:off x="1747837" y="3400425"/>
              <a:ext cx="4804713" cy="224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Compensaci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(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Largo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)=(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hoy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Tahoma" panose="020B0604030504040204" pitchFamily="34" charset="0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ayer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)×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Tama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ñ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EF6FB26-179A-4D98-8563-63661FDC0FDD}"/>
                </a:ext>
              </a:extLst>
            </xdr:cNvPr>
            <xdr:cNvSpPr txBox="1"/>
          </xdr:nvSpPr>
          <xdr:spPr>
            <a:xfrm>
              <a:off x="1747837" y="3400425"/>
              <a:ext cx="4804713" cy="224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"Compensación del día (Largo)=("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hoy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−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ayer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")×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Tamaño contrato×Contratos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304800</xdr:colOff>
      <xdr:row>17</xdr:row>
      <xdr:rowOff>85725</xdr:rowOff>
    </xdr:from>
    <xdr:ext cx="4644605" cy="2242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B17153C-1169-4CA5-B190-99A90EB4DBD7}"/>
                </a:ext>
              </a:extLst>
            </xdr:cNvPr>
            <xdr:cNvSpPr txBox="1"/>
          </xdr:nvSpPr>
          <xdr:spPr>
            <a:xfrm>
              <a:off x="1695450" y="3838575"/>
              <a:ext cx="4644605" cy="224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Compensaci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global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(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Largo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)=(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hoy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Tahoma" panose="020B0604030504040204" pitchFamily="34" charset="0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)×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Tama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ñ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B17153C-1169-4CA5-B190-99A90EB4DBD7}"/>
                </a:ext>
              </a:extLst>
            </xdr:cNvPr>
            <xdr:cNvSpPr txBox="1"/>
          </xdr:nvSpPr>
          <xdr:spPr>
            <a:xfrm>
              <a:off x="1695450" y="3838575"/>
              <a:ext cx="4644605" cy="224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"Compensación global (Largo)=("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hoy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−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")×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Tamaño contrato×Contratos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361951</xdr:colOff>
      <xdr:row>19</xdr:row>
      <xdr:rowOff>154781</xdr:rowOff>
    </xdr:from>
    <xdr:ext cx="2878673" cy="1955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AB13CEF-904D-4C59-93F0-34C7E4600039}"/>
                </a:ext>
              </a:extLst>
            </xdr:cNvPr>
            <xdr:cNvSpPr txBox="1"/>
          </xdr:nvSpPr>
          <xdr:spPr>
            <a:xfrm>
              <a:off x="1752601" y="4269581"/>
              <a:ext cx="2878673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CM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Garant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[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USD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]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AB13CEF-904D-4C59-93F0-34C7E4600039}"/>
                </a:ext>
              </a:extLst>
            </xdr:cNvPr>
            <xdr:cNvSpPr txBox="1"/>
          </xdr:nvSpPr>
          <xdr:spPr>
            <a:xfrm>
              <a:off x="1752601" y="4269581"/>
              <a:ext cx="2878673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CM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"=Contratos×Garantía [USD por contrato]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357189</xdr:colOff>
      <xdr:row>21</xdr:row>
      <xdr:rowOff>173831</xdr:rowOff>
    </xdr:from>
    <xdr:ext cx="3863750" cy="1982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8501729-8981-4743-A7BF-9DED7592743C}"/>
                </a:ext>
              </a:extLst>
            </xdr:cNvPr>
            <xdr:cNvSpPr txBox="1"/>
          </xdr:nvSpPr>
          <xdr:spPr>
            <a:xfrm>
              <a:off x="1747839" y="4650581"/>
              <a:ext cx="3863750" cy="1982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CM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Compensaci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del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CM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-1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Llamado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al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margen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ayer</m:t>
                        </m:r>
                      </m:sub>
                    </m:sSub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8501729-8981-4743-A7BF-9DED7592743C}"/>
                </a:ext>
              </a:extLst>
            </xdr:cNvPr>
            <xdr:cNvSpPr txBox="1"/>
          </xdr:nvSpPr>
          <xdr:spPr>
            <a:xfrm>
              <a:off x="1747839" y="4650581"/>
              <a:ext cx="3863750" cy="1982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CM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"=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Compensación del día+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CM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t-1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+〖"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Llamado al margen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ayer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985838</xdr:colOff>
      <xdr:row>4</xdr:row>
      <xdr:rowOff>159543</xdr:rowOff>
    </xdr:from>
    <xdr:ext cx="3919727" cy="1724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3224D7C-57EE-45A7-862E-DCCFB3464B91}"/>
                </a:ext>
              </a:extLst>
            </xdr:cNvPr>
            <xdr:cNvSpPr txBox="1"/>
          </xdr:nvSpPr>
          <xdr:spPr>
            <a:xfrm>
              <a:off x="4691063" y="883443"/>
              <a:ext cx="3919727" cy="172483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Mantenimiento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Mantenimiento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[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USD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]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3224D7C-57EE-45A7-862E-DCCFB3464B91}"/>
                </a:ext>
              </a:extLst>
            </xdr:cNvPr>
            <xdr:cNvSpPr txBox="1"/>
          </xdr:nvSpPr>
          <xdr:spPr>
            <a:xfrm>
              <a:off x="4691063" y="883443"/>
              <a:ext cx="3919727" cy="172483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"Mantenimiento=Contratos×Mantenimiento [USD por contrato]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381000</xdr:colOff>
      <xdr:row>25</xdr:row>
      <xdr:rowOff>30956</xdr:rowOff>
    </xdr:from>
    <xdr:ext cx="1383392" cy="1724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FA71E85-237A-4D7D-AD89-C4D414899AB4}"/>
                </a:ext>
              </a:extLst>
            </xdr:cNvPr>
            <xdr:cNvSpPr txBox="1"/>
          </xdr:nvSpPr>
          <xdr:spPr>
            <a:xfrm>
              <a:off x="1771650" y="5231606"/>
              <a:ext cx="1383392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Llamado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margen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 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FA71E85-237A-4D7D-AD89-C4D414899AB4}"/>
                </a:ext>
              </a:extLst>
            </xdr:cNvPr>
            <xdr:cNvSpPr txBox="1"/>
          </xdr:nvSpPr>
          <xdr:spPr>
            <a:xfrm>
              <a:off x="1771650" y="5231606"/>
              <a:ext cx="1383392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"Llamado al margen= 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719137</xdr:colOff>
      <xdr:row>23</xdr:row>
      <xdr:rowOff>150019</xdr:rowOff>
    </xdr:from>
    <xdr:ext cx="2298321" cy="1955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592F7EA-1F98-4A66-A6E8-3EF3C6567053}"/>
                </a:ext>
              </a:extLst>
            </xdr:cNvPr>
            <xdr:cNvSpPr txBox="1"/>
          </xdr:nvSpPr>
          <xdr:spPr>
            <a:xfrm>
              <a:off x="3281362" y="4988719"/>
              <a:ext cx="2298321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CM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≤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Mantenimiento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: 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CM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CM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592F7EA-1F98-4A66-A6E8-3EF3C6567053}"/>
                </a:ext>
              </a:extLst>
            </xdr:cNvPr>
            <xdr:cNvSpPr txBox="1"/>
          </xdr:nvSpPr>
          <xdr:spPr>
            <a:xfrm>
              <a:off x="3281362" y="4988719"/>
              <a:ext cx="2298321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"Si " </a:t>
              </a:r>
              <a:r>
                <a:rPr lang="es-MX" sz="1100" b="0" i="0">
                  <a:latin typeface="Cambria Math" panose="02040503050406030204" pitchFamily="18" charset="0"/>
                </a:rPr>
                <a:t>〖"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CM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 ≤Mantenimiento: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CM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〗_"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−〖"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CM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〗_"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719137</xdr:colOff>
      <xdr:row>26</xdr:row>
      <xdr:rowOff>35719</xdr:rowOff>
    </xdr:from>
    <xdr:ext cx="1717458" cy="1893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2587B86-AE7C-4119-AB10-AB2215629F8E}"/>
                </a:ext>
              </a:extLst>
            </xdr:cNvPr>
            <xdr:cNvSpPr txBox="1"/>
          </xdr:nvSpPr>
          <xdr:spPr>
            <a:xfrm>
              <a:off x="3281362" y="5417344"/>
              <a:ext cx="1717458" cy="189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CM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&gt;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Mantenimiento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:$0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2587B86-AE7C-4119-AB10-AB2215629F8E}"/>
                </a:ext>
              </a:extLst>
            </xdr:cNvPr>
            <xdr:cNvSpPr txBox="1"/>
          </xdr:nvSpPr>
          <xdr:spPr>
            <a:xfrm>
              <a:off x="3281362" y="5417344"/>
              <a:ext cx="1717458" cy="189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"Si " </a:t>
              </a:r>
              <a:r>
                <a:rPr lang="es-MX" sz="1100" b="0" i="0">
                  <a:latin typeface="Cambria Math" panose="02040503050406030204" pitchFamily="18" charset="0"/>
                </a:rPr>
                <a:t>〖"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CM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 &gt;Mantenimiento:$0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twoCellAnchor>
    <xdr:from>
      <xdr:col>3</xdr:col>
      <xdr:colOff>576264</xdr:colOff>
      <xdr:row>23</xdr:row>
      <xdr:rowOff>114300</xdr:rowOff>
    </xdr:from>
    <xdr:to>
      <xdr:col>3</xdr:col>
      <xdr:colOff>695326</xdr:colOff>
      <xdr:row>27</xdr:row>
      <xdr:rowOff>128588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A2E65164-0EBD-4F86-B195-0B1DBB38EC81}"/>
            </a:ext>
          </a:extLst>
        </xdr:cNvPr>
        <xdr:cNvSpPr/>
      </xdr:nvSpPr>
      <xdr:spPr>
        <a:xfrm>
          <a:off x="3138489" y="4953000"/>
          <a:ext cx="119062" cy="738188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showGridLines="0" tabSelected="1" zoomScale="200" zoomScaleNormal="200" workbookViewId="0">
      <selection sqref="A1:C1"/>
    </sheetView>
  </sheetViews>
  <sheetFormatPr baseColWidth="10" defaultRowHeight="14.25" x14ac:dyDescent="0.2"/>
  <cols>
    <col min="1" max="1" width="23.7109375" style="1" customWidth="1"/>
    <col min="2" max="2" width="16.42578125" style="6" customWidth="1"/>
    <col min="3" max="16384" width="11.42578125" style="1"/>
  </cols>
  <sheetData>
    <row r="1" spans="1:3" x14ac:dyDescent="0.2">
      <c r="A1" s="21" t="s">
        <v>9</v>
      </c>
      <c r="B1" s="21"/>
      <c r="C1" s="21"/>
    </row>
    <row r="2" spans="1:3" ht="19.5" customHeight="1" x14ac:dyDescent="0.2">
      <c r="A2" s="1" t="s">
        <v>0</v>
      </c>
      <c r="B2" s="6" t="s">
        <v>1</v>
      </c>
    </row>
    <row r="3" spans="1:3" ht="19.5" customHeight="1" x14ac:dyDescent="0.3">
      <c r="A3" s="1" t="s">
        <v>42</v>
      </c>
      <c r="B3" s="5">
        <v>3020</v>
      </c>
      <c r="C3" s="1" t="s">
        <v>2</v>
      </c>
    </row>
    <row r="4" spans="1:3" ht="19.5" customHeight="1" x14ac:dyDescent="0.2">
      <c r="A4" s="1" t="s">
        <v>3</v>
      </c>
      <c r="B4" s="7">
        <v>10000</v>
      </c>
      <c r="C4" s="1" t="s">
        <v>4</v>
      </c>
    </row>
    <row r="5" spans="1:3" ht="19.5" customHeight="1" x14ac:dyDescent="0.2">
      <c r="A5" s="1" t="s">
        <v>5</v>
      </c>
      <c r="B5" s="5">
        <f>+B4*B3</f>
        <v>30200000</v>
      </c>
    </row>
    <row r="6" spans="1:3" ht="19.5" customHeight="1" x14ac:dyDescent="0.2">
      <c r="A6" s="1" t="s">
        <v>6</v>
      </c>
      <c r="B6" s="8">
        <v>0.02</v>
      </c>
    </row>
    <row r="7" spans="1:3" ht="19.5" customHeight="1" x14ac:dyDescent="0.3">
      <c r="A7" s="1" t="s">
        <v>43</v>
      </c>
      <c r="B7" s="4">
        <f>+B3*(1+B6)</f>
        <v>3080.4</v>
      </c>
    </row>
    <row r="8" spans="1:3" ht="19.5" customHeight="1" x14ac:dyDescent="0.2">
      <c r="A8" s="1" t="s">
        <v>7</v>
      </c>
      <c r="B8" s="5">
        <f>+B7*B4</f>
        <v>30804000</v>
      </c>
    </row>
    <row r="9" spans="1:3" ht="19.5" customHeight="1" x14ac:dyDescent="0.2">
      <c r="A9" s="1" t="s">
        <v>10</v>
      </c>
      <c r="B9" s="5">
        <f>+B8-B5</f>
        <v>604000</v>
      </c>
    </row>
    <row r="10" spans="1:3" ht="19.5" customHeight="1" x14ac:dyDescent="0.2">
      <c r="A10" s="1" t="s">
        <v>8</v>
      </c>
      <c r="B10" s="2">
        <f>+B9/B5</f>
        <v>0.02</v>
      </c>
    </row>
    <row r="11" spans="1:3" ht="19.5" customHeight="1" x14ac:dyDescent="0.2">
      <c r="A11" s="1" t="s">
        <v>8</v>
      </c>
      <c r="B11" s="2">
        <f>+B8/B5-1</f>
        <v>2.0000000000000018E-2</v>
      </c>
    </row>
    <row r="12" spans="1:3" ht="19.5" customHeight="1" x14ac:dyDescent="0.2"/>
    <row r="13" spans="1:3" ht="19.5" customHeight="1" x14ac:dyDescent="0.2">
      <c r="A13" s="21" t="s">
        <v>61</v>
      </c>
      <c r="B13" s="21"/>
      <c r="C13" s="21"/>
    </row>
    <row r="14" spans="1:3" ht="19.5" customHeight="1" x14ac:dyDescent="0.3">
      <c r="A14" s="1" t="s">
        <v>44</v>
      </c>
      <c r="B14" s="5">
        <v>3049</v>
      </c>
      <c r="C14" s="1" t="s">
        <v>11</v>
      </c>
    </row>
    <row r="15" spans="1:3" ht="19.5" customHeight="1" x14ac:dyDescent="0.3">
      <c r="A15" s="1" t="s">
        <v>58</v>
      </c>
      <c r="B15" s="7">
        <v>10000</v>
      </c>
      <c r="C15" s="1" t="s">
        <v>4</v>
      </c>
    </row>
    <row r="16" spans="1:3" ht="19.5" customHeight="1" x14ac:dyDescent="0.2">
      <c r="A16" s="1" t="s">
        <v>16</v>
      </c>
      <c r="B16" s="7" t="s">
        <v>17</v>
      </c>
    </row>
    <row r="17" spans="1:3" ht="19.5" customHeight="1" x14ac:dyDescent="0.2">
      <c r="A17" s="1" t="s">
        <v>12</v>
      </c>
      <c r="B17" s="5">
        <f>+B14*B15</f>
        <v>30490000</v>
      </c>
    </row>
    <row r="18" spans="1:3" ht="19.5" customHeight="1" x14ac:dyDescent="0.2">
      <c r="A18" s="1" t="s">
        <v>47</v>
      </c>
      <c r="B18" s="9">
        <v>0.129</v>
      </c>
      <c r="C18" s="1" t="s">
        <v>14</v>
      </c>
    </row>
    <row r="19" spans="1:3" ht="19.5" customHeight="1" x14ac:dyDescent="0.2">
      <c r="A19" s="1" t="s">
        <v>19</v>
      </c>
      <c r="B19" s="5">
        <f>+B18*B17</f>
        <v>3933210</v>
      </c>
    </row>
    <row r="20" spans="1:3" ht="19.5" customHeight="1" x14ac:dyDescent="0.2">
      <c r="A20" s="1" t="s">
        <v>15</v>
      </c>
      <c r="B20" s="3">
        <f>1/B18</f>
        <v>7.7519379844961236</v>
      </c>
      <c r="C20" s="1" t="s">
        <v>20</v>
      </c>
    </row>
    <row r="21" spans="1:3" ht="19.5" customHeight="1" x14ac:dyDescent="0.2">
      <c r="A21" s="1" t="s">
        <v>6</v>
      </c>
      <c r="B21" s="8">
        <v>0.02</v>
      </c>
    </row>
    <row r="22" spans="1:3" ht="19.5" customHeight="1" x14ac:dyDescent="0.3">
      <c r="A22" s="1" t="s">
        <v>56</v>
      </c>
      <c r="B22" s="4">
        <f>+B14*(1+B21)</f>
        <v>3109.98</v>
      </c>
    </row>
    <row r="23" spans="1:3" ht="19.5" customHeight="1" x14ac:dyDescent="0.2">
      <c r="A23" s="1" t="s">
        <v>18</v>
      </c>
      <c r="B23" s="5">
        <f>+(B22-B14)*B15</f>
        <v>609800.00000000023</v>
      </c>
    </row>
    <row r="24" spans="1:3" ht="19.5" customHeight="1" x14ac:dyDescent="0.2">
      <c r="A24" s="1" t="s">
        <v>8</v>
      </c>
      <c r="B24" s="9">
        <f>+B23/B19</f>
        <v>0.15503875968992253</v>
      </c>
    </row>
    <row r="25" spans="1:3" ht="19.5" customHeight="1" x14ac:dyDescent="0.2">
      <c r="A25" s="1" t="s">
        <v>8</v>
      </c>
      <c r="B25" s="9">
        <f>+B21*B20</f>
        <v>0.15503875968992248</v>
      </c>
    </row>
    <row r="26" spans="1:3" ht="19.5" customHeight="1" x14ac:dyDescent="0.2"/>
  </sheetData>
  <mergeCells count="2">
    <mergeCell ref="A1:C1"/>
    <mergeCell ref="A13:C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F606-6E2A-41DC-AB62-D933B77ACF24}">
  <dimension ref="A1:C13"/>
  <sheetViews>
    <sheetView showGridLines="0" zoomScale="200" zoomScaleNormal="200" workbookViewId="0">
      <selection sqref="A1:C1"/>
    </sheetView>
  </sheetViews>
  <sheetFormatPr baseColWidth="10" defaultRowHeight="14.25" x14ac:dyDescent="0.2"/>
  <cols>
    <col min="1" max="1" width="26.28515625" style="1" customWidth="1"/>
    <col min="2" max="2" width="16.85546875" style="6" customWidth="1"/>
    <col min="3" max="16384" width="11.42578125" style="1"/>
  </cols>
  <sheetData>
    <row r="1" spans="1:3" x14ac:dyDescent="0.2">
      <c r="A1" s="21" t="s">
        <v>21</v>
      </c>
      <c r="B1" s="21"/>
      <c r="C1" s="21"/>
    </row>
    <row r="2" spans="1:3" ht="17.25" customHeight="1" x14ac:dyDescent="0.2">
      <c r="A2" s="1" t="s">
        <v>16</v>
      </c>
      <c r="B2" s="6" t="s">
        <v>17</v>
      </c>
    </row>
    <row r="3" spans="1:3" ht="17.25" customHeight="1" x14ac:dyDescent="0.2">
      <c r="A3" s="1" t="s">
        <v>30</v>
      </c>
      <c r="B3" s="7">
        <v>50000</v>
      </c>
      <c r="C3" s="1" t="s">
        <v>25</v>
      </c>
    </row>
    <row r="4" spans="1:3" ht="17.25" customHeight="1" x14ac:dyDescent="0.2">
      <c r="A4" s="1" t="s">
        <v>29</v>
      </c>
      <c r="B4" s="6">
        <v>1</v>
      </c>
    </row>
    <row r="5" spans="1:3" ht="17.25" customHeight="1" x14ac:dyDescent="0.3">
      <c r="A5" s="1" t="s">
        <v>45</v>
      </c>
      <c r="B5" s="5">
        <v>3200</v>
      </c>
    </row>
    <row r="6" spans="1:3" ht="17.25" customHeight="1" x14ac:dyDescent="0.3">
      <c r="A6" s="1" t="s">
        <v>58</v>
      </c>
      <c r="B6" s="7">
        <f>+B4*B3</f>
        <v>50000</v>
      </c>
    </row>
    <row r="7" spans="1:3" ht="17.25" customHeight="1" x14ac:dyDescent="0.2">
      <c r="A7" s="1" t="s">
        <v>12</v>
      </c>
      <c r="B7" s="5">
        <f>+B5*B6</f>
        <v>160000000</v>
      </c>
    </row>
    <row r="8" spans="1:3" ht="17.25" customHeight="1" x14ac:dyDescent="0.2">
      <c r="A8" s="1" t="s">
        <v>47</v>
      </c>
      <c r="B8" s="9">
        <v>5.2999999999999999E-2</v>
      </c>
      <c r="C8" s="1" t="s">
        <v>27</v>
      </c>
    </row>
    <row r="9" spans="1:3" ht="17.25" customHeight="1" x14ac:dyDescent="0.2">
      <c r="A9" s="1" t="s">
        <v>48</v>
      </c>
      <c r="B9" s="5">
        <f>+B8*B7</f>
        <v>8480000</v>
      </c>
    </row>
    <row r="10" spans="1:3" ht="17.25" customHeight="1" x14ac:dyDescent="0.3">
      <c r="A10" s="1" t="s">
        <v>46</v>
      </c>
      <c r="B10" s="4">
        <f>+B5*1.01</f>
        <v>3232</v>
      </c>
      <c r="C10" s="1" t="s">
        <v>49</v>
      </c>
    </row>
    <row r="11" spans="1:3" ht="17.25" customHeight="1" x14ac:dyDescent="0.2">
      <c r="A11" s="1" t="s">
        <v>18</v>
      </c>
      <c r="B11" s="5">
        <f>+(B10-B5)*B6</f>
        <v>1600000</v>
      </c>
      <c r="C11" s="1" t="s">
        <v>10</v>
      </c>
    </row>
    <row r="12" spans="1:3" ht="17.25" customHeight="1" x14ac:dyDescent="0.2">
      <c r="A12" s="1" t="s">
        <v>8</v>
      </c>
      <c r="B12" s="15">
        <f>+B11/B9</f>
        <v>0.18867924528301888</v>
      </c>
    </row>
    <row r="13" spans="1:3" ht="17.25" customHeight="1" x14ac:dyDescent="0.2">
      <c r="A13" s="1" t="s">
        <v>15</v>
      </c>
      <c r="B13" s="3">
        <f>1/B8</f>
        <v>18.867924528301888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showGridLines="0" zoomScale="200" zoomScaleNormal="200" workbookViewId="0">
      <selection sqref="A1:C1"/>
    </sheetView>
  </sheetViews>
  <sheetFormatPr baseColWidth="10" defaultRowHeight="14.25" x14ac:dyDescent="0.2"/>
  <cols>
    <col min="1" max="1" width="29.42578125" style="1" customWidth="1"/>
    <col min="2" max="2" width="16.28515625" style="6" bestFit="1" customWidth="1"/>
    <col min="3" max="3" width="14" style="1" bestFit="1" customWidth="1"/>
    <col min="4" max="16384" width="11.42578125" style="1"/>
  </cols>
  <sheetData>
    <row r="1" spans="1:4" x14ac:dyDescent="0.2">
      <c r="A1" s="21" t="s">
        <v>21</v>
      </c>
      <c r="B1" s="21"/>
      <c r="C1" s="21"/>
    </row>
    <row r="2" spans="1:4" ht="18" customHeight="1" x14ac:dyDescent="0.2">
      <c r="A2" s="1" t="s">
        <v>16</v>
      </c>
      <c r="B2" s="6" t="s">
        <v>17</v>
      </c>
    </row>
    <row r="3" spans="1:4" ht="18" customHeight="1" x14ac:dyDescent="0.3">
      <c r="A3" s="1" t="s">
        <v>45</v>
      </c>
      <c r="B3" s="10">
        <v>3195.1</v>
      </c>
    </row>
    <row r="4" spans="1:4" ht="18" customHeight="1" x14ac:dyDescent="0.2">
      <c r="A4" s="1" t="s">
        <v>22</v>
      </c>
      <c r="B4" s="11">
        <v>0.01</v>
      </c>
    </row>
    <row r="5" spans="1:4" ht="18" customHeight="1" x14ac:dyDescent="0.2">
      <c r="A5" s="1" t="s">
        <v>23</v>
      </c>
      <c r="B5" s="6">
        <v>1</v>
      </c>
    </row>
    <row r="6" spans="1:4" ht="18" customHeight="1" x14ac:dyDescent="0.2">
      <c r="A6" s="1" t="s">
        <v>24</v>
      </c>
      <c r="B6" s="7">
        <v>50000</v>
      </c>
      <c r="C6" s="1" t="s">
        <v>25</v>
      </c>
    </row>
    <row r="7" spans="1:4" ht="18" customHeight="1" x14ac:dyDescent="0.2">
      <c r="A7" s="1" t="s">
        <v>12</v>
      </c>
      <c r="B7" s="5">
        <f>+B6*B5*B3</f>
        <v>159755000</v>
      </c>
      <c r="C7" s="1" t="s">
        <v>26</v>
      </c>
    </row>
    <row r="8" spans="1:4" ht="18" customHeight="1" x14ac:dyDescent="0.2">
      <c r="A8" s="1" t="s">
        <v>47</v>
      </c>
      <c r="B8" s="9">
        <v>5.2999999999999999E-2</v>
      </c>
      <c r="C8" s="1" t="s">
        <v>27</v>
      </c>
    </row>
    <row r="9" spans="1:4" ht="18" customHeight="1" x14ac:dyDescent="0.2">
      <c r="A9" s="1" t="s">
        <v>5</v>
      </c>
      <c r="B9" s="5">
        <f>+B8*B7</f>
        <v>8467015</v>
      </c>
      <c r="C9" s="1" t="s">
        <v>26</v>
      </c>
    </row>
    <row r="10" spans="1:4" ht="18" customHeight="1" x14ac:dyDescent="0.2">
      <c r="A10" s="1" t="s">
        <v>6</v>
      </c>
      <c r="B10" s="6" t="s">
        <v>28</v>
      </c>
    </row>
    <row r="11" spans="1:4" ht="18" customHeight="1" x14ac:dyDescent="0.3">
      <c r="A11" s="1" t="s">
        <v>46</v>
      </c>
      <c r="B11" s="11">
        <f>+B3+B4</f>
        <v>3195.11</v>
      </c>
    </row>
    <row r="12" spans="1:4" ht="18" customHeight="1" x14ac:dyDescent="0.2">
      <c r="A12" s="1" t="s">
        <v>18</v>
      </c>
      <c r="B12" s="5">
        <f>+(B11-B3)*B6*B5</f>
        <v>500.00000001091394</v>
      </c>
    </row>
    <row r="13" spans="1:4" ht="18" customHeight="1" x14ac:dyDescent="0.2">
      <c r="A13" s="1" t="s">
        <v>8</v>
      </c>
      <c r="B13" s="12">
        <f>+B12/B9</f>
        <v>5.9052688581621026E-5</v>
      </c>
    </row>
    <row r="15" spans="1:4" x14ac:dyDescent="0.2">
      <c r="A15" s="1" t="s">
        <v>51</v>
      </c>
      <c r="B15" s="9">
        <v>3.0000000000000001E-3</v>
      </c>
      <c r="C15" s="1" t="s">
        <v>27</v>
      </c>
      <c r="D15" s="11"/>
    </row>
    <row r="16" spans="1:4" x14ac:dyDescent="0.2">
      <c r="B16" s="5"/>
      <c r="D16" s="11"/>
    </row>
    <row r="17" spans="1:4" x14ac:dyDescent="0.2">
      <c r="A17" s="1" t="s">
        <v>52</v>
      </c>
      <c r="B17" s="20">
        <f>+B15*B7</f>
        <v>479265</v>
      </c>
      <c r="D17" s="11"/>
    </row>
    <row r="18" spans="1:4" x14ac:dyDescent="0.2">
      <c r="A18" s="1" t="s">
        <v>53</v>
      </c>
      <c r="B18" s="5">
        <f>+B17*0.19</f>
        <v>91060.35</v>
      </c>
      <c r="D18" s="11"/>
    </row>
    <row r="19" spans="1:4" x14ac:dyDescent="0.2">
      <c r="A19" s="1" t="s">
        <v>54</v>
      </c>
      <c r="B19" s="20">
        <f>+B15*B11*B5*B6</f>
        <v>479266.50000000006</v>
      </c>
    </row>
    <row r="20" spans="1:4" x14ac:dyDescent="0.2">
      <c r="A20" s="1" t="s">
        <v>53</v>
      </c>
      <c r="B20" s="5">
        <f>+B19*0.19</f>
        <v>91060.635000000009</v>
      </c>
    </row>
    <row r="21" spans="1:4" x14ac:dyDescent="0.2">
      <c r="A21" s="14" t="s">
        <v>55</v>
      </c>
      <c r="B21" s="19">
        <f>SUM(B17:B20)</f>
        <v>1140652.4850000001</v>
      </c>
    </row>
  </sheetData>
  <mergeCells count="1">
    <mergeCell ref="A1:C1"/>
  </mergeCells>
  <pageMargins left="0.7" right="0.7" top="0.75" bottom="0.75" header="0.3" footer="0.3"/>
  <ignoredErrors>
    <ignoredError sqref="B19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B687-4B2C-4A5E-A391-976B3FF6F94C}">
  <dimension ref="A1:C13"/>
  <sheetViews>
    <sheetView showGridLines="0" zoomScale="200" zoomScaleNormal="200" workbookViewId="0">
      <selection sqref="A1:C1"/>
    </sheetView>
  </sheetViews>
  <sheetFormatPr baseColWidth="10" defaultRowHeight="14.25" x14ac:dyDescent="0.2"/>
  <cols>
    <col min="1" max="1" width="26.28515625" style="1" customWidth="1"/>
    <col min="2" max="2" width="16.85546875" style="6" customWidth="1"/>
    <col min="3" max="16384" width="11.42578125" style="1"/>
  </cols>
  <sheetData>
    <row r="1" spans="1:3" x14ac:dyDescent="0.2">
      <c r="A1" s="21" t="s">
        <v>21</v>
      </c>
      <c r="B1" s="21"/>
      <c r="C1" s="21"/>
    </row>
    <row r="2" spans="1:3" ht="17.25" customHeight="1" x14ac:dyDescent="0.2">
      <c r="A2" s="1" t="s">
        <v>16</v>
      </c>
      <c r="B2" s="6" t="s">
        <v>31</v>
      </c>
    </row>
    <row r="3" spans="1:3" ht="17.25" customHeight="1" x14ac:dyDescent="0.2">
      <c r="A3" s="1" t="s">
        <v>30</v>
      </c>
      <c r="B3" s="7">
        <v>50000</v>
      </c>
      <c r="C3" s="1" t="s">
        <v>25</v>
      </c>
    </row>
    <row r="4" spans="1:3" ht="17.25" customHeight="1" x14ac:dyDescent="0.2">
      <c r="A4" s="1" t="s">
        <v>29</v>
      </c>
      <c r="B4" s="6">
        <v>15</v>
      </c>
    </row>
    <row r="5" spans="1:3" ht="17.25" customHeight="1" x14ac:dyDescent="0.3">
      <c r="A5" s="1" t="s">
        <v>45</v>
      </c>
      <c r="B5" s="5">
        <v>3500</v>
      </c>
    </row>
    <row r="6" spans="1:3" ht="17.25" customHeight="1" x14ac:dyDescent="0.3">
      <c r="A6" s="1" t="s">
        <v>58</v>
      </c>
      <c r="B6" s="7">
        <f>+B4*B3</f>
        <v>750000</v>
      </c>
    </row>
    <row r="7" spans="1:3" ht="17.25" customHeight="1" x14ac:dyDescent="0.2">
      <c r="A7" s="1" t="s">
        <v>12</v>
      </c>
      <c r="B7" s="5">
        <f>+B5*B6</f>
        <v>2625000000</v>
      </c>
    </row>
    <row r="8" spans="1:3" ht="17.25" customHeight="1" x14ac:dyDescent="0.2">
      <c r="A8" s="1" t="s">
        <v>47</v>
      </c>
      <c r="B8" s="9">
        <v>5.2999999999999999E-2</v>
      </c>
      <c r="C8" s="1" t="s">
        <v>27</v>
      </c>
    </row>
    <row r="9" spans="1:3" ht="17.25" customHeight="1" x14ac:dyDescent="0.2">
      <c r="A9" s="1" t="s">
        <v>48</v>
      </c>
      <c r="B9" s="5">
        <f>+B8*B7</f>
        <v>139125000</v>
      </c>
    </row>
    <row r="10" spans="1:3" ht="17.25" customHeight="1" x14ac:dyDescent="0.3">
      <c r="A10" s="1" t="s">
        <v>46</v>
      </c>
      <c r="B10" s="4">
        <v>3700</v>
      </c>
    </row>
    <row r="11" spans="1:3" ht="17.25" customHeight="1" x14ac:dyDescent="0.2">
      <c r="A11" s="1" t="s">
        <v>18</v>
      </c>
      <c r="B11" s="5">
        <f>+(B5-B10)*B6</f>
        <v>-150000000</v>
      </c>
      <c r="C11" s="1" t="s">
        <v>57</v>
      </c>
    </row>
    <row r="12" spans="1:3" ht="17.25" customHeight="1" x14ac:dyDescent="0.2">
      <c r="A12" s="1" t="s">
        <v>8</v>
      </c>
      <c r="B12" s="15">
        <f>+B11/B9</f>
        <v>-1.0781671159029649</v>
      </c>
    </row>
    <row r="13" spans="1:3" ht="17.25" customHeight="1" x14ac:dyDescent="0.2">
      <c r="A13" s="1" t="s">
        <v>15</v>
      </c>
      <c r="B13" s="3">
        <f>1/B8</f>
        <v>18.867924528301888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2C93-28D5-477F-BBAA-7857728A409F}">
  <dimension ref="A1:C12"/>
  <sheetViews>
    <sheetView showGridLines="0" zoomScale="205" zoomScaleNormal="205" workbookViewId="0">
      <selection sqref="A1:C1"/>
    </sheetView>
  </sheetViews>
  <sheetFormatPr baseColWidth="10" defaultRowHeight="14.25" x14ac:dyDescent="0.2"/>
  <cols>
    <col min="1" max="1" width="30" style="1" customWidth="1"/>
    <col min="2" max="2" width="14.5703125" style="6" bestFit="1" customWidth="1"/>
    <col min="3" max="3" width="11.5703125" style="1" bestFit="1" customWidth="1"/>
    <col min="4" max="16384" width="11.42578125" style="1"/>
  </cols>
  <sheetData>
    <row r="1" spans="1:3" x14ac:dyDescent="0.2">
      <c r="A1" s="21" t="s">
        <v>59</v>
      </c>
      <c r="B1" s="21"/>
      <c r="C1" s="21"/>
    </row>
    <row r="2" spans="1:3" x14ac:dyDescent="0.2">
      <c r="A2" s="1" t="s">
        <v>30</v>
      </c>
      <c r="B2" s="7">
        <v>2500</v>
      </c>
      <c r="C2" s="1" t="s">
        <v>50</v>
      </c>
    </row>
    <row r="3" spans="1:3" ht="17.25" x14ac:dyDescent="0.3">
      <c r="A3" s="1" t="s">
        <v>45</v>
      </c>
      <c r="B3" s="18">
        <v>1562.5</v>
      </c>
    </row>
    <row r="4" spans="1:3" x14ac:dyDescent="0.2">
      <c r="A4" s="1" t="s">
        <v>23</v>
      </c>
      <c r="B4" s="7">
        <v>5</v>
      </c>
    </row>
    <row r="5" spans="1:3" x14ac:dyDescent="0.2">
      <c r="A5" s="1" t="s">
        <v>12</v>
      </c>
      <c r="B5" s="5">
        <f>+B3*B2*B4</f>
        <v>19531250</v>
      </c>
    </row>
    <row r="6" spans="1:3" x14ac:dyDescent="0.2">
      <c r="A6" s="1" t="s">
        <v>47</v>
      </c>
      <c r="B6" s="9">
        <v>6.4000000000000001E-2</v>
      </c>
    </row>
    <row r="7" spans="1:3" x14ac:dyDescent="0.2">
      <c r="A7" s="1" t="s">
        <v>15</v>
      </c>
      <c r="B7" s="6">
        <f>1/B6</f>
        <v>15.625</v>
      </c>
    </row>
    <row r="8" spans="1:3" x14ac:dyDescent="0.2">
      <c r="A8" s="1" t="s">
        <v>48</v>
      </c>
      <c r="B8" s="5">
        <f>+B6*B5</f>
        <v>1250000</v>
      </c>
    </row>
    <row r="9" spans="1:3" x14ac:dyDescent="0.2">
      <c r="A9" s="1" t="s">
        <v>16</v>
      </c>
      <c r="B9" s="6" t="s">
        <v>31</v>
      </c>
    </row>
    <row r="10" spans="1:3" ht="17.25" x14ac:dyDescent="0.3">
      <c r="A10" s="1" t="s">
        <v>46</v>
      </c>
      <c r="B10" s="18">
        <v>1530</v>
      </c>
    </row>
    <row r="11" spans="1:3" x14ac:dyDescent="0.2">
      <c r="A11" s="1" t="s">
        <v>18</v>
      </c>
      <c r="B11" s="5">
        <f>+(B3-B10)*B2*B4</f>
        <v>406250</v>
      </c>
    </row>
    <row r="12" spans="1:3" x14ac:dyDescent="0.2">
      <c r="A12" s="14"/>
      <c r="B12" s="19"/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0097-C652-4C82-A70A-4130A2271730}">
  <dimension ref="A1:C10"/>
  <sheetViews>
    <sheetView showGridLines="0" zoomScale="200" zoomScaleNormal="200" workbookViewId="0">
      <selection sqref="A1:C1"/>
    </sheetView>
  </sheetViews>
  <sheetFormatPr baseColWidth="10" defaultRowHeight="14.25" x14ac:dyDescent="0.2"/>
  <cols>
    <col min="1" max="1" width="18" style="1" customWidth="1"/>
    <col min="2" max="2" width="16.5703125" style="6" bestFit="1" customWidth="1"/>
    <col min="3" max="16384" width="11.42578125" style="1"/>
  </cols>
  <sheetData>
    <row r="1" spans="1:3" x14ac:dyDescent="0.2">
      <c r="A1" s="21" t="s">
        <v>60</v>
      </c>
      <c r="B1" s="21"/>
      <c r="C1" s="21"/>
    </row>
    <row r="2" spans="1:3" ht="16.5" customHeight="1" x14ac:dyDescent="0.3">
      <c r="A2" s="1" t="s">
        <v>45</v>
      </c>
      <c r="B2" s="6">
        <v>119.82</v>
      </c>
    </row>
    <row r="3" spans="1:3" ht="16.5" customHeight="1" x14ac:dyDescent="0.2">
      <c r="A3" s="1" t="s">
        <v>30</v>
      </c>
      <c r="B3" s="5">
        <v>250000000</v>
      </c>
      <c r="C3" s="1" t="s">
        <v>26</v>
      </c>
    </row>
    <row r="4" spans="1:3" ht="16.5" customHeight="1" x14ac:dyDescent="0.2">
      <c r="A4" s="1" t="s">
        <v>16</v>
      </c>
      <c r="B4" s="6" t="s">
        <v>17</v>
      </c>
    </row>
    <row r="5" spans="1:3" ht="16.5" customHeight="1" x14ac:dyDescent="0.2">
      <c r="A5" s="1" t="s">
        <v>29</v>
      </c>
      <c r="B5" s="6">
        <v>4</v>
      </c>
    </row>
    <row r="6" spans="1:3" ht="16.5" customHeight="1" x14ac:dyDescent="0.2">
      <c r="A6" s="1" t="s">
        <v>12</v>
      </c>
      <c r="B6" s="5">
        <f>+B2*B3*B5/100</f>
        <v>1198200000</v>
      </c>
    </row>
    <row r="7" spans="1:3" ht="16.5" customHeight="1" x14ac:dyDescent="0.2">
      <c r="A7" s="1" t="s">
        <v>47</v>
      </c>
      <c r="B7" s="9">
        <v>1.9E-2</v>
      </c>
    </row>
    <row r="8" spans="1:3" ht="16.5" customHeight="1" x14ac:dyDescent="0.2">
      <c r="A8" s="1" t="s">
        <v>48</v>
      </c>
      <c r="B8" s="5">
        <f>+B7*B6</f>
        <v>22765800</v>
      </c>
    </row>
    <row r="9" spans="1:3" ht="16.5" customHeight="1" x14ac:dyDescent="0.3">
      <c r="A9" s="1" t="s">
        <v>46</v>
      </c>
      <c r="B9" s="6">
        <v>118</v>
      </c>
    </row>
    <row r="10" spans="1:3" ht="16.5" customHeight="1" x14ac:dyDescent="0.2">
      <c r="A10" s="1" t="s">
        <v>18</v>
      </c>
      <c r="B10" s="5">
        <f>+(B9-B2)/100*B3*B5</f>
        <v>-18199999.999999933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showGridLines="0" zoomScale="200" zoomScaleNormal="200" workbookViewId="0">
      <selection sqref="A1:D1"/>
    </sheetView>
  </sheetViews>
  <sheetFormatPr baseColWidth="10" defaultRowHeight="14.25" x14ac:dyDescent="0.2"/>
  <cols>
    <col min="1" max="1" width="20.85546875" style="1" bestFit="1" customWidth="1"/>
    <col min="2" max="2" width="9.140625" style="1" customWidth="1"/>
    <col min="3" max="3" width="8.42578125" style="1" customWidth="1"/>
    <col min="4" max="4" width="17.140625" style="1" customWidth="1"/>
    <col min="5" max="5" width="14.85546875" style="1" customWidth="1"/>
    <col min="6" max="6" width="15.140625" style="1" customWidth="1"/>
    <col min="7" max="7" width="15" style="1" customWidth="1"/>
    <col min="8" max="16384" width="11.42578125" style="1"/>
  </cols>
  <sheetData>
    <row r="1" spans="1:7" x14ac:dyDescent="0.2">
      <c r="A1" s="21" t="s">
        <v>36</v>
      </c>
      <c r="B1" s="21"/>
      <c r="C1" s="21"/>
      <c r="D1" s="21"/>
    </row>
    <row r="2" spans="1:7" x14ac:dyDescent="0.2">
      <c r="A2" s="1" t="s">
        <v>16</v>
      </c>
      <c r="B2" s="6" t="s">
        <v>17</v>
      </c>
    </row>
    <row r="3" spans="1:7" x14ac:dyDescent="0.2">
      <c r="A3" s="1" t="s">
        <v>29</v>
      </c>
      <c r="B3" s="6">
        <v>8</v>
      </c>
    </row>
    <row r="4" spans="1:7" x14ac:dyDescent="0.2">
      <c r="A4" s="1" t="s">
        <v>13</v>
      </c>
      <c r="B4" s="7">
        <v>6930</v>
      </c>
      <c r="C4" s="1" t="s">
        <v>37</v>
      </c>
    </row>
    <row r="5" spans="1:7" x14ac:dyDescent="0.2">
      <c r="A5" s="1" t="s">
        <v>32</v>
      </c>
      <c r="B5" s="7">
        <v>6300</v>
      </c>
      <c r="C5" s="1" t="s">
        <v>37</v>
      </c>
    </row>
    <row r="6" spans="1:7" x14ac:dyDescent="0.2">
      <c r="A6" s="1" t="s">
        <v>30</v>
      </c>
      <c r="B6" s="6">
        <v>50</v>
      </c>
      <c r="C6" s="1" t="s">
        <v>41</v>
      </c>
    </row>
    <row r="7" spans="1:7" x14ac:dyDescent="0.2">
      <c r="F7" s="13">
        <f>+B5*B3</f>
        <v>50400</v>
      </c>
    </row>
    <row r="8" spans="1:7" s="6" customFormat="1" ht="22.5" x14ac:dyDescent="0.25">
      <c r="B8" s="16" t="s">
        <v>33</v>
      </c>
      <c r="C8" s="17" t="s">
        <v>38</v>
      </c>
      <c r="D8" s="17" t="s">
        <v>34</v>
      </c>
      <c r="E8" s="17" t="s">
        <v>39</v>
      </c>
      <c r="F8" s="17" t="s">
        <v>40</v>
      </c>
      <c r="G8" s="17" t="s">
        <v>35</v>
      </c>
    </row>
    <row r="9" spans="1:7" ht="23.25" customHeight="1" x14ac:dyDescent="0.2">
      <c r="B9" s="1">
        <v>0</v>
      </c>
      <c r="C9" s="5">
        <v>2900</v>
      </c>
      <c r="D9" s="5">
        <v>0</v>
      </c>
      <c r="E9" s="5">
        <v>0</v>
      </c>
      <c r="F9" s="5">
        <f>+B3*B4</f>
        <v>55440</v>
      </c>
      <c r="G9" s="5"/>
    </row>
    <row r="10" spans="1:7" ht="23.25" customHeight="1" x14ac:dyDescent="0.2">
      <c r="B10" s="1">
        <v>1</v>
      </c>
      <c r="C10" s="5">
        <v>2910</v>
      </c>
      <c r="D10" s="5">
        <f>+(C10-C9)*$B$3*$B$6</f>
        <v>4000</v>
      </c>
      <c r="E10" s="5">
        <f>+(C10-$C$9)*$B$3*$B$6</f>
        <v>4000</v>
      </c>
      <c r="F10" s="5">
        <f>+F9+D10</f>
        <v>59440</v>
      </c>
      <c r="G10" s="5"/>
    </row>
    <row r="11" spans="1:7" ht="23.25" customHeight="1" x14ac:dyDescent="0.2">
      <c r="B11" s="1">
        <v>2</v>
      </c>
      <c r="C11" s="5">
        <v>2845</v>
      </c>
      <c r="D11" s="5">
        <f>+(C11-C10)*$B$3*$B$6</f>
        <v>-26000</v>
      </c>
      <c r="E11" s="5">
        <f>+(C11-$C$9)*$B$3*$B$6</f>
        <v>-22000</v>
      </c>
      <c r="F11" s="5">
        <f>+F10+D11</f>
        <v>33440</v>
      </c>
      <c r="G11" s="5">
        <f>+F9-F11</f>
        <v>22000</v>
      </c>
    </row>
    <row r="12" spans="1:7" ht="23.25" customHeight="1" x14ac:dyDescent="0.2">
      <c r="B12" s="1">
        <v>3</v>
      </c>
      <c r="C12" s="5">
        <v>2850</v>
      </c>
      <c r="D12" s="5">
        <f>+(C12-C11)*$B$3*$B$6</f>
        <v>2000</v>
      </c>
      <c r="E12" s="5">
        <f>+(C12-$C$9)*$B$3*$B$6</f>
        <v>-20000</v>
      </c>
      <c r="F12" s="5">
        <f>+F11+G11+D12</f>
        <v>57440</v>
      </c>
      <c r="G12" s="5"/>
    </row>
    <row r="13" spans="1:7" ht="23.25" customHeight="1" x14ac:dyDescent="0.2">
      <c r="B13" s="1">
        <v>4</v>
      </c>
      <c r="C13" s="5">
        <v>2900</v>
      </c>
      <c r="D13" s="5">
        <f>+(C13-C12)*$B$3*$B$6</f>
        <v>20000</v>
      </c>
      <c r="E13" s="5">
        <f>+(C13-$C$9)*$B$3*$B$6</f>
        <v>0</v>
      </c>
      <c r="F13" s="5">
        <f>+F12+G12+D13</f>
        <v>77440</v>
      </c>
      <c r="G13" s="5"/>
    </row>
    <row r="14" spans="1:7" x14ac:dyDescent="0.2">
      <c r="C14" s="5"/>
      <c r="D14" s="5"/>
      <c r="E14" s="5"/>
      <c r="F14" s="5"/>
      <c r="G14" s="5"/>
    </row>
    <row r="15" spans="1:7" x14ac:dyDescent="0.2">
      <c r="C15" s="5"/>
      <c r="D15" s="5"/>
      <c r="E15" s="5"/>
      <c r="F15" s="5"/>
      <c r="G15" s="5"/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1E08B97-00D7-452D-8CBF-D7D25D45D64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Spot vs Futuros</vt:lpstr>
      <vt:lpstr>Futuro TRM 1</vt:lpstr>
      <vt:lpstr>Futuro TRM 2</vt:lpstr>
      <vt:lpstr>Futuro TRS</vt:lpstr>
      <vt:lpstr>Futuro COS</vt:lpstr>
      <vt:lpstr>Futuro TES</vt:lpstr>
      <vt:lpstr>Llamado al margen CME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MIGUEL JIMÉNEZ</cp:lastModifiedBy>
  <dcterms:created xsi:type="dcterms:W3CDTF">2019-06-22T15:45:14Z</dcterms:created>
  <dcterms:modified xsi:type="dcterms:W3CDTF">2021-04-12T03:27:55Z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64ded397-52b0-4534-a8fa-cd87f1e50f21</vt:lpwstr>
  </property>
</Properties>
</file>