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DERIVADOS FINANCIEROS\CLASES\Opciones\"/>
    </mc:Choice>
  </mc:AlternateContent>
  <xr:revisionPtr revIDLastSave="0" documentId="13_ncr:1_{496DDE6B-11BE-4581-9569-C9281E1890D1}" xr6:coauthVersionLast="46" xr6:coauthVersionMax="46" xr10:uidLastSave="{00000000-0000-0000-0000-000000000000}"/>
  <bookViews>
    <workbookView xWindow="-120" yWindow="-120" windowWidth="29040" windowHeight="15840" xr2:uid="{04782C71-9EF5-45E7-9F04-DD1E48186E05}"/>
  </bookViews>
  <sheets>
    <sheet name="AB europea Activo sin ingresos" sheetId="1" r:id="rId1"/>
    <sheet name="AB American Activo sin ingresos" sheetId="2" r:id="rId2"/>
    <sheet name="BS Activo sin ingresos" sheetId="4" r:id="rId3"/>
    <sheet name="AB europea divisas" sheetId="5" r:id="rId4"/>
    <sheet name="AB Americana divisas" sheetId="7" r:id="rId5"/>
    <sheet name="BS divisas" sheetId="8" r:id="rId6"/>
  </sheets>
  <definedNames>
    <definedName name="d" localSheetId="1">'AB American Activo sin ingresos'!$B$13</definedName>
    <definedName name="d" localSheetId="4">'AB Americana divisas'!$B$13</definedName>
    <definedName name="d" localSheetId="3">'AB europea divisas'!$B$13</definedName>
    <definedName name="d" localSheetId="2">'BS Activo sin ingresos'!#REF!</definedName>
    <definedName name="d" localSheetId="5">'BS divisas'!#REF!</definedName>
    <definedName name="d">'AB europea Activo sin ingresos'!$B$13</definedName>
    <definedName name="d_1" localSheetId="5">'BS divisas'!$B$10</definedName>
    <definedName name="d_1">'BS Activo sin ingresos'!$B$10</definedName>
    <definedName name="d_2" localSheetId="5">'BS divisas'!$B$11</definedName>
    <definedName name="d_2">'BS Activo sin ingresos'!$B$11</definedName>
    <definedName name="deltaT" localSheetId="1">'AB American Activo sin ingresos'!$B$9</definedName>
    <definedName name="deltaT" localSheetId="4">'AB Americana divisas'!$B$9</definedName>
    <definedName name="deltaT" localSheetId="3">'AB europea divisas'!$B$9</definedName>
    <definedName name="deltaT" localSheetId="2">'BS Activo sin ingresos'!#REF!</definedName>
    <definedName name="deltaT" localSheetId="5">'BS divisas'!#REF!</definedName>
    <definedName name="deltaT">'AB europea Activo sin ingresos'!$B$9</definedName>
    <definedName name="K" localSheetId="1">'AB American Activo sin ingresos'!$B$5</definedName>
    <definedName name="K" localSheetId="4">'AB Americana divisas'!$B$5</definedName>
    <definedName name="K" localSheetId="3">'AB europea divisas'!$B$5</definedName>
    <definedName name="K" localSheetId="2">'BS Activo sin ingresos'!$B$5</definedName>
    <definedName name="K" localSheetId="5">'BS divisas'!$B$5</definedName>
    <definedName name="K">'AB europea Activo sin ingresos'!$B$5</definedName>
    <definedName name="p" localSheetId="1">'AB American Activo sin ingresos'!$B$15</definedName>
    <definedName name="p" localSheetId="4">'AB Americana divisas'!$B$15</definedName>
    <definedName name="p" localSheetId="3">'AB europea divisas'!$B$15</definedName>
    <definedName name="p" localSheetId="2">'BS Activo sin ingresos'!#REF!</definedName>
    <definedName name="p" localSheetId="5">'BS divisas'!#REF!</definedName>
    <definedName name="p">'AB europea Activo sin ingresos'!$B$15</definedName>
    <definedName name="q" localSheetId="1">'AB American Activo sin ingresos'!$B$17</definedName>
    <definedName name="q" localSheetId="4">'AB Americana divisas'!$B$17</definedName>
    <definedName name="q" localSheetId="3">'AB europea divisas'!$B$17</definedName>
    <definedName name="q" localSheetId="2">'BS Activo sin ingresos'!#REF!</definedName>
    <definedName name="q" localSheetId="5">'BS divisas'!#REF!</definedName>
    <definedName name="q">'AB europea Activo sin ingresos'!$B$17</definedName>
    <definedName name="rf" localSheetId="4">'AB Americana divisas'!$B$7</definedName>
    <definedName name="rf">'AB europea divisas'!$B$7</definedName>
    <definedName name="risk" localSheetId="1">'AB American Activo sin ingresos'!$B$6</definedName>
    <definedName name="risk" localSheetId="4">'AB Americana divisas'!$B$6</definedName>
    <definedName name="risk" localSheetId="3">'AB europea divisas'!$B$6</definedName>
    <definedName name="risk" localSheetId="2">'BS Activo sin ingresos'!$B$6</definedName>
    <definedName name="risk" localSheetId="5">'BS divisas'!$B$6</definedName>
    <definedName name="risk">'AB europea Activo sin ingresos'!$B$6</definedName>
    <definedName name="S" localSheetId="1">'AB American Activo sin ingresos'!$B$2</definedName>
    <definedName name="S" localSheetId="4">'AB Americana divisas'!$B$2</definedName>
    <definedName name="S" localSheetId="3">'AB europea divisas'!$B$2</definedName>
    <definedName name="S" localSheetId="2">'BS Activo sin ingresos'!$B$2</definedName>
    <definedName name="S" localSheetId="5">'BS divisas'!$B$2</definedName>
    <definedName name="S">'AB europea Activo sin ingresos'!$B$2</definedName>
    <definedName name="T" localSheetId="1">'AB American Activo sin ingresos'!$B$4</definedName>
    <definedName name="T" localSheetId="4">'AB Americana divisas'!$B$4</definedName>
    <definedName name="T" localSheetId="3">'AB europea divisas'!$B$4</definedName>
    <definedName name="T" localSheetId="2">'BS Activo sin ingresos'!$B$4</definedName>
    <definedName name="T" localSheetId="5">'BS divisas'!$B$4</definedName>
    <definedName name="T">'AB europea Activo sin ingresos'!$B$4</definedName>
    <definedName name="u" localSheetId="1">'AB American Activo sin ingresos'!$B$11</definedName>
    <definedName name="u" localSheetId="4">'AB Americana divisas'!$B$11</definedName>
    <definedName name="u" localSheetId="3">'AB europea divisas'!$B$11</definedName>
    <definedName name="u" localSheetId="2">'BS Activo sin ingresos'!#REF!</definedName>
    <definedName name="u" localSheetId="5">'BS divisas'!#REF!</definedName>
    <definedName name="u">'AB europea Activo sin ingresos'!$B$11</definedName>
    <definedName name="vol" localSheetId="1">'AB American Activo sin ingresos'!$B$3</definedName>
    <definedName name="vol" localSheetId="4">'AB Americana divisas'!$B$3</definedName>
    <definedName name="vol" localSheetId="3">'AB europea divisas'!$B$3</definedName>
    <definedName name="vol" localSheetId="2">'BS Activo sin ingresos'!$B$3</definedName>
    <definedName name="vol" localSheetId="5">'BS divisas'!$B$3</definedName>
    <definedName name="vol">'AB europea Activo sin ingresos'!$B$3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8" l="1"/>
  <c r="B17" i="8"/>
  <c r="B10" i="8"/>
  <c r="B11" i="8" s="1"/>
  <c r="B15" i="8" s="1"/>
  <c r="B21" i="8" s="1"/>
  <c r="J27" i="7"/>
  <c r="F27" i="7"/>
  <c r="B23" i="7"/>
  <c r="B25" i="7" s="1"/>
  <c r="B21" i="7"/>
  <c r="J13" i="7"/>
  <c r="F13" i="7"/>
  <c r="B9" i="7"/>
  <c r="J27" i="5"/>
  <c r="F27" i="5"/>
  <c r="B23" i="5"/>
  <c r="B25" i="5" s="1"/>
  <c r="B27" i="5" s="1"/>
  <c r="B21" i="5"/>
  <c r="J13" i="5"/>
  <c r="F13" i="5"/>
  <c r="B9" i="5"/>
  <c r="B11" i="5" s="1"/>
  <c r="B10" i="4"/>
  <c r="B14" i="4" s="1"/>
  <c r="B20" i="4" s="1"/>
  <c r="J27" i="2"/>
  <c r="F27" i="2"/>
  <c r="B21" i="2"/>
  <c r="B23" i="2" s="1"/>
  <c r="J13" i="2"/>
  <c r="F13" i="2"/>
  <c r="B9" i="2"/>
  <c r="J27" i="1"/>
  <c r="F27" i="1"/>
  <c r="B23" i="1"/>
  <c r="B25" i="1" s="1"/>
  <c r="B27" i="1" s="1"/>
  <c r="B29" i="1" s="1"/>
  <c r="B21" i="1"/>
  <c r="J13" i="1"/>
  <c r="F13" i="1"/>
  <c r="B11" i="1"/>
  <c r="B13" i="1" s="1"/>
  <c r="B15" i="1" s="1"/>
  <c r="B17" i="1" s="1"/>
  <c r="B9" i="1"/>
  <c r="B14" i="8" l="1"/>
  <c r="K26" i="7"/>
  <c r="L25" i="7" s="1"/>
  <c r="L26" i="7" s="1"/>
  <c r="G26" i="7"/>
  <c r="H25" i="7" s="1"/>
  <c r="H26" i="7" s="1"/>
  <c r="G28" i="7"/>
  <c r="B27" i="7"/>
  <c r="B29" i="7" s="1"/>
  <c r="K28" i="7"/>
  <c r="B11" i="7"/>
  <c r="G26" i="5"/>
  <c r="H25" i="5" s="1"/>
  <c r="H26" i="5" s="1"/>
  <c r="K26" i="5"/>
  <c r="L25" i="5" s="1"/>
  <c r="L26" i="5" s="1"/>
  <c r="K12" i="5"/>
  <c r="K13" i="5" s="1"/>
  <c r="B13" i="5"/>
  <c r="G12" i="5"/>
  <c r="G13" i="5" s="1"/>
  <c r="K28" i="5"/>
  <c r="B29" i="5"/>
  <c r="G28" i="5"/>
  <c r="B11" i="4"/>
  <c r="B15" i="4" s="1"/>
  <c r="B25" i="2"/>
  <c r="K26" i="2"/>
  <c r="L25" i="2" s="1"/>
  <c r="L26" i="2" s="1"/>
  <c r="G26" i="2"/>
  <c r="H25" i="2" s="1"/>
  <c r="H26" i="2" s="1"/>
  <c r="B11" i="2"/>
  <c r="K28" i="1"/>
  <c r="L27" i="1" s="1"/>
  <c r="L28" i="1" s="1"/>
  <c r="K26" i="1"/>
  <c r="L25" i="1" s="1"/>
  <c r="L26" i="1" s="1"/>
  <c r="G28" i="1"/>
  <c r="H27" i="1" s="1"/>
  <c r="H28" i="1" s="1"/>
  <c r="G26" i="1"/>
  <c r="H25" i="1" s="1"/>
  <c r="H26" i="1" s="1"/>
  <c r="K12" i="1"/>
  <c r="K13" i="1" s="1"/>
  <c r="K14" i="1"/>
  <c r="K15" i="1" s="1"/>
  <c r="G14" i="1"/>
  <c r="G15" i="1" s="1"/>
  <c r="G12" i="1"/>
  <c r="G13" i="1" s="1"/>
  <c r="K27" i="7" l="1"/>
  <c r="B20" i="8"/>
  <c r="B13" i="7"/>
  <c r="K12" i="7"/>
  <c r="K13" i="7" s="1"/>
  <c r="G12" i="7"/>
  <c r="G13" i="7" s="1"/>
  <c r="L27" i="7"/>
  <c r="L28" i="7" s="1"/>
  <c r="K29" i="7" s="1"/>
  <c r="L29" i="7"/>
  <c r="L30" i="7" s="1"/>
  <c r="H29" i="7"/>
  <c r="H30" i="7" s="1"/>
  <c r="H27" i="7"/>
  <c r="H28" i="7" s="1"/>
  <c r="G29" i="7" s="1"/>
  <c r="B15" i="5"/>
  <c r="B17" i="4"/>
  <c r="B21" i="4"/>
  <c r="B23" i="4" s="1"/>
  <c r="H29" i="5"/>
  <c r="H30" i="5" s="1"/>
  <c r="H27" i="5"/>
  <c r="H28" i="5" s="1"/>
  <c r="G29" i="5" s="1"/>
  <c r="L27" i="5"/>
  <c r="L28" i="5" s="1"/>
  <c r="L29" i="5"/>
  <c r="L30" i="5" s="1"/>
  <c r="G14" i="5"/>
  <c r="G15" i="5" s="1"/>
  <c r="K14" i="5"/>
  <c r="K15" i="5" s="1"/>
  <c r="K12" i="2"/>
  <c r="K13" i="2" s="1"/>
  <c r="G12" i="2"/>
  <c r="G13" i="2" s="1"/>
  <c r="B13" i="2"/>
  <c r="B27" i="2"/>
  <c r="B29" i="2" s="1"/>
  <c r="G28" i="2"/>
  <c r="K28" i="2"/>
  <c r="K27" i="1"/>
  <c r="L29" i="1"/>
  <c r="L30" i="1" s="1"/>
  <c r="K29" i="1" s="1"/>
  <c r="G27" i="1"/>
  <c r="F14" i="1"/>
  <c r="J14" i="1"/>
  <c r="H29" i="1"/>
  <c r="H30" i="1" s="1"/>
  <c r="G29" i="1" s="1"/>
  <c r="J28" i="7" l="1"/>
  <c r="G27" i="7"/>
  <c r="F28" i="7" s="1"/>
  <c r="G14" i="7"/>
  <c r="G15" i="7" s="1"/>
  <c r="K14" i="7"/>
  <c r="K15" i="7" s="1"/>
  <c r="B15" i="7"/>
  <c r="B17" i="7" s="1"/>
  <c r="B17" i="5"/>
  <c r="F14" i="5" s="1"/>
  <c r="G27" i="5"/>
  <c r="F28" i="5" s="1"/>
  <c r="K29" i="5"/>
  <c r="K27" i="5"/>
  <c r="L27" i="2"/>
  <c r="L28" i="2" s="1"/>
  <c r="L29" i="2"/>
  <c r="L30" i="2" s="1"/>
  <c r="H29" i="2"/>
  <c r="H30" i="2" s="1"/>
  <c r="H27" i="2"/>
  <c r="H28" i="2" s="1"/>
  <c r="G14" i="2"/>
  <c r="G15" i="2" s="1"/>
  <c r="K14" i="2"/>
  <c r="K15" i="2" s="1"/>
  <c r="B15" i="2"/>
  <c r="B17" i="2" s="1"/>
  <c r="J28" i="1"/>
  <c r="F28" i="1"/>
  <c r="F14" i="7" l="1"/>
  <c r="J14" i="5"/>
  <c r="J14" i="7"/>
  <c r="J28" i="5"/>
  <c r="G29" i="2"/>
  <c r="K29" i="2"/>
  <c r="F14" i="2"/>
  <c r="G27" i="2"/>
  <c r="K27" i="2"/>
  <c r="J14" i="2"/>
  <c r="J28" i="2" l="1"/>
  <c r="F28" i="2"/>
</calcChain>
</file>

<file path=xl/sharedStrings.xml><?xml version="1.0" encoding="utf-8"?>
<sst xmlns="http://schemas.openxmlformats.org/spreadsheetml/2006/main" count="216" uniqueCount="43">
  <si>
    <t>Volatilidad</t>
  </si>
  <si>
    <t>Anual</t>
  </si>
  <si>
    <t>T</t>
  </si>
  <si>
    <t>meses</t>
  </si>
  <si>
    <t>K</t>
  </si>
  <si>
    <t>r (6 meses)</t>
  </si>
  <si>
    <t>C.C.A.</t>
  </si>
  <si>
    <t>DeltaT</t>
  </si>
  <si>
    <t>6 meses</t>
  </si>
  <si>
    <t>u</t>
  </si>
  <si>
    <t>d</t>
  </si>
  <si>
    <t>p</t>
  </si>
  <si>
    <t>q</t>
  </si>
  <si>
    <t>t = 0</t>
  </si>
  <si>
    <t>T = 0,5 años</t>
  </si>
  <si>
    <t>Call</t>
  </si>
  <si>
    <t>Put</t>
  </si>
  <si>
    <t>1 paso:</t>
  </si>
  <si>
    <t>2 pasos:</t>
  </si>
  <si>
    <t>3 meses</t>
  </si>
  <si>
    <t>t = 0,25 años</t>
  </si>
  <si>
    <t>Call europea:</t>
  </si>
  <si>
    <t>Put europea:</t>
  </si>
  <si>
    <t>Resultado con 500 pasos:</t>
  </si>
  <si>
    <t>Call europea</t>
  </si>
  <si>
    <t>Put europea</t>
  </si>
  <si>
    <r>
      <t>S</t>
    </r>
    <r>
      <rPr>
        <vertAlign val="subscript"/>
        <sz val="11"/>
        <color theme="1"/>
        <rFont val="Tahoma"/>
        <family val="2"/>
      </rPr>
      <t>0</t>
    </r>
  </si>
  <si>
    <t>Activo sin ingresos</t>
  </si>
  <si>
    <t>10 pasos:</t>
  </si>
  <si>
    <r>
      <t>d</t>
    </r>
    <r>
      <rPr>
        <vertAlign val="subscript"/>
        <sz val="11"/>
        <color theme="1"/>
        <rFont val="Tahoma"/>
        <family val="2"/>
      </rPr>
      <t>1</t>
    </r>
  </si>
  <si>
    <r>
      <t>d</t>
    </r>
    <r>
      <rPr>
        <vertAlign val="subscript"/>
        <sz val="11"/>
        <color theme="1"/>
        <rFont val="Tahoma"/>
        <family val="2"/>
      </rPr>
      <t>2</t>
    </r>
  </si>
  <si>
    <r>
      <t>N(d</t>
    </r>
    <r>
      <rPr>
        <vertAlign val="subscript"/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)</t>
    </r>
  </si>
  <si>
    <r>
      <t>N(d</t>
    </r>
    <r>
      <rPr>
        <vertAlign val="subscript"/>
        <sz val="11"/>
        <color theme="1"/>
        <rFont val="Tahoma"/>
        <family val="2"/>
      </rPr>
      <t>2</t>
    </r>
    <r>
      <rPr>
        <sz val="11"/>
        <color theme="1"/>
        <rFont val="Tahoma"/>
        <family val="2"/>
      </rPr>
      <t>)</t>
    </r>
  </si>
  <si>
    <r>
      <t>N(-d</t>
    </r>
    <r>
      <rPr>
        <vertAlign val="subscript"/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)</t>
    </r>
  </si>
  <si>
    <r>
      <t>N(-d</t>
    </r>
    <r>
      <rPr>
        <vertAlign val="subscript"/>
        <sz val="11"/>
        <color theme="1"/>
        <rFont val="Tahoma"/>
        <family val="2"/>
      </rPr>
      <t>2</t>
    </r>
    <r>
      <rPr>
        <sz val="11"/>
        <color theme="1"/>
        <rFont val="Tahoma"/>
        <family val="2"/>
      </rPr>
      <t>)</t>
    </r>
  </si>
  <si>
    <t>Probabilidad de ejercer la Call</t>
  </si>
  <si>
    <t>Probabilidad de ejercer la Put</t>
  </si>
  <si>
    <r>
      <t>r</t>
    </r>
    <r>
      <rPr>
        <vertAlign val="subscript"/>
        <sz val="11"/>
        <color theme="9" tint="-0.499984740745262"/>
        <rFont val="Tahoma"/>
        <family val="2"/>
      </rPr>
      <t>f</t>
    </r>
    <r>
      <rPr>
        <sz val="11"/>
        <color theme="9" tint="-0.499984740745262"/>
        <rFont val="Tahoma"/>
        <family val="2"/>
      </rPr>
      <t xml:space="preserve"> (6 meses)</t>
    </r>
  </si>
  <si>
    <t>Divisas</t>
  </si>
  <si>
    <t>Call Americana:</t>
  </si>
  <si>
    <t>Put Americana:</t>
  </si>
  <si>
    <t>Call Americana</t>
  </si>
  <si>
    <t>Put Americana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</si>
</sst>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1"/>
      <name val="Tahoma"/>
      <family val="2"/>
    </font>
    <font>
      <sz val="11"/>
      <color theme="9" tint="-0.499984740745262"/>
      <name val="Tahoma"/>
      <family val="2"/>
    </font>
    <font>
      <vertAlign val="subscript"/>
      <sz val="11"/>
      <color theme="9" tint="-0.49998474074526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center" vertical="center"/>
    </xf>
    <xf numFmtId="8" fontId="4" fillId="0" borderId="0" xfId="0" applyNumberFormat="1" applyFont="1"/>
    <xf numFmtId="6" fontId="4" fillId="0" borderId="0" xfId="0" applyNumberFormat="1" applyFont="1"/>
    <xf numFmtId="0" fontId="3" fillId="0" borderId="0" xfId="0" applyFont="1" applyAlignment="1"/>
    <xf numFmtId="0" fontId="3" fillId="0" borderId="1" xfId="0" applyFont="1" applyBorder="1" applyAlignment="1"/>
    <xf numFmtId="8" fontId="5" fillId="0" borderId="0" xfId="0" applyNumberFormat="1" applyFont="1"/>
    <xf numFmtId="8" fontId="5" fillId="2" borderId="0" xfId="0" applyNumberFormat="1" applyFont="1" applyFill="1"/>
    <xf numFmtId="8" fontId="1" fillId="0" borderId="0" xfId="0" applyNumberFormat="1" applyFont="1"/>
    <xf numFmtId="8" fontId="5" fillId="2" borderId="0" xfId="0" applyNumberFormat="1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261257</xdr:colOff>
      <xdr:row>9</xdr:row>
      <xdr:rowOff>149040</xdr:rowOff>
    </xdr:from>
    <xdr:to>
      <xdr:col>3</xdr:col>
      <xdr:colOff>410089</xdr:colOff>
      <xdr:row>10</xdr:row>
      <xdr:rowOff>177703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3501C7-F35B-4AE0-83D9-25462D1E4551}"/>
                </a:ext>
              </a:extLst>
            </xdr:cNvPr>
            <xdr:cNvSpPr txBox="1"/>
          </xdr:nvSpPr>
          <xdr:spPr>
            <a:xfrm>
              <a:off x="1785257" y="1711140"/>
              <a:ext cx="91083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3501C7-F35B-4AE0-83D9-25462D1E4551}"/>
                </a:ext>
              </a:extLst>
            </xdr:cNvPr>
            <xdr:cNvSpPr txBox="1"/>
          </xdr:nvSpPr>
          <xdr:spPr>
            <a:xfrm>
              <a:off x="1785257" y="1711140"/>
              <a:ext cx="91083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𝑢=𝑒^(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𝜎√∆𝑡)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239484</xdr:colOff>
      <xdr:row>11</xdr:row>
      <xdr:rowOff>61716</xdr:rowOff>
    </xdr:from>
    <xdr:to>
      <xdr:col>3</xdr:col>
      <xdr:colOff>116657</xdr:colOff>
      <xdr:row>13</xdr:row>
      <xdr:rowOff>27606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08F9C8C-C8F4-4D5F-8624-57871F70DD31}"/>
                </a:ext>
              </a:extLst>
            </xdr:cNvPr>
            <xdr:cNvSpPr txBox="1"/>
          </xdr:nvSpPr>
          <xdr:spPr>
            <a:xfrm>
              <a:off x="1763484" y="2004816"/>
              <a:ext cx="639173" cy="3468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08F9C8C-C8F4-4D5F-8624-57871F70DD31}"/>
                </a:ext>
              </a:extLst>
            </xdr:cNvPr>
            <xdr:cNvSpPr txBox="1"/>
          </xdr:nvSpPr>
          <xdr:spPr>
            <a:xfrm>
              <a:off x="1763484" y="2004816"/>
              <a:ext cx="639173" cy="3468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𝑑=1/𝑢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272142</xdr:colOff>
      <xdr:row>13</xdr:row>
      <xdr:rowOff>70756</xdr:rowOff>
    </xdr:from>
    <xdr:to>
      <xdr:col>3</xdr:col>
      <xdr:colOff>532109</xdr:colOff>
      <xdr:row>15</xdr:row>
      <xdr:rowOff>64987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7">
              <a:extLst>
                <a:ext uri="{FF2B5EF4-FFF2-40B4-BE49-F238E27FC236}">
                  <a16:creationId xmlns:a16="http://schemas.microsoft.com/office/drawing/2014/main" id="{B2CA1873-0B90-4BBF-9FE1-8D51240B9911}"/>
                </a:ext>
              </a:extLst>
            </xdr:cNvPr>
            <xdr:cNvSpPr txBox="1"/>
          </xdr:nvSpPr>
          <xdr:spPr>
            <a:xfrm>
              <a:off x="1796142" y="2394856"/>
              <a:ext cx="1021967" cy="37523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7">
              <a:extLst>
                <a:ext uri="{FF2B5EF4-FFF2-40B4-BE49-F238E27FC236}">
                  <a16:creationId xmlns:a16="http://schemas.microsoft.com/office/drawing/2014/main" id="{B2CA1873-0B90-4BBF-9FE1-8D51240B9911}"/>
                </a:ext>
              </a:extLst>
            </xdr:cNvPr>
            <xdr:cNvSpPr txBox="1"/>
          </xdr:nvSpPr>
          <xdr:spPr>
            <a:xfrm>
              <a:off x="1796142" y="2394856"/>
              <a:ext cx="1021967" cy="37523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𝑝=(𝑒^𝑟∆𝑡−𝑑)/(𝑢−𝑑)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250372</xdr:colOff>
      <xdr:row>16</xdr:row>
      <xdr:rowOff>22563</xdr:rowOff>
    </xdr:from>
    <xdr:to>
      <xdr:col>3</xdr:col>
      <xdr:colOff>346726</xdr:colOff>
      <xdr:row>17</xdr:row>
      <xdr:rowOff>20191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C6A70E1D-0844-4046-9317-FDA19BF8DB19}"/>
                </a:ext>
              </a:extLst>
            </xdr:cNvPr>
            <xdr:cNvSpPr txBox="1"/>
          </xdr:nvSpPr>
          <xdr:spPr>
            <a:xfrm>
              <a:off x="1774372" y="2918163"/>
              <a:ext cx="858354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C6A70E1D-0844-4046-9317-FDA19BF8DB19}"/>
                </a:ext>
              </a:extLst>
            </xdr:cNvPr>
            <xdr:cNvSpPr txBox="1"/>
          </xdr:nvSpPr>
          <xdr:spPr>
            <a:xfrm>
              <a:off x="1774372" y="2918163"/>
              <a:ext cx="858354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𝑞=1−𝑝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261257</xdr:colOff>
      <xdr:row>21</xdr:row>
      <xdr:rowOff>149040</xdr:rowOff>
    </xdr:from>
    <xdr:to>
      <xdr:col>3</xdr:col>
      <xdr:colOff>410089</xdr:colOff>
      <xdr:row>22</xdr:row>
      <xdr:rowOff>177703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BE37151-6320-4349-81BD-5A3C8F3E5582}"/>
                </a:ext>
              </a:extLst>
            </xdr:cNvPr>
            <xdr:cNvSpPr txBox="1"/>
          </xdr:nvSpPr>
          <xdr:spPr>
            <a:xfrm>
              <a:off x="1785257" y="1901640"/>
              <a:ext cx="91083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BE37151-6320-4349-81BD-5A3C8F3E5582}"/>
                </a:ext>
              </a:extLst>
            </xdr:cNvPr>
            <xdr:cNvSpPr txBox="1"/>
          </xdr:nvSpPr>
          <xdr:spPr>
            <a:xfrm>
              <a:off x="1785257" y="1901640"/>
              <a:ext cx="91083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𝑢=𝑒^(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𝜎√∆𝑡)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239484</xdr:colOff>
      <xdr:row>23</xdr:row>
      <xdr:rowOff>61716</xdr:rowOff>
    </xdr:from>
    <xdr:to>
      <xdr:col>3</xdr:col>
      <xdr:colOff>116657</xdr:colOff>
      <xdr:row>25</xdr:row>
      <xdr:rowOff>27606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C4969D8-3A85-4F7D-952B-BFCB9BCDC375}"/>
                </a:ext>
              </a:extLst>
            </xdr:cNvPr>
            <xdr:cNvSpPr txBox="1"/>
          </xdr:nvSpPr>
          <xdr:spPr>
            <a:xfrm>
              <a:off x="1763484" y="2195316"/>
              <a:ext cx="639173" cy="3468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C4969D8-3A85-4F7D-952B-BFCB9BCDC375}"/>
                </a:ext>
              </a:extLst>
            </xdr:cNvPr>
            <xdr:cNvSpPr txBox="1"/>
          </xdr:nvSpPr>
          <xdr:spPr>
            <a:xfrm>
              <a:off x="1763484" y="2195316"/>
              <a:ext cx="639173" cy="3468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𝑑=1/𝑢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272142</xdr:colOff>
      <xdr:row>25</xdr:row>
      <xdr:rowOff>70756</xdr:rowOff>
    </xdr:from>
    <xdr:to>
      <xdr:col>3</xdr:col>
      <xdr:colOff>532109</xdr:colOff>
      <xdr:row>27</xdr:row>
      <xdr:rowOff>64987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09C61AB-CDC5-4FB6-BD3E-D34841CB8DE4}"/>
                </a:ext>
              </a:extLst>
            </xdr:cNvPr>
            <xdr:cNvSpPr txBox="1"/>
          </xdr:nvSpPr>
          <xdr:spPr>
            <a:xfrm>
              <a:off x="1796142" y="2585356"/>
              <a:ext cx="1021967" cy="37523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09C61AB-CDC5-4FB6-BD3E-D34841CB8DE4}"/>
                </a:ext>
              </a:extLst>
            </xdr:cNvPr>
            <xdr:cNvSpPr txBox="1"/>
          </xdr:nvSpPr>
          <xdr:spPr>
            <a:xfrm>
              <a:off x="1796142" y="2585356"/>
              <a:ext cx="1021967" cy="37523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𝑝=(𝑒^𝑟∆𝑡−𝑑)/(𝑢−𝑑)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250372</xdr:colOff>
      <xdr:row>28</xdr:row>
      <xdr:rowOff>22563</xdr:rowOff>
    </xdr:from>
    <xdr:to>
      <xdr:col>3</xdr:col>
      <xdr:colOff>346726</xdr:colOff>
      <xdr:row>29</xdr:row>
      <xdr:rowOff>20191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33CAE3DF-1A24-44B5-9F12-58B65930C696}"/>
                </a:ext>
              </a:extLst>
            </xdr:cNvPr>
            <xdr:cNvSpPr txBox="1"/>
          </xdr:nvSpPr>
          <xdr:spPr>
            <a:xfrm>
              <a:off x="1774372" y="3108663"/>
              <a:ext cx="858354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33CAE3DF-1A24-44B5-9F12-58B65930C696}"/>
                </a:ext>
              </a:extLst>
            </xdr:cNvPr>
            <xdr:cNvSpPr txBox="1"/>
          </xdr:nvSpPr>
          <xdr:spPr>
            <a:xfrm>
              <a:off x="1774372" y="3108663"/>
              <a:ext cx="858354" cy="18812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𝑞=1−𝑝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0</xdr:col>
      <xdr:colOff>425925</xdr:colOff>
      <xdr:row>37</xdr:row>
      <xdr:rowOff>163287</xdr:rowOff>
    </xdr:from>
    <xdr:to>
      <xdr:col>5</xdr:col>
      <xdr:colOff>259299</xdr:colOff>
      <xdr:row>55</xdr:row>
      <xdr:rowOff>54428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65F38C53-FAF8-4D50-8CE5-9AF39DDEF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925" y="6847116"/>
          <a:ext cx="3621603" cy="3124198"/>
        </a:xfrm>
        <a:prstGeom prst="rect">
          <a:avLst/>
        </a:prstGeom>
      </xdr:spPr>
    </xdr:pic>
    <xdr:clientData/>
  </xdr:twoCellAnchor>
  <xdr:twoCellAnchor editAs="oneCell">
    <xdr:from>
      <xdr:col>6</xdr:col>
      <xdr:colOff>758656</xdr:colOff>
      <xdr:row>37</xdr:row>
      <xdr:rowOff>157843</xdr:rowOff>
    </xdr:from>
    <xdr:to>
      <xdr:col>11</xdr:col>
      <xdr:colOff>228600</xdr:colOff>
      <xdr:row>55</xdr:row>
      <xdr:rowOff>77084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6CDC84AE-2BD9-4323-815D-4D379AE13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3813" y="6841672"/>
          <a:ext cx="3655501" cy="3152298"/>
        </a:xfrm>
        <a:prstGeom prst="rect">
          <a:avLst/>
        </a:prstGeom>
      </xdr:spPr>
    </xdr:pic>
    <xdr:clientData/>
  </xdr:twoCellAnchor>
  <xdr:twoCellAnchor>
    <xdr:from>
      <xdr:col>7</xdr:col>
      <xdr:colOff>762001</xdr:colOff>
      <xdr:row>6</xdr:row>
      <xdr:rowOff>30455</xdr:rowOff>
    </xdr:from>
    <xdr:to>
      <xdr:col>10</xdr:col>
      <xdr:colOff>716678</xdr:colOff>
      <xdr:row>7</xdr:row>
      <xdr:rowOff>39675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CuadroTexto 11">
              <a:extLst>
                <a:ext uri="{FF2B5EF4-FFF2-40B4-BE49-F238E27FC236}">
                  <a16:creationId xmlns:a16="http://schemas.microsoft.com/office/drawing/2014/main" id="{7200EA6B-4F9B-4058-AEA8-53190930179C}"/>
                </a:ext>
              </a:extLst>
            </xdr:cNvPr>
            <xdr:cNvSpPr txBox="1"/>
          </xdr:nvSpPr>
          <xdr:spPr>
            <a:xfrm>
              <a:off x="6351815" y="1146241"/>
              <a:ext cx="2213463" cy="188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p>
                    </m:sSup>
                    <m:d>
                      <m:dPr>
                        <m:begChr m:val="["/>
                        <m:endChr m:val="]"/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+(1−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26" name="CuadroTexto 11">
              <a:extLst>
                <a:ext uri="{FF2B5EF4-FFF2-40B4-BE49-F238E27FC236}">
                  <a16:creationId xmlns:a16="http://schemas.microsoft.com/office/drawing/2014/main" id="{7200EA6B-4F9B-4058-AEA8-53190930179C}"/>
                </a:ext>
              </a:extLst>
            </xdr:cNvPr>
            <xdr:cNvSpPr txBox="1"/>
          </xdr:nvSpPr>
          <xdr:spPr>
            <a:xfrm>
              <a:off x="6351815" y="1146241"/>
              <a:ext cx="2213463" cy="188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𝑓=𝑒^(−𝑟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∆𝑡) </a:t>
              </a:r>
              <a:r>
                <a:rPr lang="es-CO" sz="1200" i="0">
                  <a:latin typeface="Cambria Math" panose="02040503050406030204" pitchFamily="18" charset="0"/>
                </a:rPr>
                <a:t>[𝑝𝑓_𝑢+(1−𝑝)𝑓_𝑑 ]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261257</xdr:colOff>
      <xdr:row>9</xdr:row>
      <xdr:rowOff>149040</xdr:rowOff>
    </xdr:from>
    <xdr:to>
      <xdr:col>3</xdr:col>
      <xdr:colOff>410089</xdr:colOff>
      <xdr:row>10</xdr:row>
      <xdr:rowOff>177703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8A42349-703C-42E2-8905-D212B08AEB6C}"/>
                </a:ext>
              </a:extLst>
            </xdr:cNvPr>
            <xdr:cNvSpPr txBox="1"/>
          </xdr:nvSpPr>
          <xdr:spPr>
            <a:xfrm>
              <a:off x="1928132" y="18159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8A42349-703C-42E2-8905-D212B08AEB6C}"/>
                </a:ext>
              </a:extLst>
            </xdr:cNvPr>
            <xdr:cNvSpPr txBox="1"/>
          </xdr:nvSpPr>
          <xdr:spPr>
            <a:xfrm>
              <a:off x="1928132" y="18159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𝑢=𝑒^(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𝜎√∆𝑡)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239484</xdr:colOff>
      <xdr:row>11</xdr:row>
      <xdr:rowOff>61716</xdr:rowOff>
    </xdr:from>
    <xdr:to>
      <xdr:col>3</xdr:col>
      <xdr:colOff>116657</xdr:colOff>
      <xdr:row>13</xdr:row>
      <xdr:rowOff>27606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1BD2174-24B4-4A3E-B066-F29A42C44E98}"/>
                </a:ext>
              </a:extLst>
            </xdr:cNvPr>
            <xdr:cNvSpPr txBox="1"/>
          </xdr:nvSpPr>
          <xdr:spPr>
            <a:xfrm>
              <a:off x="1906359" y="20905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1BD2174-24B4-4A3E-B066-F29A42C44E98}"/>
                </a:ext>
              </a:extLst>
            </xdr:cNvPr>
            <xdr:cNvSpPr txBox="1"/>
          </xdr:nvSpPr>
          <xdr:spPr>
            <a:xfrm>
              <a:off x="1906359" y="20905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𝑑=1/𝑢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272142</xdr:colOff>
      <xdr:row>13</xdr:row>
      <xdr:rowOff>70756</xdr:rowOff>
    </xdr:from>
    <xdr:to>
      <xdr:col>3</xdr:col>
      <xdr:colOff>532109</xdr:colOff>
      <xdr:row>15</xdr:row>
      <xdr:rowOff>64987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7">
              <a:extLst>
                <a:ext uri="{FF2B5EF4-FFF2-40B4-BE49-F238E27FC236}">
                  <a16:creationId xmlns:a16="http://schemas.microsoft.com/office/drawing/2014/main" id="{C4CA4FAD-69B0-4827-A9CD-EF6215AD4506}"/>
                </a:ext>
              </a:extLst>
            </xdr:cNvPr>
            <xdr:cNvSpPr txBox="1"/>
          </xdr:nvSpPr>
          <xdr:spPr>
            <a:xfrm>
              <a:off x="1939017" y="2461531"/>
              <a:ext cx="1021967" cy="3561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7">
              <a:extLst>
                <a:ext uri="{FF2B5EF4-FFF2-40B4-BE49-F238E27FC236}">
                  <a16:creationId xmlns:a16="http://schemas.microsoft.com/office/drawing/2014/main" id="{C4CA4FAD-69B0-4827-A9CD-EF6215AD4506}"/>
                </a:ext>
              </a:extLst>
            </xdr:cNvPr>
            <xdr:cNvSpPr txBox="1"/>
          </xdr:nvSpPr>
          <xdr:spPr>
            <a:xfrm>
              <a:off x="1939017" y="2461531"/>
              <a:ext cx="1021967" cy="3561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𝑝=(𝑒^𝑟∆𝑡−𝑑)/(𝑢−𝑑)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250372</xdr:colOff>
      <xdr:row>16</xdr:row>
      <xdr:rowOff>22563</xdr:rowOff>
    </xdr:from>
    <xdr:to>
      <xdr:col>3</xdr:col>
      <xdr:colOff>346726</xdr:colOff>
      <xdr:row>17</xdr:row>
      <xdr:rowOff>20191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BCCDC369-65D2-4812-AC9D-597404C78669}"/>
                </a:ext>
              </a:extLst>
            </xdr:cNvPr>
            <xdr:cNvSpPr txBox="1"/>
          </xdr:nvSpPr>
          <xdr:spPr>
            <a:xfrm>
              <a:off x="1917247" y="2956263"/>
              <a:ext cx="858354" cy="1786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BCCDC369-65D2-4812-AC9D-597404C78669}"/>
                </a:ext>
              </a:extLst>
            </xdr:cNvPr>
            <xdr:cNvSpPr txBox="1"/>
          </xdr:nvSpPr>
          <xdr:spPr>
            <a:xfrm>
              <a:off x="1917247" y="2956263"/>
              <a:ext cx="858354" cy="1786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𝑞=1−𝑝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261257</xdr:colOff>
      <xdr:row>21</xdr:row>
      <xdr:rowOff>149040</xdr:rowOff>
    </xdr:from>
    <xdr:to>
      <xdr:col>3</xdr:col>
      <xdr:colOff>410089</xdr:colOff>
      <xdr:row>22</xdr:row>
      <xdr:rowOff>177703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66D6861-359B-4F77-B142-6EBAB030EEC3}"/>
                </a:ext>
              </a:extLst>
            </xdr:cNvPr>
            <xdr:cNvSpPr txBox="1"/>
          </xdr:nvSpPr>
          <xdr:spPr>
            <a:xfrm>
              <a:off x="1928132" y="39876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66D6861-359B-4F77-B142-6EBAB030EEC3}"/>
                </a:ext>
              </a:extLst>
            </xdr:cNvPr>
            <xdr:cNvSpPr txBox="1"/>
          </xdr:nvSpPr>
          <xdr:spPr>
            <a:xfrm>
              <a:off x="1928132" y="39876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𝑢=𝑒^(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𝜎√∆𝑡)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239484</xdr:colOff>
      <xdr:row>23</xdr:row>
      <xdr:rowOff>61716</xdr:rowOff>
    </xdr:from>
    <xdr:to>
      <xdr:col>3</xdr:col>
      <xdr:colOff>116657</xdr:colOff>
      <xdr:row>25</xdr:row>
      <xdr:rowOff>27606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872C630-04B8-4479-876D-677C827C0CC6}"/>
                </a:ext>
              </a:extLst>
            </xdr:cNvPr>
            <xdr:cNvSpPr txBox="1"/>
          </xdr:nvSpPr>
          <xdr:spPr>
            <a:xfrm>
              <a:off x="1906359" y="42622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872C630-04B8-4479-876D-677C827C0CC6}"/>
                </a:ext>
              </a:extLst>
            </xdr:cNvPr>
            <xdr:cNvSpPr txBox="1"/>
          </xdr:nvSpPr>
          <xdr:spPr>
            <a:xfrm>
              <a:off x="1906359" y="42622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𝑑=1/𝑢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272142</xdr:colOff>
      <xdr:row>25</xdr:row>
      <xdr:rowOff>70756</xdr:rowOff>
    </xdr:from>
    <xdr:to>
      <xdr:col>3</xdr:col>
      <xdr:colOff>532109</xdr:colOff>
      <xdr:row>27</xdr:row>
      <xdr:rowOff>64987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F163A39-C171-4A1E-B78B-92B61981F7D2}"/>
                </a:ext>
              </a:extLst>
            </xdr:cNvPr>
            <xdr:cNvSpPr txBox="1"/>
          </xdr:nvSpPr>
          <xdr:spPr>
            <a:xfrm>
              <a:off x="1939017" y="4633231"/>
              <a:ext cx="1021967" cy="3561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F163A39-C171-4A1E-B78B-92B61981F7D2}"/>
                </a:ext>
              </a:extLst>
            </xdr:cNvPr>
            <xdr:cNvSpPr txBox="1"/>
          </xdr:nvSpPr>
          <xdr:spPr>
            <a:xfrm>
              <a:off x="1939017" y="4633231"/>
              <a:ext cx="1021967" cy="3561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𝑝=(𝑒^𝑟∆𝑡−𝑑)/(𝑢−𝑑)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250372</xdr:colOff>
      <xdr:row>28</xdr:row>
      <xdr:rowOff>22563</xdr:rowOff>
    </xdr:from>
    <xdr:to>
      <xdr:col>3</xdr:col>
      <xdr:colOff>346726</xdr:colOff>
      <xdr:row>29</xdr:row>
      <xdr:rowOff>20191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800ACDF9-4358-49C3-8F2F-BE61368B05E1}"/>
                </a:ext>
              </a:extLst>
            </xdr:cNvPr>
            <xdr:cNvSpPr txBox="1"/>
          </xdr:nvSpPr>
          <xdr:spPr>
            <a:xfrm>
              <a:off x="1917247" y="5127963"/>
              <a:ext cx="858354" cy="1786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800ACDF9-4358-49C3-8F2F-BE61368B05E1}"/>
                </a:ext>
              </a:extLst>
            </xdr:cNvPr>
            <xdr:cNvSpPr txBox="1"/>
          </xdr:nvSpPr>
          <xdr:spPr>
            <a:xfrm>
              <a:off x="1917247" y="5127963"/>
              <a:ext cx="858354" cy="1786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𝑞=1−𝑝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0</xdr:col>
      <xdr:colOff>731659</xdr:colOff>
      <xdr:row>37</xdr:row>
      <xdr:rowOff>108857</xdr:rowOff>
    </xdr:from>
    <xdr:to>
      <xdr:col>5</xdr:col>
      <xdr:colOff>527956</xdr:colOff>
      <xdr:row>55</xdr:row>
      <xdr:rowOff>123314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F740379-0D1C-4B53-9A6D-8375BFACA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659" y="6792686"/>
          <a:ext cx="3758697" cy="3247514"/>
        </a:xfrm>
        <a:prstGeom prst="rect">
          <a:avLst/>
        </a:prstGeom>
      </xdr:spPr>
    </xdr:pic>
    <xdr:clientData/>
  </xdr:twoCellAnchor>
  <xdr:twoCellAnchor editAs="oneCell">
    <xdr:from>
      <xdr:col>6</xdr:col>
      <xdr:colOff>908958</xdr:colOff>
      <xdr:row>37</xdr:row>
      <xdr:rowOff>29593</xdr:rowOff>
    </xdr:from>
    <xdr:to>
      <xdr:col>11</xdr:col>
      <xdr:colOff>560928</xdr:colOff>
      <xdr:row>55</xdr:row>
      <xdr:rowOff>97072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F47E2AB-4D28-4464-B854-78B22F66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7915" y="6713422"/>
          <a:ext cx="3837527" cy="3300536"/>
        </a:xfrm>
        <a:prstGeom prst="rect">
          <a:avLst/>
        </a:prstGeom>
      </xdr:spPr>
    </xdr:pic>
    <xdr:clientData/>
  </xdr:twoCellAnchor>
  <xdr:twoCellAnchor>
    <xdr:from>
      <xdr:col>7</xdr:col>
      <xdr:colOff>353785</xdr:colOff>
      <xdr:row>6</xdr:row>
      <xdr:rowOff>21771</xdr:rowOff>
    </xdr:from>
    <xdr:to>
      <xdr:col>10</xdr:col>
      <xdr:colOff>308462</xdr:colOff>
      <xdr:row>7</xdr:row>
      <xdr:rowOff>30991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1">
              <a:extLst>
                <a:ext uri="{FF2B5EF4-FFF2-40B4-BE49-F238E27FC236}">
                  <a16:creationId xmlns:a16="http://schemas.microsoft.com/office/drawing/2014/main" id="{49CBB92C-5A79-427B-828E-4B3C5A5130FC}"/>
                </a:ext>
              </a:extLst>
            </xdr:cNvPr>
            <xdr:cNvSpPr txBox="1"/>
          </xdr:nvSpPr>
          <xdr:spPr>
            <a:xfrm>
              <a:off x="6036128" y="1137557"/>
              <a:ext cx="2213463" cy="188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p>
                    </m:sSup>
                    <m:d>
                      <m:dPr>
                        <m:begChr m:val="["/>
                        <m:endChr m:val="]"/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+(1−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4" name="CuadroTexto 11">
              <a:extLst>
                <a:ext uri="{FF2B5EF4-FFF2-40B4-BE49-F238E27FC236}">
                  <a16:creationId xmlns:a16="http://schemas.microsoft.com/office/drawing/2014/main" id="{49CBB92C-5A79-427B-828E-4B3C5A5130FC}"/>
                </a:ext>
              </a:extLst>
            </xdr:cNvPr>
            <xdr:cNvSpPr txBox="1"/>
          </xdr:nvSpPr>
          <xdr:spPr>
            <a:xfrm>
              <a:off x="6036128" y="1137557"/>
              <a:ext cx="2213463" cy="188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𝑓=𝑒^(−𝑟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∆𝑡) </a:t>
              </a:r>
              <a:r>
                <a:rPr lang="es-CO" sz="1200" i="0">
                  <a:latin typeface="Cambria Math" panose="02040503050406030204" pitchFamily="18" charset="0"/>
                </a:rPr>
                <a:t>[𝑝𝑓_𝑢+(1−𝑝)𝑓_𝑑 ]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201386</xdr:colOff>
      <xdr:row>6</xdr:row>
      <xdr:rowOff>97969</xdr:rowOff>
    </xdr:from>
    <xdr:to>
      <xdr:col>5</xdr:col>
      <xdr:colOff>568176</xdr:colOff>
      <xdr:row>9</xdr:row>
      <xdr:rowOff>190735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4">
              <a:extLst>
                <a:ext uri="{FF2B5EF4-FFF2-40B4-BE49-F238E27FC236}">
                  <a16:creationId xmlns:a16="http://schemas.microsoft.com/office/drawing/2014/main" id="{8372BFF5-B159-49C0-94BA-39D47D6BE705}"/>
                </a:ext>
              </a:extLst>
            </xdr:cNvPr>
            <xdr:cNvSpPr txBox="1"/>
          </xdr:nvSpPr>
          <xdr:spPr>
            <a:xfrm>
              <a:off x="2710543" y="1213755"/>
              <a:ext cx="1814590" cy="6316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CO" sz="12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den>
                            </m:f>
                          </m:e>
                        </m:d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CO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O" sz="12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12" name="CuadroTexto 14">
              <a:extLst>
                <a:ext uri="{FF2B5EF4-FFF2-40B4-BE49-F238E27FC236}">
                  <a16:creationId xmlns:a16="http://schemas.microsoft.com/office/drawing/2014/main" id="{8372BFF5-B159-49C0-94BA-39D47D6BE705}"/>
                </a:ext>
              </a:extLst>
            </xdr:cNvPr>
            <xdr:cNvSpPr txBox="1"/>
          </xdr:nvSpPr>
          <xdr:spPr>
            <a:xfrm>
              <a:off x="2710543" y="1213755"/>
              <a:ext cx="1814590" cy="6316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𝑑_1=(𝑙𝑛(𝑆_0/𝐾)+(𝑟+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CO" sz="1200" i="0">
                  <a:latin typeface="Cambria Math" panose="02040503050406030204" pitchFamily="18" charset="0"/>
                </a:rPr>
                <a:t>2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s-CO" sz="1200" i="0">
                  <a:latin typeface="Cambria Math" panose="02040503050406030204" pitchFamily="18" charset="0"/>
                </a:rPr>
                <a:t>2)𝑇)/(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𝜎√𝑇)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3</xdr:col>
      <xdr:colOff>217715</xdr:colOff>
      <xdr:row>10</xdr:row>
      <xdr:rowOff>179615</xdr:rowOff>
    </xdr:from>
    <xdr:to>
      <xdr:col>4</xdr:col>
      <xdr:colOff>642158</xdr:colOff>
      <xdr:row>11</xdr:row>
      <xdr:rowOff>174330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7">
              <a:extLst>
                <a:ext uri="{FF2B5EF4-FFF2-40B4-BE49-F238E27FC236}">
                  <a16:creationId xmlns:a16="http://schemas.microsoft.com/office/drawing/2014/main" id="{5A018DF6-5FB2-4E7C-8C94-4266F6649A1F}"/>
                </a:ext>
              </a:extLst>
            </xdr:cNvPr>
            <xdr:cNvSpPr txBox="1"/>
          </xdr:nvSpPr>
          <xdr:spPr>
            <a:xfrm>
              <a:off x="2726872" y="2051958"/>
              <a:ext cx="1110243" cy="21242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O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</m:rad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13" name="CuadroTexto 17">
              <a:extLst>
                <a:ext uri="{FF2B5EF4-FFF2-40B4-BE49-F238E27FC236}">
                  <a16:creationId xmlns:a16="http://schemas.microsoft.com/office/drawing/2014/main" id="{5A018DF6-5FB2-4E7C-8C94-4266F6649A1F}"/>
                </a:ext>
              </a:extLst>
            </xdr:cNvPr>
            <xdr:cNvSpPr txBox="1"/>
          </xdr:nvSpPr>
          <xdr:spPr>
            <a:xfrm>
              <a:off x="2726872" y="2051958"/>
              <a:ext cx="1110243" cy="21242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𝑑_2=𝑑_1−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𝜎√𝑇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3</xdr:col>
      <xdr:colOff>266701</xdr:colOff>
      <xdr:row>15</xdr:row>
      <xdr:rowOff>174172</xdr:rowOff>
    </xdr:from>
    <xdr:to>
      <xdr:col>6</xdr:col>
      <xdr:colOff>10097</xdr:colOff>
      <xdr:row>17</xdr:row>
      <xdr:rowOff>44506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2">
              <a:extLst>
                <a:ext uri="{FF2B5EF4-FFF2-40B4-BE49-F238E27FC236}">
                  <a16:creationId xmlns:a16="http://schemas.microsoft.com/office/drawing/2014/main" id="{AA4F2971-AABD-4E4A-96AB-4AFAE81265C5}"/>
                </a:ext>
              </a:extLst>
            </xdr:cNvPr>
            <xdr:cNvSpPr txBox="1"/>
          </xdr:nvSpPr>
          <xdr:spPr>
            <a:xfrm>
              <a:off x="2775858" y="3058886"/>
              <a:ext cx="2029396" cy="2295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CO" sz="12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a:rPr lang="es-CO" sz="120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14" name="CuadroTexto 12">
              <a:extLst>
                <a:ext uri="{FF2B5EF4-FFF2-40B4-BE49-F238E27FC236}">
                  <a16:creationId xmlns:a16="http://schemas.microsoft.com/office/drawing/2014/main" id="{AA4F2971-AABD-4E4A-96AB-4AFAE81265C5}"/>
                </a:ext>
              </a:extLst>
            </xdr:cNvPr>
            <xdr:cNvSpPr txBox="1"/>
          </xdr:nvSpPr>
          <xdr:spPr>
            <a:xfrm>
              <a:off x="2775858" y="3058886"/>
              <a:ext cx="2029396" cy="2295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𝑐=𝑆_0 𝑁(𝑑_1 )−𝐾𝑒^(−𝑟𝑇) 𝑁(𝑑_2)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3</xdr:col>
      <xdr:colOff>223157</xdr:colOff>
      <xdr:row>21</xdr:row>
      <xdr:rowOff>156870</xdr:rowOff>
    </xdr:from>
    <xdr:to>
      <xdr:col>6</xdr:col>
      <xdr:colOff>288193</xdr:colOff>
      <xdr:row>23</xdr:row>
      <xdr:rowOff>27204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5">
              <a:extLst>
                <a:ext uri="{FF2B5EF4-FFF2-40B4-BE49-F238E27FC236}">
                  <a16:creationId xmlns:a16="http://schemas.microsoft.com/office/drawing/2014/main" id="{0381523B-05A5-4D03-8700-CE61A56CAF65}"/>
                </a:ext>
              </a:extLst>
            </xdr:cNvPr>
            <xdr:cNvSpPr txBox="1"/>
          </xdr:nvSpPr>
          <xdr:spPr>
            <a:xfrm>
              <a:off x="2732314" y="4195470"/>
              <a:ext cx="2351036" cy="2295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a:rPr lang="es-CO" sz="12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CO" sz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15" name="CuadroTexto 15">
              <a:extLst>
                <a:ext uri="{FF2B5EF4-FFF2-40B4-BE49-F238E27FC236}">
                  <a16:creationId xmlns:a16="http://schemas.microsoft.com/office/drawing/2014/main" id="{0381523B-05A5-4D03-8700-CE61A56CAF65}"/>
                </a:ext>
              </a:extLst>
            </xdr:cNvPr>
            <xdr:cNvSpPr txBox="1"/>
          </xdr:nvSpPr>
          <xdr:spPr>
            <a:xfrm>
              <a:off x="2732314" y="4195470"/>
              <a:ext cx="2351036" cy="2295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𝑝=𝐾𝑒^(−𝑟𝑇) 𝑁(〖−𝑑〗_2 )−𝑆_0 𝑁(−𝑑_1 )</a:t>
              </a:r>
              <a:endParaRPr lang="es-CO" sz="12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261257</xdr:colOff>
      <xdr:row>9</xdr:row>
      <xdr:rowOff>149040</xdr:rowOff>
    </xdr:from>
    <xdr:to>
      <xdr:col>3</xdr:col>
      <xdr:colOff>410089</xdr:colOff>
      <xdr:row>10</xdr:row>
      <xdr:rowOff>177703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3DBA3C7-FF3B-4776-9CF6-DEAC3E5112A1}"/>
                </a:ext>
              </a:extLst>
            </xdr:cNvPr>
            <xdr:cNvSpPr txBox="1"/>
          </xdr:nvSpPr>
          <xdr:spPr>
            <a:xfrm>
              <a:off x="1928132" y="18159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3DBA3C7-FF3B-4776-9CF6-DEAC3E5112A1}"/>
                </a:ext>
              </a:extLst>
            </xdr:cNvPr>
            <xdr:cNvSpPr txBox="1"/>
          </xdr:nvSpPr>
          <xdr:spPr>
            <a:xfrm>
              <a:off x="1928132" y="18159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𝑢=𝑒^(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𝜎√∆𝑡)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239484</xdr:colOff>
      <xdr:row>11</xdr:row>
      <xdr:rowOff>61716</xdr:rowOff>
    </xdr:from>
    <xdr:to>
      <xdr:col>3</xdr:col>
      <xdr:colOff>116657</xdr:colOff>
      <xdr:row>13</xdr:row>
      <xdr:rowOff>27606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7290D6A-ACC1-4C86-AF67-44E5E132A10D}"/>
                </a:ext>
              </a:extLst>
            </xdr:cNvPr>
            <xdr:cNvSpPr txBox="1"/>
          </xdr:nvSpPr>
          <xdr:spPr>
            <a:xfrm>
              <a:off x="1906359" y="20905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7290D6A-ACC1-4C86-AF67-44E5E132A10D}"/>
                </a:ext>
              </a:extLst>
            </xdr:cNvPr>
            <xdr:cNvSpPr txBox="1"/>
          </xdr:nvSpPr>
          <xdr:spPr>
            <a:xfrm>
              <a:off x="1906359" y="20905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𝑑=1/𝑢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304799</xdr:colOff>
      <xdr:row>13</xdr:row>
      <xdr:rowOff>141514</xdr:rowOff>
    </xdr:from>
    <xdr:to>
      <xdr:col>4</xdr:col>
      <xdr:colOff>185057</xdr:colOff>
      <xdr:row>15</xdr:row>
      <xdr:rowOff>169187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7">
              <a:extLst>
                <a:ext uri="{FF2B5EF4-FFF2-40B4-BE49-F238E27FC236}">
                  <a16:creationId xmlns:a16="http://schemas.microsoft.com/office/drawing/2014/main" id="{054DBEA0-34FD-4104-AF68-B7DAABCA1D98}"/>
                </a:ext>
              </a:extLst>
            </xdr:cNvPr>
            <xdr:cNvSpPr txBox="1"/>
          </xdr:nvSpPr>
          <xdr:spPr>
            <a:xfrm>
              <a:off x="1975756" y="2514600"/>
              <a:ext cx="1235530" cy="3869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O" sz="120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MX" sz="12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7">
              <a:extLst>
                <a:ext uri="{FF2B5EF4-FFF2-40B4-BE49-F238E27FC236}">
                  <a16:creationId xmlns:a16="http://schemas.microsoft.com/office/drawing/2014/main" id="{054DBEA0-34FD-4104-AF68-B7DAABCA1D98}"/>
                </a:ext>
              </a:extLst>
            </xdr:cNvPr>
            <xdr:cNvSpPr txBox="1"/>
          </xdr:nvSpPr>
          <xdr:spPr>
            <a:xfrm>
              <a:off x="1975756" y="2514600"/>
              <a:ext cx="1235530" cy="3869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𝑝=(𝑒^(</a:t>
              </a:r>
              <a:r>
                <a:rPr lang="es-MX" sz="1200" b="0" i="0">
                  <a:latin typeface="Cambria Math" panose="02040503050406030204" pitchFamily="18" charset="0"/>
                </a:rPr>
                <a:t>(</a:t>
              </a:r>
              <a:r>
                <a:rPr lang="es-CO" sz="120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𝑟</a:t>
              </a:r>
              <a:r>
                <a:rPr lang="es-MX" sz="12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−𝑟_𝑓</a:t>
              </a:r>
              <a:r>
                <a:rPr lang="es-MX" sz="1200" b="0" i="0">
                  <a:latin typeface="Cambria Math" panose="02040503050406030204" pitchFamily="18" charset="0"/>
                </a:rPr>
                <a:t>)</a:t>
              </a:r>
              <a:r>
                <a:rPr lang="es-CO" sz="1200" i="0">
                  <a:latin typeface="Cambria Math" panose="02040503050406030204" pitchFamily="18" charset="0"/>
                </a:rPr>
                <a:t>∆𝑡)−𝑑)/(𝑢−𝑑)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250372</xdr:colOff>
      <xdr:row>16</xdr:row>
      <xdr:rowOff>125977</xdr:rowOff>
    </xdr:from>
    <xdr:to>
      <xdr:col>3</xdr:col>
      <xdr:colOff>346726</xdr:colOff>
      <xdr:row>17</xdr:row>
      <xdr:rowOff>123605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CF95966B-61C8-4317-AF2E-08202AAD773A}"/>
                </a:ext>
              </a:extLst>
            </xdr:cNvPr>
            <xdr:cNvSpPr txBox="1"/>
          </xdr:nvSpPr>
          <xdr:spPr>
            <a:xfrm>
              <a:off x="1921329" y="3076006"/>
              <a:ext cx="858354" cy="17724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CF95966B-61C8-4317-AF2E-08202AAD773A}"/>
                </a:ext>
              </a:extLst>
            </xdr:cNvPr>
            <xdr:cNvSpPr txBox="1"/>
          </xdr:nvSpPr>
          <xdr:spPr>
            <a:xfrm>
              <a:off x="1921329" y="3076006"/>
              <a:ext cx="858354" cy="17724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𝑞=1−𝑝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261257</xdr:colOff>
      <xdr:row>21</xdr:row>
      <xdr:rowOff>149040</xdr:rowOff>
    </xdr:from>
    <xdr:to>
      <xdr:col>3</xdr:col>
      <xdr:colOff>410089</xdr:colOff>
      <xdr:row>22</xdr:row>
      <xdr:rowOff>177703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E716770-0A24-4221-8DE2-25941FD6BCA6}"/>
                </a:ext>
              </a:extLst>
            </xdr:cNvPr>
            <xdr:cNvSpPr txBox="1"/>
          </xdr:nvSpPr>
          <xdr:spPr>
            <a:xfrm>
              <a:off x="1928132" y="39876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E716770-0A24-4221-8DE2-25941FD6BCA6}"/>
                </a:ext>
              </a:extLst>
            </xdr:cNvPr>
            <xdr:cNvSpPr txBox="1"/>
          </xdr:nvSpPr>
          <xdr:spPr>
            <a:xfrm>
              <a:off x="1928132" y="39876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𝑢=𝑒^(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𝜎√∆𝑡)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239484</xdr:colOff>
      <xdr:row>23</xdr:row>
      <xdr:rowOff>61716</xdr:rowOff>
    </xdr:from>
    <xdr:to>
      <xdr:col>3</xdr:col>
      <xdr:colOff>116657</xdr:colOff>
      <xdr:row>25</xdr:row>
      <xdr:rowOff>27606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4BEAFA5-7413-410B-8032-6EB47B8A188A}"/>
                </a:ext>
              </a:extLst>
            </xdr:cNvPr>
            <xdr:cNvSpPr txBox="1"/>
          </xdr:nvSpPr>
          <xdr:spPr>
            <a:xfrm>
              <a:off x="1906359" y="42622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4BEAFA5-7413-410B-8032-6EB47B8A188A}"/>
                </a:ext>
              </a:extLst>
            </xdr:cNvPr>
            <xdr:cNvSpPr txBox="1"/>
          </xdr:nvSpPr>
          <xdr:spPr>
            <a:xfrm>
              <a:off x="1906359" y="42622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𝑑=1/𝑢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250372</xdr:colOff>
      <xdr:row>29</xdr:row>
      <xdr:rowOff>17121</xdr:rowOff>
    </xdr:from>
    <xdr:to>
      <xdr:col>3</xdr:col>
      <xdr:colOff>346726</xdr:colOff>
      <xdr:row>30</xdr:row>
      <xdr:rowOff>14748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BE306E40-3178-48BD-A9D4-270E306B0783}"/>
                </a:ext>
              </a:extLst>
            </xdr:cNvPr>
            <xdr:cNvSpPr txBox="1"/>
          </xdr:nvSpPr>
          <xdr:spPr>
            <a:xfrm>
              <a:off x="1921329" y="5302135"/>
              <a:ext cx="858354" cy="17724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BE306E40-3178-48BD-A9D4-270E306B0783}"/>
                </a:ext>
              </a:extLst>
            </xdr:cNvPr>
            <xdr:cNvSpPr txBox="1"/>
          </xdr:nvSpPr>
          <xdr:spPr>
            <a:xfrm>
              <a:off x="1921329" y="5302135"/>
              <a:ext cx="858354" cy="17724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𝑞=1−𝑝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326572</xdr:colOff>
      <xdr:row>25</xdr:row>
      <xdr:rowOff>141515</xdr:rowOff>
    </xdr:from>
    <xdr:to>
      <xdr:col>4</xdr:col>
      <xdr:colOff>206830</xdr:colOff>
      <xdr:row>27</xdr:row>
      <xdr:rowOff>169187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7">
              <a:extLst>
                <a:ext uri="{FF2B5EF4-FFF2-40B4-BE49-F238E27FC236}">
                  <a16:creationId xmlns:a16="http://schemas.microsoft.com/office/drawing/2014/main" id="{4DCDFF72-7B9F-414D-B9A5-7709B3C05781}"/>
                </a:ext>
              </a:extLst>
            </xdr:cNvPr>
            <xdr:cNvSpPr txBox="1"/>
          </xdr:nvSpPr>
          <xdr:spPr>
            <a:xfrm>
              <a:off x="1997529" y="4708072"/>
              <a:ext cx="1235530" cy="3869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O" sz="120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MX" sz="12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7">
              <a:extLst>
                <a:ext uri="{FF2B5EF4-FFF2-40B4-BE49-F238E27FC236}">
                  <a16:creationId xmlns:a16="http://schemas.microsoft.com/office/drawing/2014/main" id="{4DCDFF72-7B9F-414D-B9A5-7709B3C05781}"/>
                </a:ext>
              </a:extLst>
            </xdr:cNvPr>
            <xdr:cNvSpPr txBox="1"/>
          </xdr:nvSpPr>
          <xdr:spPr>
            <a:xfrm>
              <a:off x="1997529" y="4708072"/>
              <a:ext cx="1235530" cy="38690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𝑝=(𝑒^(</a:t>
              </a:r>
              <a:r>
                <a:rPr lang="es-MX" sz="1200" b="0" i="0">
                  <a:latin typeface="Cambria Math" panose="02040503050406030204" pitchFamily="18" charset="0"/>
                </a:rPr>
                <a:t>(</a:t>
              </a:r>
              <a:r>
                <a:rPr lang="es-CO" sz="120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𝑟</a:t>
              </a:r>
              <a:r>
                <a:rPr lang="es-MX" sz="12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−𝑟_𝑓</a:t>
              </a:r>
              <a:r>
                <a:rPr lang="es-MX" sz="1200" b="0" i="0">
                  <a:latin typeface="Cambria Math" panose="02040503050406030204" pitchFamily="18" charset="0"/>
                </a:rPr>
                <a:t>)</a:t>
              </a:r>
              <a:r>
                <a:rPr lang="es-CO" sz="1200" i="0">
                  <a:latin typeface="Cambria Math" panose="02040503050406030204" pitchFamily="18" charset="0"/>
                </a:rPr>
                <a:t>∆𝑡)−𝑑)/(𝑢−𝑑)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0</xdr:col>
      <xdr:colOff>566057</xdr:colOff>
      <xdr:row>37</xdr:row>
      <xdr:rowOff>48190</xdr:rowOff>
    </xdr:from>
    <xdr:to>
      <xdr:col>5</xdr:col>
      <xdr:colOff>490166</xdr:colOff>
      <xdr:row>54</xdr:row>
      <xdr:rowOff>177352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7B1BBEA-370B-4CF0-92F8-A6CDE47EE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057" y="6770119"/>
          <a:ext cx="3712338" cy="3182604"/>
        </a:xfrm>
        <a:prstGeom prst="rect">
          <a:avLst/>
        </a:prstGeom>
      </xdr:spPr>
    </xdr:pic>
    <xdr:clientData/>
  </xdr:twoCellAnchor>
  <xdr:twoCellAnchor editAs="oneCell">
    <xdr:from>
      <xdr:col>6</xdr:col>
      <xdr:colOff>778328</xdr:colOff>
      <xdr:row>37</xdr:row>
      <xdr:rowOff>127050</xdr:rowOff>
    </xdr:from>
    <xdr:to>
      <xdr:col>11</xdr:col>
      <xdr:colOff>268377</xdr:colOff>
      <xdr:row>55</xdr:row>
      <xdr:rowOff>63052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CB94683-7311-4050-8006-622E85B60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4757" y="6848979"/>
          <a:ext cx="3675606" cy="3169059"/>
        </a:xfrm>
        <a:prstGeom prst="rect">
          <a:avLst/>
        </a:prstGeom>
      </xdr:spPr>
    </xdr:pic>
    <xdr:clientData/>
  </xdr:twoCellAnchor>
  <xdr:twoCellAnchor>
    <xdr:from>
      <xdr:col>7</xdr:col>
      <xdr:colOff>451757</xdr:colOff>
      <xdr:row>6</xdr:row>
      <xdr:rowOff>87085</xdr:rowOff>
    </xdr:from>
    <xdr:to>
      <xdr:col>10</xdr:col>
      <xdr:colOff>406434</xdr:colOff>
      <xdr:row>7</xdr:row>
      <xdr:rowOff>58205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1">
              <a:extLst>
                <a:ext uri="{FF2B5EF4-FFF2-40B4-BE49-F238E27FC236}">
                  <a16:creationId xmlns:a16="http://schemas.microsoft.com/office/drawing/2014/main" id="{BA1A275F-427D-4155-B292-81A38069715D}"/>
                </a:ext>
              </a:extLst>
            </xdr:cNvPr>
            <xdr:cNvSpPr txBox="1"/>
          </xdr:nvSpPr>
          <xdr:spPr>
            <a:xfrm>
              <a:off x="6041571" y="1202871"/>
              <a:ext cx="2213463" cy="188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p>
                    </m:sSup>
                    <m:d>
                      <m:dPr>
                        <m:begChr m:val="["/>
                        <m:endChr m:val="]"/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+(1−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5" name="CuadroTexto 11">
              <a:extLst>
                <a:ext uri="{FF2B5EF4-FFF2-40B4-BE49-F238E27FC236}">
                  <a16:creationId xmlns:a16="http://schemas.microsoft.com/office/drawing/2014/main" id="{BA1A275F-427D-4155-B292-81A38069715D}"/>
                </a:ext>
              </a:extLst>
            </xdr:cNvPr>
            <xdr:cNvSpPr txBox="1"/>
          </xdr:nvSpPr>
          <xdr:spPr>
            <a:xfrm>
              <a:off x="6041571" y="1202871"/>
              <a:ext cx="2213463" cy="18883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𝑓=𝑒^(−𝑟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∆𝑡) </a:t>
              </a:r>
              <a:r>
                <a:rPr lang="es-CO" sz="1200" i="0">
                  <a:latin typeface="Cambria Math" panose="02040503050406030204" pitchFamily="18" charset="0"/>
                </a:rPr>
                <a:t>[𝑝𝑓_𝑢+(1−𝑝)𝑓_𝑑 ]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261257</xdr:colOff>
      <xdr:row>9</xdr:row>
      <xdr:rowOff>149040</xdr:rowOff>
    </xdr:from>
    <xdr:to>
      <xdr:col>3</xdr:col>
      <xdr:colOff>410089</xdr:colOff>
      <xdr:row>10</xdr:row>
      <xdr:rowOff>177703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E9446D2-BE07-446B-8660-6C163D3DA1F2}"/>
                </a:ext>
              </a:extLst>
            </xdr:cNvPr>
            <xdr:cNvSpPr txBox="1"/>
          </xdr:nvSpPr>
          <xdr:spPr>
            <a:xfrm>
              <a:off x="1928132" y="18540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E9446D2-BE07-446B-8660-6C163D3DA1F2}"/>
                </a:ext>
              </a:extLst>
            </xdr:cNvPr>
            <xdr:cNvSpPr txBox="1"/>
          </xdr:nvSpPr>
          <xdr:spPr>
            <a:xfrm>
              <a:off x="1928132" y="18540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𝑢=𝑒^(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𝜎√∆𝑡)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239484</xdr:colOff>
      <xdr:row>11</xdr:row>
      <xdr:rowOff>61716</xdr:rowOff>
    </xdr:from>
    <xdr:to>
      <xdr:col>3</xdr:col>
      <xdr:colOff>116657</xdr:colOff>
      <xdr:row>13</xdr:row>
      <xdr:rowOff>27606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3FA009-00F2-4907-AC73-017EE3AB79C5}"/>
                </a:ext>
              </a:extLst>
            </xdr:cNvPr>
            <xdr:cNvSpPr txBox="1"/>
          </xdr:nvSpPr>
          <xdr:spPr>
            <a:xfrm>
              <a:off x="1906359" y="21286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3FA009-00F2-4907-AC73-017EE3AB79C5}"/>
                </a:ext>
              </a:extLst>
            </xdr:cNvPr>
            <xdr:cNvSpPr txBox="1"/>
          </xdr:nvSpPr>
          <xdr:spPr>
            <a:xfrm>
              <a:off x="1906359" y="21286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𝑑=1/𝑢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304799</xdr:colOff>
      <xdr:row>13</xdr:row>
      <xdr:rowOff>141514</xdr:rowOff>
    </xdr:from>
    <xdr:to>
      <xdr:col>4</xdr:col>
      <xdr:colOff>185057</xdr:colOff>
      <xdr:row>15</xdr:row>
      <xdr:rowOff>169187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7">
              <a:extLst>
                <a:ext uri="{FF2B5EF4-FFF2-40B4-BE49-F238E27FC236}">
                  <a16:creationId xmlns:a16="http://schemas.microsoft.com/office/drawing/2014/main" id="{D73FA2A6-AB3B-42A1-BE10-F7E2E80E37CF}"/>
                </a:ext>
              </a:extLst>
            </xdr:cNvPr>
            <xdr:cNvSpPr txBox="1"/>
          </xdr:nvSpPr>
          <xdr:spPr>
            <a:xfrm>
              <a:off x="1971674" y="2570389"/>
              <a:ext cx="1232808" cy="3896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O" sz="120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MX" sz="12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7">
              <a:extLst>
                <a:ext uri="{FF2B5EF4-FFF2-40B4-BE49-F238E27FC236}">
                  <a16:creationId xmlns:a16="http://schemas.microsoft.com/office/drawing/2014/main" id="{D73FA2A6-AB3B-42A1-BE10-F7E2E80E37CF}"/>
                </a:ext>
              </a:extLst>
            </xdr:cNvPr>
            <xdr:cNvSpPr txBox="1"/>
          </xdr:nvSpPr>
          <xdr:spPr>
            <a:xfrm>
              <a:off x="1971674" y="2570389"/>
              <a:ext cx="1232808" cy="3896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𝑝=(𝑒^(</a:t>
              </a:r>
              <a:r>
                <a:rPr lang="es-MX" sz="1200" b="0" i="0">
                  <a:latin typeface="Cambria Math" panose="02040503050406030204" pitchFamily="18" charset="0"/>
                </a:rPr>
                <a:t>(</a:t>
              </a:r>
              <a:r>
                <a:rPr lang="es-CO" sz="120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𝑟</a:t>
              </a:r>
              <a:r>
                <a:rPr lang="es-MX" sz="12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−𝑟_𝑓</a:t>
              </a:r>
              <a:r>
                <a:rPr lang="es-MX" sz="1200" b="0" i="0">
                  <a:latin typeface="Cambria Math" panose="02040503050406030204" pitchFamily="18" charset="0"/>
                </a:rPr>
                <a:t>)</a:t>
              </a:r>
              <a:r>
                <a:rPr lang="es-CO" sz="1200" i="0">
                  <a:latin typeface="Cambria Math" panose="02040503050406030204" pitchFamily="18" charset="0"/>
                </a:rPr>
                <a:t>∆𝑡)−𝑑)/(𝑢−𝑑)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250372</xdr:colOff>
      <xdr:row>16</xdr:row>
      <xdr:rowOff>125977</xdr:rowOff>
    </xdr:from>
    <xdr:to>
      <xdr:col>3</xdr:col>
      <xdr:colOff>346726</xdr:colOff>
      <xdr:row>17</xdr:row>
      <xdr:rowOff>123605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C6CF56D3-F3F3-4441-AB7F-363FF3282B25}"/>
                </a:ext>
              </a:extLst>
            </xdr:cNvPr>
            <xdr:cNvSpPr txBox="1"/>
          </xdr:nvSpPr>
          <xdr:spPr>
            <a:xfrm>
              <a:off x="1917247" y="3097777"/>
              <a:ext cx="858354" cy="1786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C6CF56D3-F3F3-4441-AB7F-363FF3282B25}"/>
                </a:ext>
              </a:extLst>
            </xdr:cNvPr>
            <xdr:cNvSpPr txBox="1"/>
          </xdr:nvSpPr>
          <xdr:spPr>
            <a:xfrm>
              <a:off x="1917247" y="3097777"/>
              <a:ext cx="858354" cy="1786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𝑞=1−𝑝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261257</xdr:colOff>
      <xdr:row>21</xdr:row>
      <xdr:rowOff>149040</xdr:rowOff>
    </xdr:from>
    <xdr:to>
      <xdr:col>3</xdr:col>
      <xdr:colOff>410089</xdr:colOff>
      <xdr:row>22</xdr:row>
      <xdr:rowOff>177703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5F6AF8A-E85E-45AC-A4C5-962892492111}"/>
                </a:ext>
              </a:extLst>
            </xdr:cNvPr>
            <xdr:cNvSpPr txBox="1"/>
          </xdr:nvSpPr>
          <xdr:spPr>
            <a:xfrm>
              <a:off x="1928132" y="40257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rad>
                      </m:sup>
                    </m:sSup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5F6AF8A-E85E-45AC-A4C5-962892492111}"/>
                </a:ext>
              </a:extLst>
            </xdr:cNvPr>
            <xdr:cNvSpPr txBox="1"/>
          </xdr:nvSpPr>
          <xdr:spPr>
            <a:xfrm>
              <a:off x="1928132" y="4025715"/>
              <a:ext cx="910832" cy="2096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𝑢=𝑒^(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𝜎√∆𝑡)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239484</xdr:colOff>
      <xdr:row>23</xdr:row>
      <xdr:rowOff>61716</xdr:rowOff>
    </xdr:from>
    <xdr:to>
      <xdr:col>3</xdr:col>
      <xdr:colOff>116657</xdr:colOff>
      <xdr:row>25</xdr:row>
      <xdr:rowOff>27606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0CFEF92-31E9-442A-8C14-FD8C4F6D4F10}"/>
                </a:ext>
              </a:extLst>
            </xdr:cNvPr>
            <xdr:cNvSpPr txBox="1"/>
          </xdr:nvSpPr>
          <xdr:spPr>
            <a:xfrm>
              <a:off x="1906359" y="43003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0CFEF92-31E9-442A-8C14-FD8C4F6D4F10}"/>
                </a:ext>
              </a:extLst>
            </xdr:cNvPr>
            <xdr:cNvSpPr txBox="1"/>
          </xdr:nvSpPr>
          <xdr:spPr>
            <a:xfrm>
              <a:off x="1906359" y="4300341"/>
              <a:ext cx="639173" cy="32784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𝑑=1/𝑢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250372</xdr:colOff>
      <xdr:row>29</xdr:row>
      <xdr:rowOff>17121</xdr:rowOff>
    </xdr:from>
    <xdr:to>
      <xdr:col>3</xdr:col>
      <xdr:colOff>346726</xdr:colOff>
      <xdr:row>30</xdr:row>
      <xdr:rowOff>14748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9">
              <a:extLst>
                <a:ext uri="{FF2B5EF4-FFF2-40B4-BE49-F238E27FC236}">
                  <a16:creationId xmlns:a16="http://schemas.microsoft.com/office/drawing/2014/main" id="{D8DA16EF-0681-41F5-BAEA-D60865D70A84}"/>
                </a:ext>
              </a:extLst>
            </xdr:cNvPr>
            <xdr:cNvSpPr txBox="1"/>
          </xdr:nvSpPr>
          <xdr:spPr>
            <a:xfrm>
              <a:off x="1917247" y="5341596"/>
              <a:ext cx="858354" cy="1786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9">
              <a:extLst>
                <a:ext uri="{FF2B5EF4-FFF2-40B4-BE49-F238E27FC236}">
                  <a16:creationId xmlns:a16="http://schemas.microsoft.com/office/drawing/2014/main" id="{D8DA16EF-0681-41F5-BAEA-D60865D70A84}"/>
                </a:ext>
              </a:extLst>
            </xdr:cNvPr>
            <xdr:cNvSpPr txBox="1"/>
          </xdr:nvSpPr>
          <xdr:spPr>
            <a:xfrm>
              <a:off x="1917247" y="5341596"/>
              <a:ext cx="858354" cy="17860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𝑞=1−𝑝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326572</xdr:colOff>
      <xdr:row>25</xdr:row>
      <xdr:rowOff>141515</xdr:rowOff>
    </xdr:from>
    <xdr:to>
      <xdr:col>4</xdr:col>
      <xdr:colOff>206830</xdr:colOff>
      <xdr:row>27</xdr:row>
      <xdr:rowOff>169187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7">
              <a:extLst>
                <a:ext uri="{FF2B5EF4-FFF2-40B4-BE49-F238E27FC236}">
                  <a16:creationId xmlns:a16="http://schemas.microsoft.com/office/drawing/2014/main" id="{DE05A62B-EB98-4B6E-8C64-29A7571EFBD6}"/>
                </a:ext>
              </a:extLst>
            </xdr:cNvPr>
            <xdr:cNvSpPr txBox="1"/>
          </xdr:nvSpPr>
          <xdr:spPr>
            <a:xfrm>
              <a:off x="1993447" y="4742090"/>
              <a:ext cx="1232808" cy="3896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O" sz="120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MX" sz="12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solidFill>
                                      <a:schemeClr val="accent6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7">
              <a:extLst>
                <a:ext uri="{FF2B5EF4-FFF2-40B4-BE49-F238E27FC236}">
                  <a16:creationId xmlns:a16="http://schemas.microsoft.com/office/drawing/2014/main" id="{DE05A62B-EB98-4B6E-8C64-29A7571EFBD6}"/>
                </a:ext>
              </a:extLst>
            </xdr:cNvPr>
            <xdr:cNvSpPr txBox="1"/>
          </xdr:nvSpPr>
          <xdr:spPr>
            <a:xfrm>
              <a:off x="1993447" y="4742090"/>
              <a:ext cx="1232808" cy="3896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𝑝=(𝑒^(</a:t>
              </a:r>
              <a:r>
                <a:rPr lang="es-MX" sz="1200" b="0" i="0">
                  <a:latin typeface="Cambria Math" panose="02040503050406030204" pitchFamily="18" charset="0"/>
                </a:rPr>
                <a:t>(</a:t>
              </a:r>
              <a:r>
                <a:rPr lang="es-CO" sz="120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𝑟</a:t>
              </a:r>
              <a:r>
                <a:rPr lang="es-MX" sz="12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−𝑟_𝑓</a:t>
              </a:r>
              <a:r>
                <a:rPr lang="es-MX" sz="1200" b="0" i="0">
                  <a:latin typeface="Cambria Math" panose="02040503050406030204" pitchFamily="18" charset="0"/>
                </a:rPr>
                <a:t>)</a:t>
              </a:r>
              <a:r>
                <a:rPr lang="es-CO" sz="1200" i="0">
                  <a:latin typeface="Cambria Math" panose="02040503050406030204" pitchFamily="18" charset="0"/>
                </a:rPr>
                <a:t>∆𝑡)−𝑑)/(𝑢−𝑑)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7</xdr:col>
      <xdr:colOff>451757</xdr:colOff>
      <xdr:row>6</xdr:row>
      <xdr:rowOff>87085</xdr:rowOff>
    </xdr:from>
    <xdr:to>
      <xdr:col>10</xdr:col>
      <xdr:colOff>406434</xdr:colOff>
      <xdr:row>7</xdr:row>
      <xdr:rowOff>58205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F0E2CC2-8465-4FBF-BBC4-6F89CD8B69D7}"/>
                </a:ext>
              </a:extLst>
            </xdr:cNvPr>
            <xdr:cNvSpPr txBox="1"/>
          </xdr:nvSpPr>
          <xdr:spPr>
            <a:xfrm>
              <a:off x="6033407" y="1211035"/>
              <a:ext cx="2212102" cy="1901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p>
                    </m:sSup>
                    <m:d>
                      <m:dPr>
                        <m:begChr m:val="["/>
                        <m:endChr m:val="]"/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+(1−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F0E2CC2-8465-4FBF-BBC4-6F89CD8B69D7}"/>
                </a:ext>
              </a:extLst>
            </xdr:cNvPr>
            <xdr:cNvSpPr txBox="1"/>
          </xdr:nvSpPr>
          <xdr:spPr>
            <a:xfrm>
              <a:off x="6033407" y="1211035"/>
              <a:ext cx="2212102" cy="19019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𝑓=𝑒^(−𝑟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∆𝑡) </a:t>
              </a:r>
              <a:r>
                <a:rPr lang="es-CO" sz="1200" i="0">
                  <a:latin typeface="Cambria Math" panose="02040503050406030204" pitchFamily="18" charset="0"/>
                </a:rPr>
                <a:t>[𝑝𝑓_𝑢+(1−𝑝)𝑓_𝑑 ]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0</xdr:col>
      <xdr:colOff>451756</xdr:colOff>
      <xdr:row>37</xdr:row>
      <xdr:rowOff>119965</xdr:rowOff>
    </xdr:from>
    <xdr:to>
      <xdr:col>5</xdr:col>
      <xdr:colOff>446312</xdr:colOff>
      <xdr:row>55</xdr:row>
      <xdr:rowOff>140362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EB71108-4010-4762-8C9A-DF29D8DF1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756" y="6841894"/>
          <a:ext cx="3782785" cy="3253454"/>
        </a:xfrm>
        <a:prstGeom prst="rect">
          <a:avLst/>
        </a:prstGeom>
      </xdr:spPr>
    </xdr:pic>
    <xdr:clientData/>
  </xdr:twoCellAnchor>
  <xdr:twoCellAnchor editAs="oneCell">
    <xdr:from>
      <xdr:col>6</xdr:col>
      <xdr:colOff>696685</xdr:colOff>
      <xdr:row>38</xdr:row>
      <xdr:rowOff>59389</xdr:rowOff>
    </xdr:from>
    <xdr:to>
      <xdr:col>11</xdr:col>
      <xdr:colOff>216664</xdr:colOff>
      <xdr:row>56</xdr:row>
      <xdr:rowOff>18146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3D9616F-4013-4E34-A7BC-39F927614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3114" y="6960932"/>
          <a:ext cx="3705536" cy="31918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217715</xdr:colOff>
      <xdr:row>10</xdr:row>
      <xdr:rowOff>179615</xdr:rowOff>
    </xdr:from>
    <xdr:to>
      <xdr:col>4</xdr:col>
      <xdr:colOff>642158</xdr:colOff>
      <xdr:row>11</xdr:row>
      <xdr:rowOff>174330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17">
              <a:extLst>
                <a:ext uri="{FF2B5EF4-FFF2-40B4-BE49-F238E27FC236}">
                  <a16:creationId xmlns:a16="http://schemas.microsoft.com/office/drawing/2014/main" id="{4CE0BF06-F50E-4389-8D47-E661038AF9FB}"/>
                </a:ext>
              </a:extLst>
            </xdr:cNvPr>
            <xdr:cNvSpPr txBox="1"/>
          </xdr:nvSpPr>
          <xdr:spPr>
            <a:xfrm>
              <a:off x="2722790" y="2065565"/>
              <a:ext cx="1110243" cy="2137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O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</m:rad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3" name="CuadroTexto 17">
              <a:extLst>
                <a:ext uri="{FF2B5EF4-FFF2-40B4-BE49-F238E27FC236}">
                  <a16:creationId xmlns:a16="http://schemas.microsoft.com/office/drawing/2014/main" id="{4CE0BF06-F50E-4389-8D47-E661038AF9FB}"/>
                </a:ext>
              </a:extLst>
            </xdr:cNvPr>
            <xdr:cNvSpPr txBox="1"/>
          </xdr:nvSpPr>
          <xdr:spPr>
            <a:xfrm>
              <a:off x="2722790" y="2065565"/>
              <a:ext cx="1110243" cy="2137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𝑑_2=𝑑_1−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𝜎√𝑇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3</xdr:col>
      <xdr:colOff>283029</xdr:colOff>
      <xdr:row>7</xdr:row>
      <xdr:rowOff>5443</xdr:rowOff>
    </xdr:from>
    <xdr:to>
      <xdr:col>6</xdr:col>
      <xdr:colOff>92452</xdr:colOff>
      <xdr:row>9</xdr:row>
      <xdr:rowOff>201622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8">
              <a:extLst>
                <a:ext uri="{FF2B5EF4-FFF2-40B4-BE49-F238E27FC236}">
                  <a16:creationId xmlns:a16="http://schemas.microsoft.com/office/drawing/2014/main" id="{B7B012F1-5801-4C7A-9884-9D0C2EBA8207}"/>
                </a:ext>
              </a:extLst>
            </xdr:cNvPr>
            <xdr:cNvSpPr txBox="1"/>
          </xdr:nvSpPr>
          <xdr:spPr>
            <a:xfrm>
              <a:off x="2792186" y="1338943"/>
              <a:ext cx="2095423" cy="55540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CO" sz="12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den>
                            </m:f>
                          </m:e>
                        </m:d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CO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CO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O" sz="12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ad>
                          <m:radPr>
                            <m:degHide m:val="on"/>
                            <m:ctrlP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8">
              <a:extLst>
                <a:ext uri="{FF2B5EF4-FFF2-40B4-BE49-F238E27FC236}">
                  <a16:creationId xmlns:a16="http://schemas.microsoft.com/office/drawing/2014/main" id="{B7B012F1-5801-4C7A-9884-9D0C2EBA8207}"/>
                </a:ext>
              </a:extLst>
            </xdr:cNvPr>
            <xdr:cNvSpPr txBox="1"/>
          </xdr:nvSpPr>
          <xdr:spPr>
            <a:xfrm>
              <a:off x="2792186" y="1338943"/>
              <a:ext cx="2095423" cy="55540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𝑑_1=(𝑙𝑛(𝑆_0/𝐾)+(𝑟−𝑟_𝑓+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CO" sz="1200" i="0">
                  <a:latin typeface="Cambria Math" panose="02040503050406030204" pitchFamily="18" charset="0"/>
                </a:rPr>
                <a:t>2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s-CO" sz="1200" i="0">
                  <a:latin typeface="Cambria Math" panose="02040503050406030204" pitchFamily="18" charset="0"/>
                </a:rPr>
                <a:t>2)𝑇)/(</a:t>
              </a:r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𝜎√𝑇)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206828</xdr:colOff>
      <xdr:row>15</xdr:row>
      <xdr:rowOff>174171</xdr:rowOff>
    </xdr:from>
    <xdr:to>
      <xdr:col>6</xdr:col>
      <xdr:colOff>336830</xdr:colOff>
      <xdr:row>17</xdr:row>
      <xdr:rowOff>4353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C87D9E4-22B8-4912-BB6C-01DF833D8581}"/>
                </a:ext>
              </a:extLst>
            </xdr:cNvPr>
            <xdr:cNvSpPr txBox="1"/>
          </xdr:nvSpPr>
          <xdr:spPr>
            <a:xfrm>
              <a:off x="2715985" y="3096985"/>
              <a:ext cx="2416002" cy="18941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r>
                      <a:rPr lang="es-CO" sz="12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CO" sz="12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a:rPr lang="es-CO" sz="120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O" sz="120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C87D9E4-22B8-4912-BB6C-01DF833D8581}"/>
                </a:ext>
              </a:extLst>
            </xdr:cNvPr>
            <xdr:cNvSpPr txBox="1"/>
          </xdr:nvSpPr>
          <xdr:spPr>
            <a:xfrm>
              <a:off x="2715985" y="3096985"/>
              <a:ext cx="2416002" cy="18941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𝑐=𝑆_0 𝑒^(−𝑟_𝑓 𝑇) 𝑁(𝑑_1 )−𝐾𝑒^(−𝑟𝑇) 𝑁(𝑑_2)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261258</xdr:colOff>
      <xdr:row>22</xdr:row>
      <xdr:rowOff>16329</xdr:rowOff>
    </xdr:from>
    <xdr:to>
      <xdr:col>6</xdr:col>
      <xdr:colOff>565940</xdr:colOff>
      <xdr:row>23</xdr:row>
      <xdr:rowOff>26125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E88C710-8C83-4230-8967-1A9B3FDEA559}"/>
                </a:ext>
              </a:extLst>
            </xdr:cNvPr>
            <xdr:cNvSpPr txBox="1"/>
          </xdr:nvSpPr>
          <xdr:spPr>
            <a:xfrm>
              <a:off x="2770415" y="4272643"/>
              <a:ext cx="2590682" cy="18941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𝐾</m:t>
                    </m:r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a:rPr lang="es-CO" sz="12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CO" sz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r>
                      <a:rPr lang="es-CO" sz="12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s-CO" sz="12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E88C710-8C83-4230-8967-1A9B3FDEA559}"/>
                </a:ext>
              </a:extLst>
            </xdr:cNvPr>
            <xdr:cNvSpPr txBox="1"/>
          </xdr:nvSpPr>
          <xdr:spPr>
            <a:xfrm>
              <a:off x="2770415" y="4272643"/>
              <a:ext cx="2590682" cy="18941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i="0">
                  <a:latin typeface="Cambria Math" panose="02040503050406030204" pitchFamily="18" charset="0"/>
                </a:rPr>
                <a:t>𝑝=𝐾𝑒^(−𝑟𝑇) 𝑁(〖−𝑑〗_2 )−𝑆_0 𝑒^(−𝑟_𝑓 𝑇) 𝑁(−𝑑_1 )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8BB3-C141-4A5A-9CDE-C8BC90552F59}">
  <dimension ref="A1:L60"/>
  <sheetViews>
    <sheetView showGridLines="0" tabSelected="1" zoomScale="175" zoomScaleNormal="175" workbookViewId="0">
      <selection sqref="A1:C1"/>
    </sheetView>
  </sheetViews>
  <sheetFormatPr baseColWidth="10" defaultRowHeight="14.25" x14ac:dyDescent="0.2"/>
  <cols>
    <col min="1" max="1" width="13.42578125" style="1" customWidth="1"/>
    <col min="2" max="2" width="11.5703125" style="1" bestFit="1" customWidth="1"/>
    <col min="3" max="3" width="11.42578125" style="1"/>
    <col min="4" max="4" width="8.85546875" style="1" customWidth="1"/>
    <col min="5" max="5" width="11.42578125" style="1"/>
    <col min="6" max="6" width="12.5703125" style="1" customWidth="1"/>
    <col min="7" max="7" width="14.42578125" style="1" customWidth="1"/>
    <col min="8" max="8" width="13.85546875" style="1" customWidth="1"/>
    <col min="9" max="9" width="6.28515625" style="1" customWidth="1"/>
    <col min="10" max="10" width="13.7109375" style="1" customWidth="1"/>
    <col min="11" max="11" width="14.42578125" style="1" customWidth="1"/>
    <col min="12" max="12" width="15.140625" style="1" customWidth="1"/>
    <col min="13" max="16384" width="11.42578125" style="1"/>
  </cols>
  <sheetData>
    <row r="1" spans="1:12" x14ac:dyDescent="0.2">
      <c r="A1" s="14" t="s">
        <v>27</v>
      </c>
      <c r="B1" s="14"/>
      <c r="C1" s="14"/>
    </row>
    <row r="2" spans="1:12" ht="17.25" x14ac:dyDescent="0.3">
      <c r="A2" s="1" t="s">
        <v>26</v>
      </c>
      <c r="B2" s="2">
        <v>1000</v>
      </c>
    </row>
    <row r="3" spans="1:12" x14ac:dyDescent="0.2">
      <c r="A3" s="1" t="s">
        <v>0</v>
      </c>
      <c r="B3" s="3">
        <v>0.2</v>
      </c>
      <c r="C3" s="1" t="s">
        <v>1</v>
      </c>
    </row>
    <row r="4" spans="1:12" x14ac:dyDescent="0.2">
      <c r="A4" s="1" t="s">
        <v>2</v>
      </c>
      <c r="B4" s="1">
        <v>6</v>
      </c>
      <c r="C4" s="1" t="s">
        <v>3</v>
      </c>
    </row>
    <row r="5" spans="1:12" x14ac:dyDescent="0.2">
      <c r="A5" s="1" t="s">
        <v>4</v>
      </c>
      <c r="B5" s="2">
        <v>1050</v>
      </c>
    </row>
    <row r="6" spans="1:12" x14ac:dyDescent="0.2">
      <c r="A6" s="1" t="s">
        <v>5</v>
      </c>
      <c r="B6" s="3">
        <v>0.05</v>
      </c>
      <c r="C6" s="1" t="s">
        <v>6</v>
      </c>
    </row>
    <row r="7" spans="1:12" x14ac:dyDescent="0.2">
      <c r="B7" s="3"/>
    </row>
    <row r="8" spans="1:12" x14ac:dyDescent="0.2">
      <c r="A8" s="15" t="s">
        <v>17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">
      <c r="A9" s="1" t="s">
        <v>7</v>
      </c>
      <c r="B9" s="4">
        <f>6/12</f>
        <v>0.5</v>
      </c>
      <c r="C9" s="1" t="s">
        <v>8</v>
      </c>
    </row>
    <row r="10" spans="1:12" x14ac:dyDescent="0.2">
      <c r="F10" s="16" t="s">
        <v>21</v>
      </c>
      <c r="G10" s="16"/>
      <c r="J10" s="16" t="s">
        <v>22</v>
      </c>
      <c r="K10" s="16"/>
    </row>
    <row r="11" spans="1:12" x14ac:dyDescent="0.2">
      <c r="A11" s="1" t="s">
        <v>9</v>
      </c>
      <c r="B11" s="1">
        <f>+EXP(vol*SQRT(deltaT))</f>
        <v>1.151909910168909</v>
      </c>
    </row>
    <row r="12" spans="1:12" x14ac:dyDescent="0.2">
      <c r="G12" s="5">
        <f>+F13*u</f>
        <v>1151.9099101689089</v>
      </c>
      <c r="K12" s="5">
        <f>+J13*u</f>
        <v>1151.9099101689089</v>
      </c>
    </row>
    <row r="13" spans="1:12" x14ac:dyDescent="0.2">
      <c r="A13" s="1" t="s">
        <v>10</v>
      </c>
      <c r="B13" s="1">
        <f>1/B11</f>
        <v>0.86812344539458486</v>
      </c>
      <c r="F13" s="6">
        <f>+S</f>
        <v>1000</v>
      </c>
      <c r="G13" s="9">
        <f>+MAX(G12-K,0)</f>
        <v>101.90991016890894</v>
      </c>
      <c r="J13" s="6">
        <f>+S</f>
        <v>1000</v>
      </c>
      <c r="K13" s="9">
        <f>+MAX(K-K12,0)</f>
        <v>0</v>
      </c>
    </row>
    <row r="14" spans="1:12" x14ac:dyDescent="0.2">
      <c r="F14" s="10">
        <f>+(G13*p+G15*q)*EXP(-risk*deltaT)</f>
        <v>55.05501951406594</v>
      </c>
      <c r="G14" s="5">
        <f>+F13*d</f>
        <v>868.12344539458491</v>
      </c>
      <c r="J14" s="10">
        <f>+(K13*p+K15*q)*EXP(-risk*deltaT)</f>
        <v>79.130427143815226</v>
      </c>
      <c r="K14" s="5">
        <f>+J13*d</f>
        <v>868.12344539458491</v>
      </c>
    </row>
    <row r="15" spans="1:12" x14ac:dyDescent="0.2">
      <c r="A15" s="1" t="s">
        <v>11</v>
      </c>
      <c r="B15" s="1">
        <f>+(EXP(risk*deltaT)-d)/(u-d)</f>
        <v>0.55390828894833921</v>
      </c>
      <c r="G15" s="9">
        <f>+MAX(G14-K,0)</f>
        <v>0</v>
      </c>
      <c r="K15" s="9">
        <f>+MAX(K-K14,0)</f>
        <v>181.87655460541509</v>
      </c>
    </row>
    <row r="17" spans="1:12" x14ac:dyDescent="0.2">
      <c r="A17" s="1" t="s">
        <v>12</v>
      </c>
      <c r="B17" s="1">
        <f>1-p</f>
        <v>0.44609171105166079</v>
      </c>
      <c r="F17" s="4" t="s">
        <v>13</v>
      </c>
      <c r="G17" s="4" t="s">
        <v>14</v>
      </c>
      <c r="J17" s="4" t="s">
        <v>13</v>
      </c>
      <c r="K17" s="4" t="s">
        <v>14</v>
      </c>
    </row>
    <row r="20" spans="1:12" x14ac:dyDescent="0.2">
      <c r="A20" s="15" t="s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A21" s="1" t="s">
        <v>7</v>
      </c>
      <c r="B21" s="1">
        <f>3/12</f>
        <v>0.25</v>
      </c>
      <c r="C21" s="1" t="s">
        <v>19</v>
      </c>
    </row>
    <row r="23" spans="1:12" x14ac:dyDescent="0.2">
      <c r="A23" s="1" t="s">
        <v>9</v>
      </c>
      <c r="B23" s="1">
        <f>+EXP(vol*SQRT(B21))</f>
        <v>1.1051709180756477</v>
      </c>
      <c r="F23" s="16" t="s">
        <v>21</v>
      </c>
      <c r="G23" s="16"/>
      <c r="H23" s="16"/>
      <c r="J23" s="16" t="s">
        <v>22</v>
      </c>
      <c r="K23" s="16"/>
      <c r="L23" s="16"/>
    </row>
    <row r="25" spans="1:12" x14ac:dyDescent="0.2">
      <c r="A25" s="1" t="s">
        <v>10</v>
      </c>
      <c r="B25" s="1">
        <f>1/B23</f>
        <v>0.90483741803595952</v>
      </c>
      <c r="H25" s="5">
        <f>+G26*B23</f>
        <v>1221.4027581601699</v>
      </c>
      <c r="L25" s="5">
        <f>+K26*B23</f>
        <v>1221.4027581601699</v>
      </c>
    </row>
    <row r="26" spans="1:12" x14ac:dyDescent="0.2">
      <c r="G26" s="5">
        <f>+F27*B23</f>
        <v>1105.1709180756477</v>
      </c>
      <c r="H26" s="9">
        <f>+MAX(H25-K,0)</f>
        <v>171.40275816016992</v>
      </c>
      <c r="K26" s="5">
        <f>+J27*B23</f>
        <v>1105.1709180756477</v>
      </c>
      <c r="L26" s="9">
        <f>+MAX(K-L25,0)</f>
        <v>0</v>
      </c>
    </row>
    <row r="27" spans="1:12" x14ac:dyDescent="0.2">
      <c r="A27" s="1" t="s">
        <v>11</v>
      </c>
      <c r="B27" s="1">
        <f>+(EXP(risk*B21)-B25)/(B23-B25)</f>
        <v>0.53780837195641396</v>
      </c>
      <c r="F27" s="6">
        <f>+S</f>
        <v>1000</v>
      </c>
      <c r="G27" s="9">
        <f>+(H26*$B$27+H28*$B$29)*EXP(-risk*$B$21)</f>
        <v>91.036737128570735</v>
      </c>
      <c r="H27" s="6">
        <f>+G28*B23</f>
        <v>1000.0000000000001</v>
      </c>
      <c r="J27" s="6">
        <f>+S</f>
        <v>1000</v>
      </c>
      <c r="K27" s="9">
        <f>+(L26*$B$27+L28*$B$29)*EXP(-risk*$B$21)</f>
        <v>22.82250957149849</v>
      </c>
      <c r="L27" s="6">
        <f>+K28*B23</f>
        <v>1000.0000000000001</v>
      </c>
    </row>
    <row r="28" spans="1:12" x14ac:dyDescent="0.2">
      <c r="F28" s="10">
        <f>+(G27*$B$27+G29*$B$29)*EXP(-risk*$B$21)</f>
        <v>48.35212452807751</v>
      </c>
      <c r="G28" s="5">
        <f>+F27*B25</f>
        <v>904.83741803595956</v>
      </c>
      <c r="H28" s="9">
        <f>+MAX(H27-K,0)</f>
        <v>0</v>
      </c>
      <c r="J28" s="10">
        <f>+(K27*$B$27+K29*$B$29)*EXP(-risk*$B$21)</f>
        <v>72.427532157826704</v>
      </c>
      <c r="K28" s="5">
        <f>+J27*B25</f>
        <v>904.83741803595956</v>
      </c>
      <c r="L28" s="9">
        <f>+MAX(K-L27,0)</f>
        <v>49.999999999999886</v>
      </c>
    </row>
    <row r="29" spans="1:12" x14ac:dyDescent="0.2">
      <c r="A29" s="1" t="s">
        <v>12</v>
      </c>
      <c r="B29" s="1">
        <f>1-B27</f>
        <v>0.46219162804358604</v>
      </c>
      <c r="G29" s="9">
        <f>+(H28*$B$27+H30*$B$29)*EXP(-risk*$B$21)</f>
        <v>0</v>
      </c>
      <c r="H29" s="5">
        <f>+G28*B25</f>
        <v>818.73075307798183</v>
      </c>
      <c r="K29" s="9">
        <f>+(L28*$B$27+L30*$B$29)*EXP(-risk*$B$21)</f>
        <v>132.11927248261588</v>
      </c>
      <c r="L29" s="5">
        <f>+K28*B25</f>
        <v>818.73075307798183</v>
      </c>
    </row>
    <row r="30" spans="1:12" x14ac:dyDescent="0.2">
      <c r="H30" s="9">
        <f>+MAX(H29-K,0)</f>
        <v>0</v>
      </c>
      <c r="L30" s="9">
        <f>+MAX(K-L29,0)</f>
        <v>231.26924692201817</v>
      </c>
    </row>
    <row r="32" spans="1:12" x14ac:dyDescent="0.2">
      <c r="F32" s="4" t="s">
        <v>13</v>
      </c>
      <c r="G32" s="4" t="s">
        <v>20</v>
      </c>
      <c r="H32" s="4" t="s">
        <v>14</v>
      </c>
      <c r="J32" s="4" t="s">
        <v>13</v>
      </c>
      <c r="K32" s="4" t="s">
        <v>20</v>
      </c>
      <c r="L32" s="4" t="s">
        <v>14</v>
      </c>
    </row>
    <row r="33" spans="1:12" x14ac:dyDescent="0.2">
      <c r="D33" s="7"/>
    </row>
    <row r="35" spans="1:12" x14ac:dyDescent="0.2">
      <c r="A35" s="15" t="s"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7" spans="1:12" x14ac:dyDescent="0.2">
      <c r="B37" s="16" t="s">
        <v>21</v>
      </c>
      <c r="C37" s="16"/>
      <c r="D37" s="16"/>
      <c r="H37" s="16" t="s">
        <v>22</v>
      </c>
      <c r="I37" s="16"/>
      <c r="J37" s="16"/>
    </row>
    <row r="58" spans="1:3" x14ac:dyDescent="0.2">
      <c r="A58" s="8" t="s">
        <v>23</v>
      </c>
      <c r="B58" s="8"/>
      <c r="C58" s="8"/>
    </row>
    <row r="59" spans="1:3" x14ac:dyDescent="0.2">
      <c r="A59" s="1" t="s">
        <v>24</v>
      </c>
      <c r="B59" s="10">
        <v>45.813136870375402</v>
      </c>
    </row>
    <row r="60" spans="1:3" x14ac:dyDescent="0.2">
      <c r="A60" s="1" t="s">
        <v>25</v>
      </c>
      <c r="B60" s="10">
        <v>69.8885445001075</v>
      </c>
    </row>
  </sheetData>
  <mergeCells count="10">
    <mergeCell ref="A1:C1"/>
    <mergeCell ref="A35:L35"/>
    <mergeCell ref="B37:D37"/>
    <mergeCell ref="H37:J37"/>
    <mergeCell ref="F23:H23"/>
    <mergeCell ref="J23:L23"/>
    <mergeCell ref="A8:L8"/>
    <mergeCell ref="A20:L20"/>
    <mergeCell ref="J10:K10"/>
    <mergeCell ref="F10:G10"/>
  </mergeCells>
  <pageMargins left="0.7" right="0.7" top="0.75" bottom="0.75" header="0.3" footer="0.3"/>
  <ignoredErrors>
    <ignoredError sqref="K14 G14 K27:L29 G27:H2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0C0F-963F-4CCF-8D81-BDC54112249C}">
  <dimension ref="A1:L60"/>
  <sheetViews>
    <sheetView showGridLines="0" zoomScale="175" zoomScaleNormal="175" workbookViewId="0">
      <selection sqref="A1:C1"/>
    </sheetView>
  </sheetViews>
  <sheetFormatPr baseColWidth="10" defaultRowHeight="14.25" x14ac:dyDescent="0.2"/>
  <cols>
    <col min="1" max="1" width="14.7109375" style="1" customWidth="1"/>
    <col min="2" max="2" width="11.5703125" style="1" bestFit="1" customWidth="1"/>
    <col min="3" max="3" width="11.42578125" style="1"/>
    <col min="4" max="4" width="10.28515625" style="1" customWidth="1"/>
    <col min="5" max="5" width="11.42578125" style="1"/>
    <col min="6" max="6" width="12.5703125" style="1" customWidth="1"/>
    <col min="7" max="7" width="14.42578125" style="1" customWidth="1"/>
    <col min="8" max="8" width="13.85546875" style="1" customWidth="1"/>
    <col min="9" max="9" width="6.28515625" style="1" customWidth="1"/>
    <col min="10" max="10" width="13.7109375" style="1" customWidth="1"/>
    <col min="11" max="11" width="14.42578125" style="1" customWidth="1"/>
    <col min="12" max="12" width="15.140625" style="1" customWidth="1"/>
    <col min="13" max="16384" width="11.42578125" style="1"/>
  </cols>
  <sheetData>
    <row r="1" spans="1:12" x14ac:dyDescent="0.2">
      <c r="A1" s="14" t="s">
        <v>27</v>
      </c>
      <c r="B1" s="14"/>
      <c r="C1" s="14"/>
    </row>
    <row r="2" spans="1:12" ht="17.25" x14ac:dyDescent="0.3">
      <c r="A2" s="1" t="s">
        <v>26</v>
      </c>
      <c r="B2" s="2">
        <v>1000</v>
      </c>
    </row>
    <row r="3" spans="1:12" x14ac:dyDescent="0.2">
      <c r="A3" s="1" t="s">
        <v>0</v>
      </c>
      <c r="B3" s="3">
        <v>0.2</v>
      </c>
      <c r="C3" s="1" t="s">
        <v>1</v>
      </c>
    </row>
    <row r="4" spans="1:12" x14ac:dyDescent="0.2">
      <c r="A4" s="1" t="s">
        <v>2</v>
      </c>
      <c r="B4" s="1">
        <v>6</v>
      </c>
      <c r="C4" s="1" t="s">
        <v>3</v>
      </c>
    </row>
    <row r="5" spans="1:12" x14ac:dyDescent="0.2">
      <c r="A5" s="1" t="s">
        <v>4</v>
      </c>
      <c r="B5" s="2">
        <v>1050</v>
      </c>
    </row>
    <row r="6" spans="1:12" x14ac:dyDescent="0.2">
      <c r="A6" s="1" t="s">
        <v>5</v>
      </c>
      <c r="B6" s="3">
        <v>0.05</v>
      </c>
      <c r="C6" s="1" t="s">
        <v>6</v>
      </c>
    </row>
    <row r="7" spans="1:12" x14ac:dyDescent="0.2">
      <c r="B7" s="3"/>
    </row>
    <row r="8" spans="1:12" x14ac:dyDescent="0.2">
      <c r="A8" s="15" t="s">
        <v>17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">
      <c r="A9" s="1" t="s">
        <v>7</v>
      </c>
      <c r="B9" s="4">
        <f>6/12</f>
        <v>0.5</v>
      </c>
      <c r="C9" s="1" t="s">
        <v>8</v>
      </c>
    </row>
    <row r="10" spans="1:12" x14ac:dyDescent="0.2">
      <c r="F10" s="16" t="s">
        <v>39</v>
      </c>
      <c r="G10" s="16"/>
      <c r="J10" s="16" t="s">
        <v>40</v>
      </c>
      <c r="K10" s="16"/>
    </row>
    <row r="11" spans="1:12" x14ac:dyDescent="0.2">
      <c r="A11" s="1" t="s">
        <v>9</v>
      </c>
      <c r="B11" s="1">
        <f>+EXP(vol*SQRT(deltaT))</f>
        <v>1.151909910168909</v>
      </c>
    </row>
    <row r="12" spans="1:12" x14ac:dyDescent="0.2">
      <c r="G12" s="5">
        <f>+F13*u</f>
        <v>1151.9099101689089</v>
      </c>
      <c r="K12" s="5">
        <f>+J13*u</f>
        <v>1151.9099101689089</v>
      </c>
    </row>
    <row r="13" spans="1:12" x14ac:dyDescent="0.2">
      <c r="A13" s="1" t="s">
        <v>10</v>
      </c>
      <c r="B13" s="1">
        <f>1/B11</f>
        <v>0.86812344539458486</v>
      </c>
      <c r="F13" s="6">
        <f>+S</f>
        <v>1000</v>
      </c>
      <c r="G13" s="9">
        <f>+MAX(G12-K,0)</f>
        <v>101.90991016890894</v>
      </c>
      <c r="J13" s="6">
        <f>+S</f>
        <v>1000</v>
      </c>
      <c r="K13" s="9">
        <f>+MAX(K-K12,0)</f>
        <v>0</v>
      </c>
    </row>
    <row r="14" spans="1:12" x14ac:dyDescent="0.2">
      <c r="F14" s="10">
        <f>+MAX((G13*p+G15*q)*EXP(-risk*deltaT),MAX(F13-K,0))</f>
        <v>55.05501951406594</v>
      </c>
      <c r="G14" s="5">
        <f>+F13*d</f>
        <v>868.12344539458491</v>
      </c>
      <c r="J14" s="10">
        <f>+MAX((K13*p+K15*q)*EXP(-risk*deltaT),MAX(K-J13,0))</f>
        <v>79.130427143815226</v>
      </c>
      <c r="K14" s="5">
        <f>+J13*d</f>
        <v>868.12344539458491</v>
      </c>
    </row>
    <row r="15" spans="1:12" x14ac:dyDescent="0.2">
      <c r="A15" s="1" t="s">
        <v>11</v>
      </c>
      <c r="B15" s="1">
        <f>+(EXP(risk*deltaT)-d)/(u-d)</f>
        <v>0.55390828894833921</v>
      </c>
      <c r="G15" s="9">
        <f>+MAX(G14-K,0)</f>
        <v>0</v>
      </c>
      <c r="K15" s="9">
        <f>+MAX(K-K14,0)</f>
        <v>181.87655460541509</v>
      </c>
    </row>
    <row r="17" spans="1:12" x14ac:dyDescent="0.2">
      <c r="A17" s="1" t="s">
        <v>12</v>
      </c>
      <c r="B17" s="1">
        <f>1-p</f>
        <v>0.44609171105166079</v>
      </c>
      <c r="F17" s="4" t="s">
        <v>13</v>
      </c>
      <c r="G17" s="4" t="s">
        <v>14</v>
      </c>
      <c r="J17" s="4" t="s">
        <v>13</v>
      </c>
      <c r="K17" s="4" t="s">
        <v>14</v>
      </c>
    </row>
    <row r="20" spans="1:12" x14ac:dyDescent="0.2">
      <c r="A20" s="15" t="s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A21" s="1" t="s">
        <v>7</v>
      </c>
      <c r="B21" s="1">
        <f>3/12</f>
        <v>0.25</v>
      </c>
      <c r="C21" s="1" t="s">
        <v>19</v>
      </c>
      <c r="I21" s="11"/>
    </row>
    <row r="23" spans="1:12" x14ac:dyDescent="0.2">
      <c r="A23" s="1" t="s">
        <v>9</v>
      </c>
      <c r="B23" s="1">
        <f>+EXP(vol*SQRT(B21))</f>
        <v>1.1051709180756477</v>
      </c>
      <c r="F23" s="16" t="s">
        <v>39</v>
      </c>
      <c r="G23" s="16"/>
      <c r="H23" s="16"/>
      <c r="J23" s="16" t="s">
        <v>40</v>
      </c>
      <c r="K23" s="16"/>
      <c r="L23" s="16"/>
    </row>
    <row r="25" spans="1:12" x14ac:dyDescent="0.2">
      <c r="A25" s="1" t="s">
        <v>10</v>
      </c>
      <c r="B25" s="1">
        <f>1/B23</f>
        <v>0.90483741803595952</v>
      </c>
      <c r="H25" s="5">
        <f>+G26*B23</f>
        <v>1221.4027581601699</v>
      </c>
      <c r="L25" s="5">
        <f>+K26*B23</f>
        <v>1221.4027581601699</v>
      </c>
    </row>
    <row r="26" spans="1:12" x14ac:dyDescent="0.2">
      <c r="G26" s="5">
        <f>+F27*B23</f>
        <v>1105.1709180756477</v>
      </c>
      <c r="H26" s="9">
        <f>+MAX(H25-K,0)</f>
        <v>171.40275816016992</v>
      </c>
      <c r="K26" s="5">
        <f>+J27*B23</f>
        <v>1105.1709180756477</v>
      </c>
      <c r="L26" s="9">
        <f>+MAX(K-L25,0)</f>
        <v>0</v>
      </c>
    </row>
    <row r="27" spans="1:12" x14ac:dyDescent="0.2">
      <c r="A27" s="1" t="s">
        <v>11</v>
      </c>
      <c r="B27" s="1">
        <f>+(EXP(risk*B21)-B25)/(B23-B25)</f>
        <v>0.53780837195641396</v>
      </c>
      <c r="F27" s="6">
        <f>+S</f>
        <v>1000</v>
      </c>
      <c r="G27" s="9">
        <f>+MAX((H26*$B$27+H28*$B$29)*EXP(-risk*$B$21),MAX(G26-K,0))</f>
        <v>91.036737128570735</v>
      </c>
      <c r="H27" s="6">
        <f>+G28*B23</f>
        <v>1000.0000000000001</v>
      </c>
      <c r="J27" s="6">
        <f>+S</f>
        <v>1000</v>
      </c>
      <c r="K27" s="9">
        <f>+MAX((L26*$B$27+L28*$B$29)*EXP(-risk*$B$21),MAX(K-K26,0))</f>
        <v>22.82250957149849</v>
      </c>
      <c r="L27" s="6">
        <f>+K28*B23</f>
        <v>1000.0000000000001</v>
      </c>
    </row>
    <row r="28" spans="1:12" x14ac:dyDescent="0.2">
      <c r="F28" s="10">
        <f>+MAX((G27*$B$27+G29*$B$29)*EXP(-risk*$B$21),MAX(F27-K,0))</f>
        <v>48.35212452807751</v>
      </c>
      <c r="G28" s="5">
        <f>+F27*B25</f>
        <v>904.83741803595956</v>
      </c>
      <c r="H28" s="9">
        <f>+MAX(H27-K,0)</f>
        <v>0</v>
      </c>
      <c r="J28" s="10">
        <f>+MAX((K27*$B$27+K29*$B$29)*EXP(-risk*$B$21),MAX(K-J27,0))</f>
        <v>78.381153267503294</v>
      </c>
      <c r="K28" s="5">
        <f>+J27*B25</f>
        <v>904.83741803595956</v>
      </c>
      <c r="L28" s="9">
        <f>+MAX(K-L27,0)</f>
        <v>49.999999999999886</v>
      </c>
    </row>
    <row r="29" spans="1:12" x14ac:dyDescent="0.2">
      <c r="A29" s="1" t="s">
        <v>12</v>
      </c>
      <c r="B29" s="1">
        <f>1-B27</f>
        <v>0.46219162804358604</v>
      </c>
      <c r="G29" s="9">
        <f>+MAX((H28*$B$27+H30*$B$29)*EXP(-risk*$B$21),MAX(G28-K,0))</f>
        <v>0</v>
      </c>
      <c r="H29" s="5">
        <f>+G28*B25</f>
        <v>818.73075307798183</v>
      </c>
      <c r="K29" s="9">
        <f>+MAX((L28*$B$27+L30*$B$29)*EXP(-risk*$B$21),MAX(K-K28,0))</f>
        <v>145.16258196404044</v>
      </c>
      <c r="L29" s="5">
        <f>+K28*B25</f>
        <v>818.73075307798183</v>
      </c>
    </row>
    <row r="30" spans="1:12" x14ac:dyDescent="0.2">
      <c r="H30" s="9">
        <f>+MAX(H29-K,0)</f>
        <v>0</v>
      </c>
      <c r="L30" s="9">
        <f>+MAX(K-L29,0)</f>
        <v>231.26924692201817</v>
      </c>
    </row>
    <row r="32" spans="1:12" x14ac:dyDescent="0.2">
      <c r="F32" s="4" t="s">
        <v>13</v>
      </c>
      <c r="G32" s="4" t="s">
        <v>20</v>
      </c>
      <c r="H32" s="4" t="s">
        <v>14</v>
      </c>
      <c r="J32" s="4" t="s">
        <v>13</v>
      </c>
      <c r="K32" s="4" t="s">
        <v>20</v>
      </c>
      <c r="L32" s="4" t="s">
        <v>14</v>
      </c>
    </row>
    <row r="33" spans="1:12" x14ac:dyDescent="0.2">
      <c r="D33" s="7"/>
    </row>
    <row r="35" spans="1:12" x14ac:dyDescent="0.2">
      <c r="A35" s="15" t="s"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7" spans="1:12" x14ac:dyDescent="0.2">
      <c r="B37" s="16" t="s">
        <v>39</v>
      </c>
      <c r="C37" s="16"/>
      <c r="D37" s="16"/>
      <c r="H37" s="16" t="s">
        <v>40</v>
      </c>
      <c r="I37" s="16"/>
      <c r="J37" s="16"/>
    </row>
    <row r="58" spans="1:3" x14ac:dyDescent="0.2">
      <c r="A58" s="8" t="s">
        <v>23</v>
      </c>
      <c r="B58" s="8"/>
      <c r="C58" s="8"/>
    </row>
    <row r="59" spans="1:3" x14ac:dyDescent="0.2">
      <c r="A59" s="1" t="s">
        <v>41</v>
      </c>
      <c r="B59" s="10">
        <v>45.813136870375402</v>
      </c>
    </row>
    <row r="60" spans="1:3" x14ac:dyDescent="0.2">
      <c r="A60" s="1" t="s">
        <v>42</v>
      </c>
      <c r="B60" s="10">
        <v>74.365645023472894</v>
      </c>
    </row>
  </sheetData>
  <mergeCells count="10">
    <mergeCell ref="A35:L35"/>
    <mergeCell ref="B37:D37"/>
    <mergeCell ref="H37:J37"/>
    <mergeCell ref="A1:C1"/>
    <mergeCell ref="A8:L8"/>
    <mergeCell ref="F10:G10"/>
    <mergeCell ref="J10:K10"/>
    <mergeCell ref="A20:L20"/>
    <mergeCell ref="F23:H23"/>
    <mergeCell ref="J23:L23"/>
  </mergeCells>
  <pageMargins left="0.7" right="0.7" top="0.75" bottom="0.75" header="0.3" footer="0.3"/>
  <ignoredErrors>
    <ignoredError sqref="G14 K14 G27:H29 K28:L28 L27 L2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FD51-BDE5-484D-A9C5-E688BCC4A316}">
  <dimension ref="A1:C23"/>
  <sheetViews>
    <sheetView showGridLines="0" zoomScale="175" zoomScaleNormal="175" workbookViewId="0">
      <selection sqref="A1:C1"/>
    </sheetView>
  </sheetViews>
  <sheetFormatPr baseColWidth="10" defaultRowHeight="14.25" x14ac:dyDescent="0.2"/>
  <cols>
    <col min="1" max="1" width="13.42578125" style="1" customWidth="1"/>
    <col min="2" max="2" width="12.7109375" style="1" bestFit="1" customWidth="1"/>
    <col min="3" max="3" width="11.42578125" style="1"/>
    <col min="4" max="4" width="10.28515625" style="1" customWidth="1"/>
    <col min="5" max="5" width="11.42578125" style="1"/>
    <col min="6" max="6" width="12.5703125" style="1" customWidth="1"/>
    <col min="7" max="7" width="14.42578125" style="1" customWidth="1"/>
    <col min="8" max="8" width="13.85546875" style="1" customWidth="1"/>
    <col min="9" max="9" width="6.28515625" style="1" customWidth="1"/>
    <col min="10" max="10" width="13.7109375" style="1" customWidth="1"/>
    <col min="11" max="11" width="14.42578125" style="1" customWidth="1"/>
    <col min="12" max="12" width="15.140625" style="1" customWidth="1"/>
    <col min="13" max="16384" width="11.42578125" style="1"/>
  </cols>
  <sheetData>
    <row r="1" spans="1:3" x14ac:dyDescent="0.2">
      <c r="A1" s="14" t="s">
        <v>27</v>
      </c>
      <c r="B1" s="14"/>
      <c r="C1" s="14"/>
    </row>
    <row r="2" spans="1:3" ht="17.25" x14ac:dyDescent="0.3">
      <c r="A2" s="1" t="s">
        <v>26</v>
      </c>
      <c r="B2" s="2">
        <v>1000</v>
      </c>
    </row>
    <row r="3" spans="1:3" x14ac:dyDescent="0.2">
      <c r="A3" s="1" t="s">
        <v>0</v>
      </c>
      <c r="B3" s="3">
        <v>0.2</v>
      </c>
      <c r="C3" s="1" t="s">
        <v>1</v>
      </c>
    </row>
    <row r="4" spans="1:3" x14ac:dyDescent="0.2">
      <c r="A4" s="1" t="s">
        <v>2</v>
      </c>
      <c r="B4" s="1">
        <v>6</v>
      </c>
      <c r="C4" s="1" t="s">
        <v>3</v>
      </c>
    </row>
    <row r="5" spans="1:3" x14ac:dyDescent="0.2">
      <c r="A5" s="1" t="s">
        <v>4</v>
      </c>
      <c r="B5" s="2">
        <v>1050</v>
      </c>
    </row>
    <row r="6" spans="1:3" x14ac:dyDescent="0.2">
      <c r="A6" s="1" t="s">
        <v>5</v>
      </c>
      <c r="B6" s="3">
        <v>0.05</v>
      </c>
      <c r="C6" s="1" t="s">
        <v>6</v>
      </c>
    </row>
    <row r="7" spans="1:3" x14ac:dyDescent="0.2">
      <c r="B7" s="3"/>
    </row>
    <row r="8" spans="1:3" x14ac:dyDescent="0.2">
      <c r="B8" s="3"/>
    </row>
    <row r="10" spans="1:3" ht="17.25" x14ac:dyDescent="0.3">
      <c r="A10" s="1" t="s">
        <v>29</v>
      </c>
      <c r="B10" s="1">
        <f>+(LN(S/K)+(risk+vol^2/2)*T/12)/(vol*SQRT(T/12))</f>
        <v>-9.751118597881156E-2</v>
      </c>
    </row>
    <row r="11" spans="1:3" ht="17.25" x14ac:dyDescent="0.3">
      <c r="A11" s="1" t="s">
        <v>30</v>
      </c>
      <c r="B11" s="1">
        <f>+B10-vol*SQRT(T/12)</f>
        <v>-0.23893254221612109</v>
      </c>
    </row>
    <row r="14" spans="1:3" ht="17.25" x14ac:dyDescent="0.3">
      <c r="A14" s="1" t="s">
        <v>31</v>
      </c>
      <c r="B14" s="1">
        <f>+NORMSDIST(d_1)</f>
        <v>0.4611602257190508</v>
      </c>
    </row>
    <row r="15" spans="1:3" ht="17.25" x14ac:dyDescent="0.3">
      <c r="A15" s="1" t="s">
        <v>32</v>
      </c>
      <c r="B15" s="1">
        <f>+NORMSDIST(d_2)</f>
        <v>0.40557894560223307</v>
      </c>
      <c r="C15" s="1" t="s">
        <v>35</v>
      </c>
    </row>
    <row r="17" spans="1:3" x14ac:dyDescent="0.2">
      <c r="A17" s="1" t="s">
        <v>15</v>
      </c>
      <c r="B17" s="12">
        <f>+S*B14-K*EXP(-risk*T/12)*B15</f>
        <v>45.816801675400086</v>
      </c>
    </row>
    <row r="20" spans="1:3" ht="17.25" x14ac:dyDescent="0.3">
      <c r="A20" s="1" t="s">
        <v>33</v>
      </c>
      <c r="B20" s="1">
        <f>1-B14</f>
        <v>0.5388397742809492</v>
      </c>
    </row>
    <row r="21" spans="1:3" ht="17.25" x14ac:dyDescent="0.3">
      <c r="A21" s="1" t="s">
        <v>34</v>
      </c>
      <c r="B21" s="1">
        <f>1-B15</f>
        <v>0.59442105439776693</v>
      </c>
      <c r="C21" s="1" t="s">
        <v>36</v>
      </c>
    </row>
    <row r="23" spans="1:3" x14ac:dyDescent="0.2">
      <c r="A23" s="1" t="s">
        <v>16</v>
      </c>
      <c r="B23" s="12">
        <f>+K*EXP(-risk*T/12)*B21-S*B20</f>
        <v>69.892209305149322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0005-8FEA-4E45-A4EE-2E60737221EB}">
  <dimension ref="A1:L60"/>
  <sheetViews>
    <sheetView showGridLines="0" zoomScale="175" zoomScaleNormal="175" workbookViewId="0">
      <selection sqref="A1:C1"/>
    </sheetView>
  </sheetViews>
  <sheetFormatPr baseColWidth="10" defaultRowHeight="14.25" x14ac:dyDescent="0.2"/>
  <cols>
    <col min="1" max="1" width="13.42578125" style="1" customWidth="1"/>
    <col min="2" max="2" width="11.5703125" style="1" bestFit="1" customWidth="1"/>
    <col min="3" max="3" width="11.42578125" style="1"/>
    <col min="4" max="4" width="8.85546875" style="1" customWidth="1"/>
    <col min="5" max="5" width="11.42578125" style="1"/>
    <col min="6" max="6" width="12.5703125" style="1" customWidth="1"/>
    <col min="7" max="7" width="14.42578125" style="1" customWidth="1"/>
    <col min="8" max="8" width="13.85546875" style="1" customWidth="1"/>
    <col min="9" max="9" width="6.28515625" style="1" customWidth="1"/>
    <col min="10" max="10" width="13.7109375" style="1" customWidth="1"/>
    <col min="11" max="11" width="14.42578125" style="1" customWidth="1"/>
    <col min="12" max="12" width="15.140625" style="1" customWidth="1"/>
    <col min="13" max="16384" width="11.42578125" style="1"/>
  </cols>
  <sheetData>
    <row r="1" spans="1:12" x14ac:dyDescent="0.2">
      <c r="A1" s="14" t="s">
        <v>38</v>
      </c>
      <c r="B1" s="14"/>
      <c r="C1" s="14"/>
    </row>
    <row r="2" spans="1:12" ht="17.25" x14ac:dyDescent="0.3">
      <c r="A2" s="1" t="s">
        <v>26</v>
      </c>
      <c r="B2" s="2">
        <v>1000</v>
      </c>
    </row>
    <row r="3" spans="1:12" x14ac:dyDescent="0.2">
      <c r="A3" s="1" t="s">
        <v>0</v>
      </c>
      <c r="B3" s="3">
        <v>0.2</v>
      </c>
      <c r="C3" s="1" t="s">
        <v>1</v>
      </c>
    </row>
    <row r="4" spans="1:12" x14ac:dyDescent="0.2">
      <c r="A4" s="1" t="s">
        <v>2</v>
      </c>
      <c r="B4" s="1">
        <v>6</v>
      </c>
      <c r="C4" s="1" t="s">
        <v>3</v>
      </c>
    </row>
    <row r="5" spans="1:12" x14ac:dyDescent="0.2">
      <c r="A5" s="1" t="s">
        <v>4</v>
      </c>
      <c r="B5" s="2">
        <v>1050</v>
      </c>
    </row>
    <row r="6" spans="1:12" x14ac:dyDescent="0.2">
      <c r="A6" s="1" t="s">
        <v>5</v>
      </c>
      <c r="B6" s="3">
        <v>0.05</v>
      </c>
      <c r="C6" s="1" t="s">
        <v>6</v>
      </c>
    </row>
    <row r="7" spans="1:12" ht="17.25" x14ac:dyDescent="0.3">
      <c r="A7" s="13" t="s">
        <v>37</v>
      </c>
      <c r="B7" s="3">
        <v>0.02</v>
      </c>
      <c r="C7" s="1" t="s">
        <v>6</v>
      </c>
    </row>
    <row r="8" spans="1:12" x14ac:dyDescent="0.2">
      <c r="A8" s="15" t="s">
        <v>17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">
      <c r="A9" s="1" t="s">
        <v>7</v>
      </c>
      <c r="B9" s="4">
        <f>6/12</f>
        <v>0.5</v>
      </c>
      <c r="C9" s="1" t="s">
        <v>8</v>
      </c>
    </row>
    <row r="10" spans="1:12" x14ac:dyDescent="0.2">
      <c r="F10" s="16" t="s">
        <v>21</v>
      </c>
      <c r="G10" s="16"/>
      <c r="J10" s="16" t="s">
        <v>22</v>
      </c>
      <c r="K10" s="16"/>
    </row>
    <row r="11" spans="1:12" x14ac:dyDescent="0.2">
      <c r="A11" s="1" t="s">
        <v>9</v>
      </c>
      <c r="B11" s="1">
        <f>+EXP(vol*SQRT(deltaT))</f>
        <v>1.151909910168909</v>
      </c>
    </row>
    <row r="12" spans="1:12" x14ac:dyDescent="0.2">
      <c r="G12" s="5">
        <f>+F13*u</f>
        <v>1151.9099101689089</v>
      </c>
      <c r="K12" s="5">
        <f>+J13*u</f>
        <v>1151.9099101689089</v>
      </c>
    </row>
    <row r="13" spans="1:12" x14ac:dyDescent="0.2">
      <c r="A13" s="1" t="s">
        <v>10</v>
      </c>
      <c r="B13" s="1">
        <f>1/B11</f>
        <v>0.86812344539458486</v>
      </c>
      <c r="F13" s="6">
        <f>+S</f>
        <v>1000</v>
      </c>
      <c r="G13" s="9">
        <f>+MAX(G12-K,0)</f>
        <v>101.90991016890894</v>
      </c>
      <c r="J13" s="6">
        <f>+S</f>
        <v>1000</v>
      </c>
      <c r="K13" s="9">
        <f>+MAX(K-K12,0)</f>
        <v>0</v>
      </c>
    </row>
    <row r="14" spans="1:12" x14ac:dyDescent="0.2">
      <c r="F14" s="10">
        <f>+(G13*p+G15*q)*EXP(-risk*deltaT)</f>
        <v>51.481838003825906</v>
      </c>
      <c r="G14" s="5">
        <f>+F13*d</f>
        <v>868.12344539458491</v>
      </c>
      <c r="J14" s="10">
        <f>+(K13*p+K15*q)*EXP(-risk*deltaT)</f>
        <v>85.50741188440719</v>
      </c>
      <c r="K14" s="5">
        <f>+J13*d</f>
        <v>868.12344539458491</v>
      </c>
    </row>
    <row r="15" spans="1:12" x14ac:dyDescent="0.2">
      <c r="A15" s="1" t="s">
        <v>11</v>
      </c>
      <c r="B15" s="1">
        <f>+(EXP((risk-rf)*deltaT)-d)/(u-d)</f>
        <v>0.51795852680297783</v>
      </c>
      <c r="G15" s="9">
        <f>+MAX(G14-K,0)</f>
        <v>0</v>
      </c>
      <c r="K15" s="9">
        <f>+MAX(K-K14,0)</f>
        <v>181.87655460541509</v>
      </c>
    </row>
    <row r="17" spans="1:12" x14ac:dyDescent="0.2">
      <c r="A17" s="1" t="s">
        <v>12</v>
      </c>
      <c r="B17" s="1">
        <f>1-p</f>
        <v>0.48204147319702217</v>
      </c>
      <c r="F17" s="4" t="s">
        <v>13</v>
      </c>
      <c r="G17" s="4" t="s">
        <v>14</v>
      </c>
      <c r="J17" s="4" t="s">
        <v>13</v>
      </c>
      <c r="K17" s="4" t="s">
        <v>14</v>
      </c>
    </row>
    <row r="20" spans="1:12" x14ac:dyDescent="0.2">
      <c r="A20" s="15" t="s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A21" s="1" t="s">
        <v>7</v>
      </c>
      <c r="B21" s="1">
        <f>3/12</f>
        <v>0.25</v>
      </c>
      <c r="C21" s="1" t="s">
        <v>19</v>
      </c>
    </row>
    <row r="23" spans="1:12" x14ac:dyDescent="0.2">
      <c r="A23" s="1" t="s">
        <v>9</v>
      </c>
      <c r="B23" s="1">
        <f>+EXP(vol*SQRT(B21))</f>
        <v>1.1051709180756477</v>
      </c>
      <c r="F23" s="16" t="s">
        <v>21</v>
      </c>
      <c r="G23" s="16"/>
      <c r="H23" s="16"/>
      <c r="J23" s="16" t="s">
        <v>22</v>
      </c>
      <c r="K23" s="16"/>
      <c r="L23" s="16"/>
    </row>
    <row r="25" spans="1:12" x14ac:dyDescent="0.2">
      <c r="A25" s="1" t="s">
        <v>10</v>
      </c>
      <c r="B25" s="1">
        <f>1/B23</f>
        <v>0.90483741803595952</v>
      </c>
      <c r="H25" s="5">
        <f>+G26*B23</f>
        <v>1221.4027581601699</v>
      </c>
      <c r="L25" s="5">
        <f>+K26*B23</f>
        <v>1221.4027581601699</v>
      </c>
    </row>
    <row r="26" spans="1:12" x14ac:dyDescent="0.2">
      <c r="G26" s="5">
        <f>+F27*B23</f>
        <v>1105.1709180756477</v>
      </c>
      <c r="H26" s="9">
        <f>+MAX(H25-K,0)</f>
        <v>171.40275816016992</v>
      </c>
      <c r="K26" s="5">
        <f>+J27*B23</f>
        <v>1105.1709180756477</v>
      </c>
      <c r="L26" s="9">
        <f>+MAX(K-L25,0)</f>
        <v>0</v>
      </c>
    </row>
    <row r="27" spans="1:12" x14ac:dyDescent="0.2">
      <c r="A27" s="1" t="s">
        <v>11</v>
      </c>
      <c r="B27" s="1">
        <f>+(EXP((risk-rf)*B21)-B25)/(B23-B25)</f>
        <v>0.51259912789538553</v>
      </c>
      <c r="F27" s="6">
        <f>+S</f>
        <v>1000</v>
      </c>
      <c r="G27" s="9">
        <f>+(H26*$B$27+H28*$B$29)*EXP(-risk*$B$21)</f>
        <v>86.769478669121128</v>
      </c>
      <c r="H27" s="6">
        <f>+G28*B23</f>
        <v>1000.0000000000001</v>
      </c>
      <c r="J27" s="6">
        <f>+S</f>
        <v>1000</v>
      </c>
      <c r="K27" s="9">
        <f>+(L26*$B$27+L28*$B$29)*EXP(-risk*$B$21)</f>
        <v>24.067314061593681</v>
      </c>
      <c r="L27" s="6">
        <f>+K28*B23</f>
        <v>1000.0000000000001</v>
      </c>
    </row>
    <row r="28" spans="1:12" x14ac:dyDescent="0.2">
      <c r="F28" s="10">
        <f>+(G27*$B$27+G29*$B$29)*EXP(-risk*$B$21)</f>
        <v>43.925445012241468</v>
      </c>
      <c r="G28" s="5">
        <f>+F27*B25</f>
        <v>904.83741803595956</v>
      </c>
      <c r="H28" s="9">
        <f>+MAX(H27-K,0)</f>
        <v>0</v>
      </c>
      <c r="J28" s="10">
        <f>+(K27*$B$27+K29*$B$29)*EXP(-risk*$B$21)</f>
        <v>77.95101889282283</v>
      </c>
      <c r="K28" s="5">
        <f>+J27*B25</f>
        <v>904.83741803595956</v>
      </c>
      <c r="L28" s="9">
        <f>+MAX(K-L27,0)</f>
        <v>49.999999999999886</v>
      </c>
    </row>
    <row r="29" spans="1:12" x14ac:dyDescent="0.2">
      <c r="A29" s="1" t="s">
        <v>12</v>
      </c>
      <c r="B29" s="1">
        <f>1-B27</f>
        <v>0.48740087210461447</v>
      </c>
      <c r="G29" s="9">
        <f>+(H28*$B$27+H30*$B$29)*EXP(-risk*$B$21)</f>
        <v>0</v>
      </c>
      <c r="H29" s="5">
        <f>+G28*B25</f>
        <v>818.73075307798183</v>
      </c>
      <c r="K29" s="9">
        <f>+(L28*$B$27+L30*$B$29)*EXP(-risk*$B$21)</f>
        <v>136.63216793230993</v>
      </c>
      <c r="L29" s="5">
        <f>+K28*B25</f>
        <v>818.73075307798183</v>
      </c>
    </row>
    <row r="30" spans="1:12" x14ac:dyDescent="0.2">
      <c r="H30" s="9">
        <f>+MAX(H29-K,0)</f>
        <v>0</v>
      </c>
      <c r="L30" s="9">
        <f>+MAX(K-L29,0)</f>
        <v>231.26924692201817</v>
      </c>
    </row>
    <row r="32" spans="1:12" x14ac:dyDescent="0.2">
      <c r="F32" s="4" t="s">
        <v>13</v>
      </c>
      <c r="G32" s="4" t="s">
        <v>20</v>
      </c>
      <c r="H32" s="4" t="s">
        <v>14</v>
      </c>
      <c r="J32" s="4" t="s">
        <v>13</v>
      </c>
      <c r="K32" s="4" t="s">
        <v>20</v>
      </c>
      <c r="L32" s="4" t="s">
        <v>14</v>
      </c>
    </row>
    <row r="33" spans="1:12" x14ac:dyDescent="0.2">
      <c r="D33" s="7"/>
    </row>
    <row r="35" spans="1:12" x14ac:dyDescent="0.2">
      <c r="A35" s="15" t="s"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7" spans="1:12" x14ac:dyDescent="0.2">
      <c r="B37" s="16" t="s">
        <v>21</v>
      </c>
      <c r="C37" s="16"/>
      <c r="D37" s="16"/>
      <c r="H37" s="16" t="s">
        <v>22</v>
      </c>
      <c r="I37" s="16"/>
      <c r="J37" s="16"/>
    </row>
    <row r="58" spans="1:3" x14ac:dyDescent="0.2">
      <c r="A58" s="15" t="s">
        <v>23</v>
      </c>
      <c r="B58" s="15"/>
      <c r="C58" s="15"/>
    </row>
    <row r="59" spans="1:3" x14ac:dyDescent="0.2">
      <c r="A59" s="1" t="s">
        <v>24</v>
      </c>
      <c r="B59" s="10">
        <v>41.364694755898398</v>
      </c>
    </row>
    <row r="60" spans="1:3" x14ac:dyDescent="0.2">
      <c r="A60" s="1" t="s">
        <v>25</v>
      </c>
      <c r="B60" s="10">
        <v>75.390268636498305</v>
      </c>
    </row>
  </sheetData>
  <mergeCells count="11">
    <mergeCell ref="A35:L35"/>
    <mergeCell ref="B37:D37"/>
    <mergeCell ref="H37:J37"/>
    <mergeCell ref="A58:C58"/>
    <mergeCell ref="A1:C1"/>
    <mergeCell ref="A8:L8"/>
    <mergeCell ref="F10:G10"/>
    <mergeCell ref="J10:K10"/>
    <mergeCell ref="A20:L20"/>
    <mergeCell ref="F23:H23"/>
    <mergeCell ref="J23:L23"/>
  </mergeCells>
  <pageMargins left="0.7" right="0.7" top="0.75" bottom="0.75" header="0.3" footer="0.3"/>
  <ignoredErrors>
    <ignoredError sqref="G14 K14 F30:H30 F27 H27 G28:H28 F29 H29 K27:L30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9DAA-3D38-4E84-A1A4-1F6EB3CFFF80}">
  <dimension ref="A1:L60"/>
  <sheetViews>
    <sheetView showGridLines="0" zoomScale="175" zoomScaleNormal="175" workbookViewId="0">
      <selection sqref="A1:C1"/>
    </sheetView>
  </sheetViews>
  <sheetFormatPr baseColWidth="10" defaultRowHeight="14.25" x14ac:dyDescent="0.2"/>
  <cols>
    <col min="1" max="1" width="13.42578125" style="1" customWidth="1"/>
    <col min="2" max="2" width="11.5703125" style="1" bestFit="1" customWidth="1"/>
    <col min="3" max="3" width="11.42578125" style="1"/>
    <col min="4" max="4" width="8.85546875" style="1" customWidth="1"/>
    <col min="5" max="5" width="11.42578125" style="1"/>
    <col min="6" max="6" width="12.5703125" style="1" customWidth="1"/>
    <col min="7" max="7" width="14.42578125" style="1" customWidth="1"/>
    <col min="8" max="8" width="13.85546875" style="1" customWidth="1"/>
    <col min="9" max="9" width="6.28515625" style="1" customWidth="1"/>
    <col min="10" max="10" width="13.7109375" style="1" customWidth="1"/>
    <col min="11" max="11" width="14.42578125" style="1" customWidth="1"/>
    <col min="12" max="12" width="15.140625" style="1" customWidth="1"/>
    <col min="13" max="16384" width="11.42578125" style="1"/>
  </cols>
  <sheetData>
    <row r="1" spans="1:12" x14ac:dyDescent="0.2">
      <c r="A1" s="14" t="s">
        <v>38</v>
      </c>
      <c r="B1" s="14"/>
      <c r="C1" s="14"/>
    </row>
    <row r="2" spans="1:12" ht="17.25" x14ac:dyDescent="0.3">
      <c r="A2" s="1" t="s">
        <v>26</v>
      </c>
      <c r="B2" s="2">
        <v>1000</v>
      </c>
    </row>
    <row r="3" spans="1:12" x14ac:dyDescent="0.2">
      <c r="A3" s="1" t="s">
        <v>0</v>
      </c>
      <c r="B3" s="3">
        <v>0.2</v>
      </c>
      <c r="C3" s="1" t="s">
        <v>1</v>
      </c>
    </row>
    <row r="4" spans="1:12" x14ac:dyDescent="0.2">
      <c r="A4" s="1" t="s">
        <v>2</v>
      </c>
      <c r="B4" s="1">
        <v>6</v>
      </c>
      <c r="C4" s="1" t="s">
        <v>3</v>
      </c>
    </row>
    <row r="5" spans="1:12" x14ac:dyDescent="0.2">
      <c r="A5" s="1" t="s">
        <v>4</v>
      </c>
      <c r="B5" s="2">
        <v>1050</v>
      </c>
    </row>
    <row r="6" spans="1:12" x14ac:dyDescent="0.2">
      <c r="A6" s="1" t="s">
        <v>5</v>
      </c>
      <c r="B6" s="3">
        <v>0.05</v>
      </c>
      <c r="C6" s="1" t="s">
        <v>6</v>
      </c>
    </row>
    <row r="7" spans="1:12" ht="17.25" x14ac:dyDescent="0.3">
      <c r="A7" s="13" t="s">
        <v>37</v>
      </c>
      <c r="B7" s="3">
        <v>0.02</v>
      </c>
      <c r="C7" s="1" t="s">
        <v>6</v>
      </c>
    </row>
    <row r="8" spans="1:12" x14ac:dyDescent="0.2">
      <c r="A8" s="15" t="s">
        <v>17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">
      <c r="A9" s="1" t="s">
        <v>7</v>
      </c>
      <c r="B9" s="4">
        <f>6/12</f>
        <v>0.5</v>
      </c>
      <c r="C9" s="1" t="s">
        <v>8</v>
      </c>
    </row>
    <row r="10" spans="1:12" x14ac:dyDescent="0.2">
      <c r="F10" s="16" t="s">
        <v>39</v>
      </c>
      <c r="G10" s="16"/>
      <c r="J10" s="16" t="s">
        <v>40</v>
      </c>
      <c r="K10" s="16"/>
    </row>
    <row r="11" spans="1:12" x14ac:dyDescent="0.2">
      <c r="A11" s="1" t="s">
        <v>9</v>
      </c>
      <c r="B11" s="1">
        <f>+EXP(vol*SQRT(deltaT))</f>
        <v>1.151909910168909</v>
      </c>
    </row>
    <row r="12" spans="1:12" x14ac:dyDescent="0.2">
      <c r="G12" s="5">
        <f>+F13*u</f>
        <v>1151.9099101689089</v>
      </c>
      <c r="K12" s="5">
        <f>+J13*u</f>
        <v>1151.9099101689089</v>
      </c>
    </row>
    <row r="13" spans="1:12" x14ac:dyDescent="0.2">
      <c r="A13" s="1" t="s">
        <v>10</v>
      </c>
      <c r="B13" s="1">
        <f>1/B11</f>
        <v>0.86812344539458486</v>
      </c>
      <c r="F13" s="6">
        <f>+S</f>
        <v>1000</v>
      </c>
      <c r="G13" s="9">
        <f>+MAX(G12-K,0)</f>
        <v>101.90991016890894</v>
      </c>
      <c r="J13" s="6">
        <f>+S</f>
        <v>1000</v>
      </c>
      <c r="K13" s="9">
        <f>+MAX(K-K12,0)</f>
        <v>0</v>
      </c>
    </row>
    <row r="14" spans="1:12" x14ac:dyDescent="0.2">
      <c r="F14" s="10">
        <f>+MAX((G13*p+G15*q)*EXP(-risk*deltaT),MAX(F13-K,0))</f>
        <v>51.481838003825906</v>
      </c>
      <c r="G14" s="5">
        <f>+F13*d</f>
        <v>868.12344539458491</v>
      </c>
      <c r="J14" s="10">
        <f>+MAX((K13*p+K15*q)*EXP(-risk*deltaT),MAX(K-J13,0))</f>
        <v>85.50741188440719</v>
      </c>
      <c r="K14" s="5">
        <f>+J13*d</f>
        <v>868.12344539458491</v>
      </c>
    </row>
    <row r="15" spans="1:12" x14ac:dyDescent="0.2">
      <c r="A15" s="1" t="s">
        <v>11</v>
      </c>
      <c r="B15" s="1">
        <f>+(EXP((risk-rf)*deltaT)-d)/(u-d)</f>
        <v>0.51795852680297783</v>
      </c>
      <c r="G15" s="9">
        <f>+MAX(G14-K,0)</f>
        <v>0</v>
      </c>
      <c r="K15" s="9">
        <f>+MAX(K-K14,0)</f>
        <v>181.87655460541509</v>
      </c>
    </row>
    <row r="17" spans="1:12" x14ac:dyDescent="0.2">
      <c r="A17" s="1" t="s">
        <v>12</v>
      </c>
      <c r="B17" s="1">
        <f>1-p</f>
        <v>0.48204147319702217</v>
      </c>
      <c r="F17" s="4" t="s">
        <v>13</v>
      </c>
      <c r="G17" s="4" t="s">
        <v>14</v>
      </c>
      <c r="J17" s="4" t="s">
        <v>13</v>
      </c>
      <c r="K17" s="4" t="s">
        <v>14</v>
      </c>
    </row>
    <row r="20" spans="1:12" x14ac:dyDescent="0.2">
      <c r="A20" s="15" t="s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A21" s="1" t="s">
        <v>7</v>
      </c>
      <c r="B21" s="1">
        <f>3/12</f>
        <v>0.25</v>
      </c>
      <c r="C21" s="1" t="s">
        <v>19</v>
      </c>
    </row>
    <row r="23" spans="1:12" x14ac:dyDescent="0.2">
      <c r="A23" s="1" t="s">
        <v>9</v>
      </c>
      <c r="B23" s="1">
        <f>+EXP(vol*SQRT(B21))</f>
        <v>1.1051709180756477</v>
      </c>
      <c r="F23" s="16" t="s">
        <v>39</v>
      </c>
      <c r="G23" s="16"/>
      <c r="H23" s="16"/>
      <c r="J23" s="16" t="s">
        <v>40</v>
      </c>
      <c r="K23" s="16"/>
      <c r="L23" s="16"/>
    </row>
    <row r="25" spans="1:12" x14ac:dyDescent="0.2">
      <c r="A25" s="1" t="s">
        <v>10</v>
      </c>
      <c r="B25" s="1">
        <f>1/B23</f>
        <v>0.90483741803595952</v>
      </c>
      <c r="H25" s="5">
        <f>+G26*B23</f>
        <v>1221.4027581601699</v>
      </c>
      <c r="L25" s="5">
        <f>+K26*B23</f>
        <v>1221.4027581601699</v>
      </c>
    </row>
    <row r="26" spans="1:12" x14ac:dyDescent="0.2">
      <c r="G26" s="5">
        <f>+F27*B23</f>
        <v>1105.1709180756477</v>
      </c>
      <c r="H26" s="9">
        <f>+MAX(H25-K,0)</f>
        <v>171.40275816016992</v>
      </c>
      <c r="K26" s="5">
        <f>+J27*B23</f>
        <v>1105.1709180756477</v>
      </c>
      <c r="L26" s="9">
        <f>+MAX(K-L25,0)</f>
        <v>0</v>
      </c>
    </row>
    <row r="27" spans="1:12" x14ac:dyDescent="0.2">
      <c r="A27" s="1" t="s">
        <v>11</v>
      </c>
      <c r="B27" s="1">
        <f>+(EXP((risk-rf)*B21)-B25)/(B23-B25)</f>
        <v>0.51259912789538553</v>
      </c>
      <c r="F27" s="6">
        <f>+S</f>
        <v>1000</v>
      </c>
      <c r="G27" s="9">
        <f>+MAX((H26*$B$27+H28*$B$29)*EXP(-risk*$B$21),MAX(G26-K,0))</f>
        <v>86.769478669121128</v>
      </c>
      <c r="H27" s="6">
        <f>+G28*B23</f>
        <v>1000.0000000000001</v>
      </c>
      <c r="J27" s="6">
        <f>+S</f>
        <v>1000</v>
      </c>
      <c r="K27" s="9">
        <f>+MAX((L26*$B$27+L28*$B$29)*EXP(-risk*$B$21),MAX(K-K26,0))</f>
        <v>24.067314061593681</v>
      </c>
      <c r="L27" s="6">
        <f>+K28*B23</f>
        <v>1000.0000000000001</v>
      </c>
    </row>
    <row r="28" spans="1:12" x14ac:dyDescent="0.2">
      <c r="F28" s="10">
        <f>+MAX((G27*$B$27+G29*$B$29)*EXP(-risk*$B$21),MAX(F27-K,0))</f>
        <v>43.925445012241468</v>
      </c>
      <c r="G28" s="5">
        <f>+F27*B25</f>
        <v>904.83741803595956</v>
      </c>
      <c r="H28" s="9">
        <f>+MAX(H27-K,0)</f>
        <v>0</v>
      </c>
      <c r="J28" s="10">
        <f>+MAX((K27*$B$27+K29*$B$29)*EXP(-risk*$B$21),MAX(K-J27,0))</f>
        <v>82.05710196436452</v>
      </c>
      <c r="K28" s="5">
        <f>+J27*B25</f>
        <v>904.83741803595956</v>
      </c>
      <c r="L28" s="9">
        <f>+MAX(K-L27,0)</f>
        <v>49.999999999999886</v>
      </c>
    </row>
    <row r="29" spans="1:12" x14ac:dyDescent="0.2">
      <c r="A29" s="1" t="s">
        <v>12</v>
      </c>
      <c r="B29" s="1">
        <f>1-B27</f>
        <v>0.48740087210461447</v>
      </c>
      <c r="G29" s="9">
        <f>+MAX((H28*$B$27+H30*$B$29)*EXP(-risk*$B$21),MAX(G28-K,0))</f>
        <v>0</v>
      </c>
      <c r="H29" s="5">
        <f>+G28*B25</f>
        <v>818.73075307798183</v>
      </c>
      <c r="K29" s="9">
        <f>+MAX((L28*$B$27+L30*$B$29)*EXP(-risk*$B$21),MAX(K-K28,0))</f>
        <v>145.16258196404044</v>
      </c>
      <c r="L29" s="5">
        <f>+K28*B25</f>
        <v>818.73075307798183</v>
      </c>
    </row>
    <row r="30" spans="1:12" x14ac:dyDescent="0.2">
      <c r="H30" s="9">
        <f>+MAX(H29-K,0)</f>
        <v>0</v>
      </c>
      <c r="L30" s="9">
        <f>+MAX(K-L29,0)</f>
        <v>231.26924692201817</v>
      </c>
    </row>
    <row r="32" spans="1:12" x14ac:dyDescent="0.2">
      <c r="F32" s="4" t="s">
        <v>13</v>
      </c>
      <c r="G32" s="4" t="s">
        <v>20</v>
      </c>
      <c r="H32" s="4" t="s">
        <v>14</v>
      </c>
      <c r="J32" s="4" t="s">
        <v>13</v>
      </c>
      <c r="K32" s="4" t="s">
        <v>20</v>
      </c>
      <c r="L32" s="4" t="s">
        <v>14</v>
      </c>
    </row>
    <row r="33" spans="1:12" x14ac:dyDescent="0.2">
      <c r="D33" s="7"/>
    </row>
    <row r="35" spans="1:12" x14ac:dyDescent="0.2">
      <c r="A35" s="15" t="s"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7" spans="1:12" x14ac:dyDescent="0.2">
      <c r="B37" s="16" t="s">
        <v>39</v>
      </c>
      <c r="C37" s="16"/>
      <c r="D37" s="16"/>
      <c r="H37" s="16" t="s">
        <v>40</v>
      </c>
      <c r="I37" s="16"/>
      <c r="J37" s="16"/>
    </row>
    <row r="58" spans="1:3" x14ac:dyDescent="0.2">
      <c r="A58" s="15" t="s">
        <v>23</v>
      </c>
      <c r="B58" s="15"/>
      <c r="C58" s="15"/>
    </row>
    <row r="59" spans="1:3" x14ac:dyDescent="0.2">
      <c r="A59" s="1" t="s">
        <v>24</v>
      </c>
      <c r="B59" s="10">
        <v>41.364694755898498</v>
      </c>
    </row>
    <row r="60" spans="1:3" x14ac:dyDescent="0.2">
      <c r="A60" s="1" t="s">
        <v>25</v>
      </c>
      <c r="B60" s="10">
        <v>78.076712143941904</v>
      </c>
    </row>
  </sheetData>
  <mergeCells count="11">
    <mergeCell ref="A35:L35"/>
    <mergeCell ref="B37:D37"/>
    <mergeCell ref="H37:J37"/>
    <mergeCell ref="A58:C58"/>
    <mergeCell ref="A1:C1"/>
    <mergeCell ref="A8:L8"/>
    <mergeCell ref="F10:G10"/>
    <mergeCell ref="J10:K10"/>
    <mergeCell ref="A20:L20"/>
    <mergeCell ref="F23:H23"/>
    <mergeCell ref="J23:L23"/>
  </mergeCells>
  <pageMargins left="0.7" right="0.7" top="0.75" bottom="0.75" header="0.3" footer="0.3"/>
  <ignoredErrors>
    <ignoredError sqref="K14 G14 K27:L30 G27:H29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4822-48BC-4C3E-8A3D-FA4489A79747}">
  <dimension ref="A1:C23"/>
  <sheetViews>
    <sheetView showGridLines="0" zoomScale="175" zoomScaleNormal="175" workbookViewId="0">
      <selection sqref="A1:C1"/>
    </sheetView>
  </sheetViews>
  <sheetFormatPr baseColWidth="10" defaultRowHeight="14.25" x14ac:dyDescent="0.2"/>
  <cols>
    <col min="1" max="1" width="13.42578125" style="1" customWidth="1"/>
    <col min="2" max="2" width="12.7109375" style="1" bestFit="1" customWidth="1"/>
    <col min="3" max="3" width="11.42578125" style="1"/>
    <col min="4" max="4" width="10.28515625" style="1" customWidth="1"/>
    <col min="5" max="5" width="11.42578125" style="1"/>
    <col min="6" max="6" width="12.5703125" style="1" customWidth="1"/>
    <col min="7" max="7" width="14.42578125" style="1" customWidth="1"/>
    <col min="8" max="8" width="13.85546875" style="1" customWidth="1"/>
    <col min="9" max="9" width="6.28515625" style="1" customWidth="1"/>
    <col min="10" max="10" width="13.7109375" style="1" customWidth="1"/>
    <col min="11" max="11" width="14.42578125" style="1" customWidth="1"/>
    <col min="12" max="12" width="15.140625" style="1" customWidth="1"/>
    <col min="13" max="16384" width="11.42578125" style="1"/>
  </cols>
  <sheetData>
    <row r="1" spans="1:3" x14ac:dyDescent="0.2">
      <c r="A1" s="14" t="s">
        <v>38</v>
      </c>
      <c r="B1" s="14"/>
      <c r="C1" s="14"/>
    </row>
    <row r="2" spans="1:3" ht="17.25" x14ac:dyDescent="0.3">
      <c r="A2" s="1" t="s">
        <v>26</v>
      </c>
      <c r="B2" s="2">
        <v>1000</v>
      </c>
    </row>
    <row r="3" spans="1:3" x14ac:dyDescent="0.2">
      <c r="A3" s="1" t="s">
        <v>0</v>
      </c>
      <c r="B3" s="3">
        <v>0.2</v>
      </c>
      <c r="C3" s="1" t="s">
        <v>1</v>
      </c>
    </row>
    <row r="4" spans="1:3" x14ac:dyDescent="0.2">
      <c r="A4" s="1" t="s">
        <v>2</v>
      </c>
      <c r="B4" s="1">
        <v>6</v>
      </c>
      <c r="C4" s="1" t="s">
        <v>3</v>
      </c>
    </row>
    <row r="5" spans="1:3" x14ac:dyDescent="0.2">
      <c r="A5" s="1" t="s">
        <v>4</v>
      </c>
      <c r="B5" s="2">
        <v>1050</v>
      </c>
    </row>
    <row r="6" spans="1:3" x14ac:dyDescent="0.2">
      <c r="A6" s="1" t="s">
        <v>5</v>
      </c>
      <c r="B6" s="3">
        <v>0.05</v>
      </c>
      <c r="C6" s="1" t="s">
        <v>6</v>
      </c>
    </row>
    <row r="7" spans="1:3" ht="17.25" x14ac:dyDescent="0.3">
      <c r="A7" s="13" t="s">
        <v>37</v>
      </c>
      <c r="B7" s="3">
        <v>0.02</v>
      </c>
      <c r="C7" s="1" t="s">
        <v>6</v>
      </c>
    </row>
    <row r="8" spans="1:3" x14ac:dyDescent="0.2">
      <c r="B8" s="3"/>
    </row>
    <row r="10" spans="1:3" ht="17.25" x14ac:dyDescent="0.3">
      <c r="A10" s="1" t="s">
        <v>29</v>
      </c>
      <c r="B10" s="1">
        <f>+(LN(S/K)+(risk-B7+vol^2/2)*T/12)/(vol*SQRT(T/12))</f>
        <v>-0.16822186409746628</v>
      </c>
    </row>
    <row r="11" spans="1:3" ht="17.25" x14ac:dyDescent="0.3">
      <c r="A11" s="1" t="s">
        <v>30</v>
      </c>
      <c r="B11" s="1">
        <f>+B10-vol*SQRT(T/12)</f>
        <v>-0.30964322033477581</v>
      </c>
    </row>
    <row r="14" spans="1:3" ht="17.25" x14ac:dyDescent="0.3">
      <c r="A14" s="1" t="s">
        <v>31</v>
      </c>
      <c r="B14" s="1">
        <f>+NORMSDIST(d_1)</f>
        <v>0.43320437049224747</v>
      </c>
    </row>
    <row r="15" spans="1:3" ht="17.25" x14ac:dyDescent="0.3">
      <c r="A15" s="1" t="s">
        <v>32</v>
      </c>
      <c r="B15" s="1">
        <f>+NORMSDIST(d_2)</f>
        <v>0.37841614270888557</v>
      </c>
      <c r="C15" s="1" t="s">
        <v>35</v>
      </c>
    </row>
    <row r="17" spans="1:3" x14ac:dyDescent="0.2">
      <c r="A17" s="1" t="s">
        <v>15</v>
      </c>
      <c r="B17" s="12">
        <f>+S*EXP(-B7*T/12)*B14-K*EXP(-risk*T/12)*B15</f>
        <v>41.367249386983303</v>
      </c>
    </row>
    <row r="20" spans="1:3" ht="17.25" x14ac:dyDescent="0.3">
      <c r="A20" s="1" t="s">
        <v>33</v>
      </c>
      <c r="B20" s="1">
        <f>1-B14</f>
        <v>0.56679562950775253</v>
      </c>
    </row>
    <row r="21" spans="1:3" ht="17.25" x14ac:dyDescent="0.3">
      <c r="A21" s="1" t="s">
        <v>34</v>
      </c>
      <c r="B21" s="1">
        <f>1-B15</f>
        <v>0.62158385729111443</v>
      </c>
      <c r="C21" s="1" t="s">
        <v>36</v>
      </c>
    </row>
    <row r="23" spans="1:3" x14ac:dyDescent="0.2">
      <c r="A23" s="1" t="s">
        <v>16</v>
      </c>
      <c r="B23" s="12">
        <f>+K*EXP(-risk*T/12)*B21-S*EXP(-B7*T/12)*B20</f>
        <v>75.392823267564381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56</vt:i4>
      </vt:variant>
    </vt:vector>
  </HeadingPairs>
  <TitlesOfParts>
    <vt:vector size="62" baseType="lpstr">
      <vt:lpstr>AB europea Activo sin ingresos</vt:lpstr>
      <vt:lpstr>AB American Activo sin ingresos</vt:lpstr>
      <vt:lpstr>BS Activo sin ingresos</vt:lpstr>
      <vt:lpstr>AB europea divisas</vt:lpstr>
      <vt:lpstr>AB Americana divisas</vt:lpstr>
      <vt:lpstr>BS divisas</vt:lpstr>
      <vt:lpstr>'AB American Activo sin ingresos'!d</vt:lpstr>
      <vt:lpstr>'AB Americana divisas'!d</vt:lpstr>
      <vt:lpstr>'AB europea divisas'!d</vt:lpstr>
      <vt:lpstr>d</vt:lpstr>
      <vt:lpstr>'BS divisas'!d_1</vt:lpstr>
      <vt:lpstr>d_1</vt:lpstr>
      <vt:lpstr>'BS divisas'!d_2</vt:lpstr>
      <vt:lpstr>d_2</vt:lpstr>
      <vt:lpstr>'AB American Activo sin ingresos'!deltaT</vt:lpstr>
      <vt:lpstr>'AB Americana divisas'!deltaT</vt:lpstr>
      <vt:lpstr>'AB europea divisas'!deltaT</vt:lpstr>
      <vt:lpstr>deltaT</vt:lpstr>
      <vt:lpstr>'AB American Activo sin ingresos'!K</vt:lpstr>
      <vt:lpstr>'AB Americana divisas'!K</vt:lpstr>
      <vt:lpstr>'AB europea divisas'!K</vt:lpstr>
      <vt:lpstr>'BS Activo sin ingresos'!K</vt:lpstr>
      <vt:lpstr>'BS divisas'!K</vt:lpstr>
      <vt:lpstr>K</vt:lpstr>
      <vt:lpstr>'AB American Activo sin ingresos'!p</vt:lpstr>
      <vt:lpstr>'AB Americana divisas'!p</vt:lpstr>
      <vt:lpstr>'AB europea divisas'!p</vt:lpstr>
      <vt:lpstr>p</vt:lpstr>
      <vt:lpstr>'AB American Activo sin ingresos'!q</vt:lpstr>
      <vt:lpstr>'AB Americana divisas'!q</vt:lpstr>
      <vt:lpstr>'AB europea divisas'!q</vt:lpstr>
      <vt:lpstr>q</vt:lpstr>
      <vt:lpstr>'AB Americana divisas'!rf</vt:lpstr>
      <vt:lpstr>rf</vt:lpstr>
      <vt:lpstr>'AB American Activo sin ingresos'!risk</vt:lpstr>
      <vt:lpstr>'AB Americana divisas'!risk</vt:lpstr>
      <vt:lpstr>'AB europea divisas'!risk</vt:lpstr>
      <vt:lpstr>'BS Activo sin ingresos'!risk</vt:lpstr>
      <vt:lpstr>'BS divisas'!risk</vt:lpstr>
      <vt:lpstr>risk</vt:lpstr>
      <vt:lpstr>'AB American Activo sin ingresos'!S</vt:lpstr>
      <vt:lpstr>'AB Americana divisas'!S</vt:lpstr>
      <vt:lpstr>'AB europea divisas'!S</vt:lpstr>
      <vt:lpstr>'BS Activo sin ingresos'!S</vt:lpstr>
      <vt:lpstr>'BS divisas'!S</vt:lpstr>
      <vt:lpstr>S</vt:lpstr>
      <vt:lpstr>'AB American Activo sin ingresos'!T</vt:lpstr>
      <vt:lpstr>'AB Americana divisas'!T</vt:lpstr>
      <vt:lpstr>'AB europea divisas'!T</vt:lpstr>
      <vt:lpstr>'BS Activo sin ingresos'!T</vt:lpstr>
      <vt:lpstr>'BS divisas'!T</vt:lpstr>
      <vt:lpstr>T</vt:lpstr>
      <vt:lpstr>'AB American Activo sin ingresos'!u</vt:lpstr>
      <vt:lpstr>'AB Americana divisas'!u</vt:lpstr>
      <vt:lpstr>'AB europea divisas'!u</vt:lpstr>
      <vt:lpstr>u</vt:lpstr>
      <vt:lpstr>'AB American Activo sin ingresos'!vol</vt:lpstr>
      <vt:lpstr>'AB Americana divisas'!vol</vt:lpstr>
      <vt:lpstr>'AB europea divisas'!vol</vt:lpstr>
      <vt:lpstr>'BS Activo sin ingresos'!vol</vt:lpstr>
      <vt:lpstr>'BS divisas'!vol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2020-10-02T14:20:20Z</dcterms:created>
  <dcterms:modified xsi:type="dcterms:W3CDTF">2021-04-16T03:38:09Z</dcterms:modified>
</cp:coreProperties>
</file>