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ITM\GESTIÓN DEL RIESGO\CLASES\Clases en R\Bonos\"/>
    </mc:Choice>
  </mc:AlternateContent>
  <xr:revisionPtr revIDLastSave="0" documentId="13_ncr:1_{4B435869-41F7-41F9-A811-B75941581F7F}" xr6:coauthVersionLast="45" xr6:coauthVersionMax="45" xr10:uidLastSave="{00000000-0000-0000-0000-000000000000}"/>
  <bookViews>
    <workbookView xWindow="-120" yWindow="-120" windowWidth="29040" windowHeight="15840" xr2:uid="{33040C2E-A2AA-4391-AA99-83559808C0E8}"/>
  </bookViews>
  <sheets>
    <sheet name="TFIT16181034" sheetId="2" r:id="rId1"/>
    <sheet name="TFIT15260826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2" l="1"/>
  <c r="C36" i="2"/>
  <c r="C35" i="2"/>
  <c r="C33" i="2"/>
  <c r="C34" i="2"/>
  <c r="C32" i="2"/>
  <c r="C31" i="2"/>
  <c r="C30" i="2"/>
  <c r="C29" i="2"/>
  <c r="C28" i="2"/>
  <c r="C27" i="2"/>
  <c r="C25" i="2"/>
  <c r="C26" i="2"/>
  <c r="C24" i="2"/>
  <c r="C23" i="2"/>
  <c r="D23" i="2" s="1"/>
  <c r="F40" i="2" l="1"/>
  <c r="D25" i="2"/>
  <c r="F25" i="2" s="1"/>
  <c r="G25" i="2" s="1"/>
  <c r="D27" i="2"/>
  <c r="F27" i="2" s="1"/>
  <c r="G27" i="2" s="1"/>
  <c r="D28" i="2"/>
  <c r="F28" i="2" s="1"/>
  <c r="G28" i="2" s="1"/>
  <c r="D29" i="2"/>
  <c r="F29" i="2" s="1"/>
  <c r="G29" i="2" s="1"/>
  <c r="D30" i="2"/>
  <c r="F30" i="2" s="1"/>
  <c r="G30" i="2" s="1"/>
  <c r="D31" i="2"/>
  <c r="F31" i="2" s="1"/>
  <c r="G31" i="2" s="1"/>
  <c r="D32" i="2"/>
  <c r="F32" i="2" s="1"/>
  <c r="G32" i="2" s="1"/>
  <c r="D33" i="2"/>
  <c r="F33" i="2" s="1"/>
  <c r="G33" i="2" s="1"/>
  <c r="D34" i="2"/>
  <c r="F34" i="2" s="1"/>
  <c r="G34" i="2" s="1"/>
  <c r="D35" i="2"/>
  <c r="F35" i="2" s="1"/>
  <c r="G35" i="2" s="1"/>
  <c r="D36" i="2"/>
  <c r="F36" i="2" s="1"/>
  <c r="G36" i="2" s="1"/>
  <c r="D37" i="2"/>
  <c r="F37" i="2" s="1"/>
  <c r="G37" i="2" s="1"/>
  <c r="H43" i="2"/>
  <c r="H41" i="2"/>
  <c r="F47" i="2"/>
  <c r="F44" i="2"/>
  <c r="F46" i="2" s="1"/>
  <c r="F43" i="2"/>
  <c r="F45" i="2" s="1"/>
  <c r="E37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23" i="2"/>
  <c r="D24" i="2"/>
  <c r="F24" i="2" s="1"/>
  <c r="D26" i="2"/>
  <c r="F26" i="2" s="1"/>
  <c r="G26" i="2" s="1"/>
  <c r="F23" i="2"/>
  <c r="G23" i="2" s="1"/>
  <c r="B17" i="2"/>
  <c r="F38" i="2" l="1"/>
  <c r="G24" i="2"/>
  <c r="G38" i="2" s="1"/>
  <c r="H40" i="2" s="1"/>
  <c r="H42" i="2" s="1"/>
  <c r="F48" i="2"/>
  <c r="H36" i="1"/>
  <c r="H35" i="1"/>
  <c r="H33" i="1"/>
  <c r="H34" i="1"/>
  <c r="G31" i="1"/>
  <c r="G25" i="1"/>
  <c r="G26" i="1"/>
  <c r="G27" i="1"/>
  <c r="G28" i="1"/>
  <c r="G29" i="1"/>
  <c r="G30" i="1"/>
  <c r="G24" i="1"/>
  <c r="D27" i="1"/>
  <c r="D28" i="1"/>
  <c r="F33" i="1"/>
  <c r="F38" i="1"/>
  <c r="C30" i="1"/>
  <c r="D30" i="1" s="1"/>
  <c r="C29" i="1"/>
  <c r="D29" i="1" s="1"/>
  <c r="F29" i="1" s="1"/>
  <c r="C28" i="1"/>
  <c r="C27" i="1"/>
  <c r="C26" i="1"/>
  <c r="D26" i="1" s="1"/>
  <c r="C25" i="1"/>
  <c r="D25" i="1" s="1"/>
  <c r="C24" i="1"/>
  <c r="D24" i="1" s="1"/>
  <c r="F36" i="1"/>
  <c r="F37" i="1"/>
  <c r="F39" i="1" s="1"/>
  <c r="B18" i="1"/>
  <c r="E29" i="1" s="1"/>
  <c r="E28" i="1" l="1"/>
  <c r="F28" i="1" s="1"/>
  <c r="E27" i="1"/>
  <c r="F27" i="1" s="1"/>
  <c r="E30" i="1"/>
  <c r="F30" i="1" s="1"/>
  <c r="E26" i="1"/>
  <c r="F26" i="1" s="1"/>
  <c r="E25" i="1"/>
  <c r="F25" i="1" s="1"/>
  <c r="F40" i="1"/>
  <c r="F41" i="1" s="1"/>
  <c r="E24" i="1"/>
  <c r="F24" i="1" s="1"/>
  <c r="F31" i="1" l="1"/>
</calcChain>
</file>

<file path=xl/sharedStrings.xml><?xml version="1.0" encoding="utf-8"?>
<sst xmlns="http://schemas.openxmlformats.org/spreadsheetml/2006/main" count="134" uniqueCount="59">
  <si>
    <t>Nemotécnico:</t>
  </si>
  <si>
    <t>TFIT15260826</t>
  </si>
  <si>
    <t>Código Superfinanciera:</t>
  </si>
  <si>
    <t>COL08TTTF004</t>
  </si>
  <si>
    <t>Tipo de Título</t>
  </si>
  <si>
    <t>TES</t>
  </si>
  <si>
    <t>ISIN:</t>
  </si>
  <si>
    <t>COL17CT02625</t>
  </si>
  <si>
    <t>Emisor:</t>
  </si>
  <si>
    <t>GNA</t>
  </si>
  <si>
    <t>Fecha Emisión:</t>
  </si>
  <si>
    <t>Fecha Vencimiento:</t>
  </si>
  <si>
    <t>Modalidad de Pago:</t>
  </si>
  <si>
    <t>AV</t>
  </si>
  <si>
    <t>Estado:</t>
  </si>
  <si>
    <t>A</t>
  </si>
  <si>
    <t>Moneda:</t>
  </si>
  <si>
    <t>COP</t>
  </si>
  <si>
    <t>Tasa de Referencia:</t>
  </si>
  <si>
    <t>FS</t>
  </si>
  <si>
    <t>Tasa Cupón:</t>
  </si>
  <si>
    <t>7.5</t>
  </si>
  <si>
    <t>Referencia</t>
  </si>
  <si>
    <t>Precio sucio</t>
  </si>
  <si>
    <t>Rendimiento</t>
  </si>
  <si>
    <t>Nominal</t>
  </si>
  <si>
    <t>Tasa cupón</t>
  </si>
  <si>
    <t>Cupón</t>
  </si>
  <si>
    <t>Frecuencia cupón</t>
  </si>
  <si>
    <t>Anual</t>
  </si>
  <si>
    <t>Vencimiento</t>
  </si>
  <si>
    <t>Liquidación</t>
  </si>
  <si>
    <t>Fechas</t>
  </si>
  <si>
    <t>Días</t>
  </si>
  <si>
    <t>Flujo de Caja</t>
  </si>
  <si>
    <t>VP FC</t>
  </si>
  <si>
    <t>Próximo cupón</t>
  </si>
  <si>
    <t>Precio limpio</t>
  </si>
  <si>
    <t>Cupón corrido</t>
  </si>
  <si>
    <t>Fecha último cupón</t>
  </si>
  <si>
    <t>Días entre cupones</t>
  </si>
  <si>
    <t>Días último cupón</t>
  </si>
  <si>
    <t>Años</t>
  </si>
  <si>
    <t>NEMOTÉCNICO</t>
  </si>
  <si>
    <t>EMISOR</t>
  </si>
  <si>
    <t>CANTIDAD</t>
  </si>
  <si>
    <t>VOLUMEN</t>
  </si>
  <si>
    <t>ÚLTIMO PRECIO SUCIO</t>
  </si>
  <si>
    <t>ÚLTIMA TASA</t>
  </si>
  <si>
    <t>6.02</t>
  </si>
  <si>
    <t>Años*VP FC</t>
  </si>
  <si>
    <t>Duración</t>
  </si>
  <si>
    <t>DM</t>
  </si>
  <si>
    <t>Última operación de Compraventa: 2020-04-24 09:35</t>
  </si>
  <si>
    <t>TFIT16181034</t>
  </si>
  <si>
    <t>7.35</t>
  </si>
  <si>
    <t>COL17CT03615</t>
  </si>
  <si>
    <t>7.25</t>
  </si>
  <si>
    <t>Última operación de Compraventa: 2020-05-04 11:52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</si>
</sst>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\ #,##0;[Red]\-&quot;$&quot;\ #,##0"/>
    <numFmt numFmtId="44" formatCode="_-&quot;$&quot;\ * #,##0.00_-;\-&quot;$&quot;\ * #,##0.00_-;_-&quot;$&quot;\ * &quot;-&quot;??_-;_-@_-"/>
    <numFmt numFmtId="164" formatCode="0.000"/>
    <numFmt numFmtId="165" formatCode="0.0%"/>
    <numFmt numFmtId="166" formatCode="0.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94949"/>
      <name val="Arial"/>
      <family val="2"/>
    </font>
    <font>
      <sz val="9"/>
      <color rgb="FF0257A8"/>
      <name val="Arial"/>
      <family val="2"/>
    </font>
    <font>
      <sz val="9"/>
      <color rgb="FF717171"/>
      <name val="Arial"/>
      <family val="2"/>
    </font>
    <font>
      <sz val="8"/>
      <color rgb="FF1C6CB3"/>
      <name val="Arial"/>
      <family val="2"/>
    </font>
    <font>
      <sz val="8"/>
      <color rgb="FF0B589C"/>
      <name val="Arial"/>
      <family val="2"/>
    </font>
    <font>
      <sz val="8"/>
      <color rgb="FF83848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F0FE"/>
        <bgColor indexed="64"/>
      </patternFill>
    </fill>
    <fill>
      <patternFill patternType="solid">
        <fgColor rgb="FFFAFEFF"/>
        <bgColor indexed="64"/>
      </patternFill>
    </fill>
  </fills>
  <borders count="7">
    <border>
      <left/>
      <right/>
      <top/>
      <bottom/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 style="medium">
        <color rgb="FFDEDEDE"/>
      </bottom>
      <diagonal/>
    </border>
    <border>
      <left/>
      <right style="medium">
        <color rgb="FFE3E7E8"/>
      </right>
      <top style="medium">
        <color rgb="FFE3E7E8"/>
      </top>
      <bottom style="medium">
        <color rgb="FFE3E7E8"/>
      </bottom>
      <diagonal/>
    </border>
    <border>
      <left/>
      <right style="medium">
        <color rgb="FFE3E7E8"/>
      </right>
      <top/>
      <bottom style="medium">
        <color rgb="FFE3E7E8"/>
      </bottom>
      <diagonal/>
    </border>
    <border>
      <left style="medium">
        <color rgb="FFE3E7E8"/>
      </left>
      <right style="medium">
        <color rgb="FFE3E7E8"/>
      </right>
      <top style="medium">
        <color rgb="FFE3E7E8"/>
      </top>
      <bottom style="medium">
        <color rgb="FFE3E7E8"/>
      </bottom>
      <diagonal/>
    </border>
    <border>
      <left style="medium">
        <color rgb="FFE3E7E8"/>
      </left>
      <right style="medium">
        <color rgb="FFE3E7E8"/>
      </right>
      <top/>
      <bottom style="medium">
        <color rgb="FFE3E7E8"/>
      </bottom>
      <diagonal/>
    </border>
    <border>
      <left/>
      <right/>
      <top/>
      <bottom style="medium">
        <color rgb="FFE3E7E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0" fillId="0" borderId="0" xfId="0" applyNumberFormat="1"/>
    <xf numFmtId="14" fontId="5" fillId="3" borderId="1" xfId="0" applyNumberFormat="1" applyFont="1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6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/>
    <xf numFmtId="166" fontId="0" fillId="0" borderId="0" xfId="0" applyNumberFormat="1"/>
    <xf numFmtId="6" fontId="0" fillId="0" borderId="0" xfId="0" applyNumberFormat="1"/>
    <xf numFmtId="0" fontId="6" fillId="4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3" fontId="8" fillId="5" borderId="3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44" fontId="0" fillId="0" borderId="0" xfId="1" applyFont="1"/>
    <xf numFmtId="164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left" vertical="center" indent="1"/>
    </xf>
    <xf numFmtId="0" fontId="0" fillId="0" borderId="6" xfId="0" applyBorder="1"/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0993-B404-4710-AC27-EA89B39A5B45}">
  <dimension ref="A1:I48"/>
  <sheetViews>
    <sheetView tabSelected="1" workbookViewId="0">
      <selection sqref="A1:F1"/>
    </sheetView>
  </sheetViews>
  <sheetFormatPr baseColWidth="10" defaultRowHeight="15" x14ac:dyDescent="0.25"/>
  <cols>
    <col min="1" max="1" width="16.5703125" bestFit="1" customWidth="1"/>
    <col min="2" max="4" width="17" customWidth="1"/>
    <col min="5" max="5" width="18.42578125" bestFit="1" customWidth="1"/>
    <col min="6" max="6" width="18" customWidth="1"/>
    <col min="7" max="7" width="15.42578125" customWidth="1"/>
  </cols>
  <sheetData>
    <row r="1" spans="1:6" ht="15.75" thickBot="1" x14ac:dyDescent="0.3">
      <c r="A1" s="25" t="s">
        <v>53</v>
      </c>
      <c r="B1" s="26"/>
      <c r="C1" s="26"/>
      <c r="D1" s="26"/>
      <c r="E1" s="26"/>
      <c r="F1" s="26"/>
    </row>
    <row r="2" spans="1:6" ht="15.75" thickBot="1" x14ac:dyDescent="0.3">
      <c r="A2" s="21" t="s">
        <v>43</v>
      </c>
      <c r="B2" s="18" t="s">
        <v>44</v>
      </c>
      <c r="C2" s="18" t="s">
        <v>45</v>
      </c>
      <c r="D2" s="18" t="s">
        <v>46</v>
      </c>
      <c r="E2" s="18" t="s">
        <v>47</v>
      </c>
      <c r="F2" s="18" t="s">
        <v>48</v>
      </c>
    </row>
    <row r="3" spans="1:6" ht="15.75" thickBot="1" x14ac:dyDescent="0.3">
      <c r="A3" s="22" t="s">
        <v>54</v>
      </c>
      <c r="B3" s="19" t="s">
        <v>9</v>
      </c>
      <c r="C3" s="20">
        <v>1000000000</v>
      </c>
      <c r="D3" s="20">
        <v>1027952000</v>
      </c>
      <c r="E3" s="19">
        <v>102.795</v>
      </c>
      <c r="F3" s="19" t="s">
        <v>55</v>
      </c>
    </row>
    <row r="4" spans="1:6" ht="15.75" thickBot="1" x14ac:dyDescent="0.3"/>
    <row r="5" spans="1:6" ht="24.75" thickBot="1" x14ac:dyDescent="0.3">
      <c r="A5" s="1" t="s">
        <v>0</v>
      </c>
      <c r="B5" s="2" t="s">
        <v>54</v>
      </c>
      <c r="C5" s="1" t="s">
        <v>2</v>
      </c>
      <c r="D5" s="3" t="s">
        <v>3</v>
      </c>
    </row>
    <row r="6" spans="1:6" ht="15.75" thickBot="1" x14ac:dyDescent="0.3">
      <c r="A6" s="1" t="s">
        <v>4</v>
      </c>
      <c r="B6" s="3" t="s">
        <v>5</v>
      </c>
      <c r="C6" s="1" t="s">
        <v>6</v>
      </c>
      <c r="D6" s="3" t="s">
        <v>56</v>
      </c>
    </row>
    <row r="7" spans="1:6" ht="15.75" thickBot="1" x14ac:dyDescent="0.3">
      <c r="A7" s="1" t="s">
        <v>8</v>
      </c>
      <c r="B7" s="3" t="s">
        <v>9</v>
      </c>
      <c r="C7" s="1" t="s">
        <v>10</v>
      </c>
      <c r="D7" s="5">
        <v>43391</v>
      </c>
    </row>
    <row r="8" spans="1:6" ht="15.75" thickBot="1" x14ac:dyDescent="0.3">
      <c r="A8" s="1" t="s">
        <v>11</v>
      </c>
      <c r="B8" s="5">
        <v>49235</v>
      </c>
      <c r="C8" s="1" t="s">
        <v>12</v>
      </c>
      <c r="D8" s="3" t="s">
        <v>13</v>
      </c>
    </row>
    <row r="9" spans="1:6" ht="15.75" thickBot="1" x14ac:dyDescent="0.3">
      <c r="A9" s="1" t="s">
        <v>14</v>
      </c>
      <c r="B9" s="3" t="s">
        <v>15</v>
      </c>
      <c r="C9" s="1" t="s">
        <v>16</v>
      </c>
      <c r="D9" s="3" t="s">
        <v>17</v>
      </c>
    </row>
    <row r="10" spans="1:6" ht="24.75" thickBot="1" x14ac:dyDescent="0.3">
      <c r="A10" s="1" t="s">
        <v>18</v>
      </c>
      <c r="B10" s="3" t="s">
        <v>19</v>
      </c>
      <c r="C10" s="1" t="s">
        <v>20</v>
      </c>
      <c r="D10" s="3" t="s">
        <v>57</v>
      </c>
    </row>
    <row r="12" spans="1:6" x14ac:dyDescent="0.25">
      <c r="A12" s="6" t="s">
        <v>22</v>
      </c>
      <c r="B12" s="7" t="s">
        <v>54</v>
      </c>
    </row>
    <row r="13" spans="1:6" x14ac:dyDescent="0.25">
      <c r="A13" t="s">
        <v>23</v>
      </c>
      <c r="B13" s="15">
        <v>102.795</v>
      </c>
    </row>
    <row r="14" spans="1:6" x14ac:dyDescent="0.25">
      <c r="A14" t="s">
        <v>24</v>
      </c>
      <c r="B14" s="8">
        <v>7.3499999999999996E-2</v>
      </c>
    </row>
    <row r="15" spans="1:6" x14ac:dyDescent="0.25">
      <c r="A15" t="s">
        <v>25</v>
      </c>
      <c r="B15">
        <v>100</v>
      </c>
    </row>
    <row r="16" spans="1:6" x14ac:dyDescent="0.25">
      <c r="A16" t="s">
        <v>26</v>
      </c>
      <c r="B16" s="8">
        <v>7.2499999999999995E-2</v>
      </c>
    </row>
    <row r="17" spans="1:7" x14ac:dyDescent="0.25">
      <c r="A17" t="s">
        <v>27</v>
      </c>
      <c r="B17">
        <f>+B16*B15</f>
        <v>7.2499999999999991</v>
      </c>
    </row>
    <row r="18" spans="1:7" x14ac:dyDescent="0.25">
      <c r="A18" t="s">
        <v>28</v>
      </c>
      <c r="B18" s="9" t="s">
        <v>29</v>
      </c>
    </row>
    <row r="19" spans="1:7" x14ac:dyDescent="0.25">
      <c r="A19" t="s">
        <v>30</v>
      </c>
      <c r="B19" s="4">
        <v>49235</v>
      </c>
    </row>
    <row r="20" spans="1:7" x14ac:dyDescent="0.25">
      <c r="A20" t="s">
        <v>31</v>
      </c>
      <c r="B20" s="4">
        <v>43945</v>
      </c>
    </row>
    <row r="22" spans="1:7" x14ac:dyDescent="0.25">
      <c r="B22" s="7" t="s">
        <v>32</v>
      </c>
      <c r="C22" s="7" t="s">
        <v>33</v>
      </c>
      <c r="D22" s="7" t="s">
        <v>42</v>
      </c>
      <c r="E22" s="7" t="s">
        <v>34</v>
      </c>
      <c r="F22" s="7" t="s">
        <v>35</v>
      </c>
      <c r="G22" s="7" t="s">
        <v>50</v>
      </c>
    </row>
    <row r="23" spans="1:7" x14ac:dyDescent="0.25">
      <c r="A23" t="s">
        <v>36</v>
      </c>
      <c r="B23" s="4">
        <v>44122</v>
      </c>
      <c r="C23" s="10">
        <f>+B23-$B$20</f>
        <v>177</v>
      </c>
      <c r="D23" s="10">
        <f>+C23/365</f>
        <v>0.48493150684931507</v>
      </c>
      <c r="E23" s="11">
        <f>+$B$17</f>
        <v>7.2499999999999991</v>
      </c>
      <c r="F23" s="24">
        <f>+E23/(1+$B$14)^D23</f>
        <v>7.0048868198383669</v>
      </c>
      <c r="G23" s="11">
        <f>+F23*D23</f>
        <v>3.3968903208531258</v>
      </c>
    </row>
    <row r="24" spans="1:7" x14ac:dyDescent="0.25">
      <c r="B24" s="4">
        <v>44487</v>
      </c>
      <c r="C24" s="10">
        <f>+B24-$B$20</f>
        <v>542</v>
      </c>
      <c r="D24" s="10">
        <f t="shared" ref="D24:D37" si="0">+C24/365</f>
        <v>1.484931506849315</v>
      </c>
      <c r="E24" s="11">
        <f t="shared" ref="E24:E36" si="1">+$B$17</f>
        <v>7.2499999999999991</v>
      </c>
      <c r="F24" s="24">
        <f t="shared" ref="F24:F37" si="2">+E24/(1+$B$14)^D24</f>
        <v>6.5252788261186465</v>
      </c>
      <c r="G24" s="11">
        <f t="shared" ref="G24:G37" si="3">+F24*D24</f>
        <v>9.6895921198802917</v>
      </c>
    </row>
    <row r="25" spans="1:7" x14ac:dyDescent="0.25">
      <c r="B25" s="4">
        <v>44852</v>
      </c>
      <c r="C25" s="10">
        <f t="shared" ref="C25:C26" si="4">+B25-$B$20</f>
        <v>907</v>
      </c>
      <c r="D25" s="10">
        <f t="shared" si="0"/>
        <v>2.484931506849315</v>
      </c>
      <c r="E25" s="11">
        <f t="shared" si="1"/>
        <v>7.2499999999999991</v>
      </c>
      <c r="F25" s="24">
        <f t="shared" si="2"/>
        <v>6.078508454698321</v>
      </c>
      <c r="G25" s="11">
        <f t="shared" si="3"/>
        <v>15.104677173729799</v>
      </c>
    </row>
    <row r="26" spans="1:7" x14ac:dyDescent="0.25">
      <c r="B26" s="4">
        <v>45217</v>
      </c>
      <c r="C26" s="10">
        <f t="shared" si="4"/>
        <v>1272</v>
      </c>
      <c r="D26" s="10">
        <f t="shared" si="0"/>
        <v>3.484931506849315</v>
      </c>
      <c r="E26" s="11">
        <f t="shared" si="1"/>
        <v>7.2499999999999991</v>
      </c>
      <c r="F26" s="24">
        <f t="shared" si="2"/>
        <v>5.662327391428339</v>
      </c>
      <c r="G26" s="11">
        <f t="shared" si="3"/>
        <v>19.732823128484512</v>
      </c>
    </row>
    <row r="27" spans="1:7" x14ac:dyDescent="0.25">
      <c r="B27" s="4">
        <v>45583</v>
      </c>
      <c r="C27" s="10">
        <f>+B27-$B$20-1</f>
        <v>1637</v>
      </c>
      <c r="D27" s="10">
        <f t="shared" si="0"/>
        <v>4.484931506849315</v>
      </c>
      <c r="E27" s="11">
        <f t="shared" si="1"/>
        <v>7.2499999999999991</v>
      </c>
      <c r="F27" s="24">
        <f t="shared" si="2"/>
        <v>5.2746412588992451</v>
      </c>
      <c r="G27" s="11">
        <f t="shared" si="3"/>
        <v>23.65640476936456</v>
      </c>
    </row>
    <row r="28" spans="1:7" x14ac:dyDescent="0.25">
      <c r="B28" s="4">
        <v>45948</v>
      </c>
      <c r="C28" s="10">
        <f>+B28-$B$20-1</f>
        <v>2002</v>
      </c>
      <c r="D28" s="10">
        <f t="shared" si="0"/>
        <v>5.484931506849315</v>
      </c>
      <c r="E28" s="11">
        <f t="shared" si="1"/>
        <v>7.2499999999999991</v>
      </c>
      <c r="F28" s="24">
        <f t="shared" si="2"/>
        <v>4.9134990767575637</v>
      </c>
      <c r="G28" s="11">
        <f t="shared" si="3"/>
        <v>26.950205894982581</v>
      </c>
    </row>
    <row r="29" spans="1:7" x14ac:dyDescent="0.25">
      <c r="B29" s="4">
        <v>46313</v>
      </c>
      <c r="C29" s="10">
        <f>+B29-$B$20-1</f>
        <v>2367</v>
      </c>
      <c r="D29" s="10">
        <f t="shared" si="0"/>
        <v>6.484931506849315</v>
      </c>
      <c r="E29" s="11">
        <f t="shared" si="1"/>
        <v>7.2499999999999991</v>
      </c>
      <c r="F29" s="24">
        <f t="shared" si="2"/>
        <v>4.5770834436493377</v>
      </c>
      <c r="G29" s="11">
        <f t="shared" si="3"/>
        <v>29.682072633199951</v>
      </c>
    </row>
    <row r="30" spans="1:7" x14ac:dyDescent="0.25">
      <c r="B30" s="4">
        <v>46678</v>
      </c>
      <c r="C30" s="10">
        <f>+B30-$B$20-1</f>
        <v>2732</v>
      </c>
      <c r="D30" s="10">
        <f t="shared" si="0"/>
        <v>7.484931506849315</v>
      </c>
      <c r="E30" s="11">
        <f t="shared" si="1"/>
        <v>7.2499999999999991</v>
      </c>
      <c r="F30" s="24">
        <f t="shared" si="2"/>
        <v>4.2637013913827095</v>
      </c>
      <c r="G30" s="11">
        <f t="shared" si="3"/>
        <v>31.913512880157704</v>
      </c>
    </row>
    <row r="31" spans="1:7" x14ac:dyDescent="0.25">
      <c r="B31" s="4">
        <v>47044</v>
      </c>
      <c r="C31" s="10">
        <f>+B31-$B$20-2</f>
        <v>3097</v>
      </c>
      <c r="D31" s="10">
        <f t="shared" si="0"/>
        <v>8.4849315068493159</v>
      </c>
      <c r="E31" s="11">
        <f t="shared" si="1"/>
        <v>7.2499999999999991</v>
      </c>
      <c r="F31" s="24">
        <f t="shared" si="2"/>
        <v>3.9717758652843123</v>
      </c>
      <c r="G31" s="11">
        <f t="shared" si="3"/>
        <v>33.700246177494563</v>
      </c>
    </row>
    <row r="32" spans="1:7" x14ac:dyDescent="0.25">
      <c r="B32" s="4">
        <v>47409</v>
      </c>
      <c r="C32" s="10">
        <f>+B32-$B$20-2</f>
        <v>3462</v>
      </c>
      <c r="D32" s="10">
        <f t="shared" si="0"/>
        <v>9.4849315068493159</v>
      </c>
      <c r="E32" s="11">
        <f t="shared" si="1"/>
        <v>7.2499999999999991</v>
      </c>
      <c r="F32" s="24">
        <f t="shared" si="2"/>
        <v>3.6998377878754662</v>
      </c>
      <c r="G32" s="11">
        <f t="shared" si="3"/>
        <v>35.092708004451687</v>
      </c>
    </row>
    <row r="33" spans="1:9" x14ac:dyDescent="0.25">
      <c r="B33" s="4">
        <v>47774</v>
      </c>
      <c r="C33" s="10">
        <f t="shared" ref="C33:C34" si="5">+B33-$B$20-2</f>
        <v>3827</v>
      </c>
      <c r="D33" s="10">
        <f t="shared" si="0"/>
        <v>10.484931506849316</v>
      </c>
      <c r="E33" s="11">
        <f t="shared" si="1"/>
        <v>7.2499999999999991</v>
      </c>
      <c r="F33" s="24">
        <f t="shared" si="2"/>
        <v>3.4465186659296383</v>
      </c>
      <c r="G33" s="11">
        <f t="shared" si="3"/>
        <v>36.136512149349933</v>
      </c>
    </row>
    <row r="34" spans="1:9" x14ac:dyDescent="0.25">
      <c r="B34" s="4">
        <v>48139</v>
      </c>
      <c r="C34" s="10">
        <f t="shared" si="5"/>
        <v>4192</v>
      </c>
      <c r="D34" s="10">
        <f t="shared" si="0"/>
        <v>11.484931506849316</v>
      </c>
      <c r="E34" s="11">
        <f t="shared" si="1"/>
        <v>7.2499999999999991</v>
      </c>
      <c r="F34" s="24">
        <f t="shared" si="2"/>
        <v>3.2105437037071618</v>
      </c>
      <c r="G34" s="11">
        <f t="shared" si="3"/>
        <v>36.872874536823076</v>
      </c>
    </row>
    <row r="35" spans="1:9" x14ac:dyDescent="0.25">
      <c r="B35" s="4">
        <v>48505</v>
      </c>
      <c r="C35" s="10">
        <f>+B35-$B$20-3</f>
        <v>4557</v>
      </c>
      <c r="D35" s="10">
        <f t="shared" si="0"/>
        <v>12.484931506849316</v>
      </c>
      <c r="E35" s="11">
        <f t="shared" si="1"/>
        <v>7.2499999999999991</v>
      </c>
      <c r="F35" s="24">
        <f t="shared" si="2"/>
        <v>2.9907253877104445</v>
      </c>
      <c r="G35" s="11">
        <f t="shared" si="3"/>
        <v>37.339001621360261</v>
      </c>
    </row>
    <row r="36" spans="1:9" x14ac:dyDescent="0.25">
      <c r="B36" s="4">
        <v>48870</v>
      </c>
      <c r="C36" s="10">
        <f>+B36-$B$20-3</f>
        <v>4922</v>
      </c>
      <c r="D36" s="10">
        <f t="shared" si="0"/>
        <v>13.484931506849316</v>
      </c>
      <c r="E36" s="11">
        <f t="shared" si="1"/>
        <v>7.2499999999999991</v>
      </c>
      <c r="F36" s="24">
        <f t="shared" si="2"/>
        <v>2.7859575106757757</v>
      </c>
      <c r="G36" s="11">
        <f t="shared" si="3"/>
        <v>37.568446212455257</v>
      </c>
    </row>
    <row r="37" spans="1:9" x14ac:dyDescent="0.25">
      <c r="A37" t="s">
        <v>30</v>
      </c>
      <c r="B37" s="4">
        <v>49235</v>
      </c>
      <c r="C37" s="10">
        <f>+B37-$B$20-3</f>
        <v>5287</v>
      </c>
      <c r="D37" s="10">
        <f t="shared" si="0"/>
        <v>14.484931506849316</v>
      </c>
      <c r="E37" s="11">
        <f>+$B$17+B15</f>
        <v>107.25</v>
      </c>
      <c r="F37" s="24">
        <f t="shared" si="2"/>
        <v>38.391204152704113</v>
      </c>
      <c r="G37" s="11">
        <f t="shared" si="3"/>
        <v>556.09396261738812</v>
      </c>
    </row>
    <row r="38" spans="1:9" x14ac:dyDescent="0.25">
      <c r="E38" s="7" t="s">
        <v>23</v>
      </c>
      <c r="F38" s="13">
        <f>SUM(F23:F37)</f>
        <v>102.79648973665942</v>
      </c>
      <c r="G38" s="13">
        <f>SUM(G23:G37)</f>
        <v>932.92993023997542</v>
      </c>
    </row>
    <row r="40" spans="1:9" x14ac:dyDescent="0.25">
      <c r="E40" s="7" t="s">
        <v>37</v>
      </c>
      <c r="F40" s="13">
        <f>+PRICE(B20,B19,B16,B14,B15,1,1)</f>
        <v>99.062297637396043</v>
      </c>
      <c r="G40" s="7" t="s">
        <v>51</v>
      </c>
      <c r="H40" s="13">
        <f>+G38/B13</f>
        <v>9.0756352958799109</v>
      </c>
      <c r="I40" t="s">
        <v>42</v>
      </c>
    </row>
    <row r="41" spans="1:9" x14ac:dyDescent="0.25">
      <c r="E41" s="27" t="s">
        <v>38</v>
      </c>
      <c r="F41" s="27"/>
      <c r="G41" s="7" t="s">
        <v>51</v>
      </c>
      <c r="H41" s="13">
        <f>+DURATION(B20,B19,B16,B14,1,1)</f>
        <v>9.0741788214242263</v>
      </c>
      <c r="I41" t="s">
        <v>42</v>
      </c>
    </row>
    <row r="42" spans="1:9" x14ac:dyDescent="0.25">
      <c r="E42" t="s">
        <v>39</v>
      </c>
      <c r="F42" s="14">
        <v>43756</v>
      </c>
      <c r="G42" s="7" t="s">
        <v>52</v>
      </c>
      <c r="H42" s="13">
        <f>+H40/(1+B14)</f>
        <v>8.4542480632323347</v>
      </c>
    </row>
    <row r="43" spans="1:9" x14ac:dyDescent="0.25">
      <c r="E43" t="s">
        <v>36</v>
      </c>
      <c r="F43" s="14">
        <f>+B23</f>
        <v>44122</v>
      </c>
      <c r="G43" s="7" t="s">
        <v>52</v>
      </c>
      <c r="H43" s="13">
        <f>+MDURATION(B20,B19,B16,B14,1,1)</f>
        <v>8.4528913101296954</v>
      </c>
    </row>
    <row r="44" spans="1:9" x14ac:dyDescent="0.25">
      <c r="E44" t="s">
        <v>31</v>
      </c>
      <c r="F44" s="14">
        <f>+B20</f>
        <v>43945</v>
      </c>
    </row>
    <row r="45" spans="1:9" x14ac:dyDescent="0.25">
      <c r="E45" t="s">
        <v>40</v>
      </c>
      <c r="F45" s="10">
        <f>+F43-F42-1</f>
        <v>365</v>
      </c>
    </row>
    <row r="46" spans="1:9" x14ac:dyDescent="0.25">
      <c r="E46" t="s">
        <v>41</v>
      </c>
      <c r="F46" s="10">
        <f>+F44-F42-1</f>
        <v>188</v>
      </c>
    </row>
    <row r="47" spans="1:9" x14ac:dyDescent="0.25">
      <c r="E47" s="7" t="s">
        <v>38</v>
      </c>
      <c r="F47" s="7">
        <f>+B17*F46/F45</f>
        <v>3.734246575342465</v>
      </c>
    </row>
    <row r="48" spans="1:9" x14ac:dyDescent="0.25">
      <c r="E48" s="7" t="s">
        <v>23</v>
      </c>
      <c r="F48" s="13">
        <f>+F47+F40</f>
        <v>102.79654421273851</v>
      </c>
    </row>
  </sheetData>
  <mergeCells count="2">
    <mergeCell ref="A1:F1"/>
    <mergeCell ref="E41:F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0268-CE3B-4423-861C-94BB2D85E85D}">
  <dimension ref="A1:I43"/>
  <sheetViews>
    <sheetView workbookViewId="0">
      <selection activeCell="H36" sqref="H36"/>
    </sheetView>
  </sheetViews>
  <sheetFormatPr baseColWidth="10" defaultRowHeight="15" x14ac:dyDescent="0.25"/>
  <cols>
    <col min="1" max="1" width="16.140625" customWidth="1"/>
    <col min="2" max="2" width="16.42578125" customWidth="1"/>
    <col min="3" max="5" width="20.5703125" customWidth="1"/>
    <col min="6" max="6" width="28.5703125" customWidth="1"/>
    <col min="7" max="7" width="16.85546875" bestFit="1" customWidth="1"/>
  </cols>
  <sheetData>
    <row r="1" spans="1:6" ht="15.75" thickBot="1" x14ac:dyDescent="0.3">
      <c r="A1" s="25" t="s">
        <v>58</v>
      </c>
      <c r="B1" s="26"/>
      <c r="C1" s="26"/>
      <c r="D1" s="26"/>
      <c r="E1" s="26"/>
      <c r="F1" s="26"/>
    </row>
    <row r="2" spans="1:6" ht="15.75" thickBot="1" x14ac:dyDescent="0.3">
      <c r="A2" s="21" t="s">
        <v>43</v>
      </c>
      <c r="B2" s="18" t="s">
        <v>44</v>
      </c>
      <c r="C2" s="18" t="s">
        <v>45</v>
      </c>
      <c r="D2" s="18" t="s">
        <v>46</v>
      </c>
      <c r="E2" s="18" t="s">
        <v>47</v>
      </c>
      <c r="F2" s="18" t="s">
        <v>48</v>
      </c>
    </row>
    <row r="3" spans="1:6" ht="15.75" thickBot="1" x14ac:dyDescent="0.3">
      <c r="A3" s="22" t="s">
        <v>1</v>
      </c>
      <c r="B3" s="19" t="s">
        <v>9</v>
      </c>
      <c r="C3" s="20">
        <v>2000000000</v>
      </c>
      <c r="D3" s="20">
        <v>2253370000</v>
      </c>
      <c r="E3" s="19">
        <v>112.69499999999999</v>
      </c>
      <c r="F3" s="19" t="s">
        <v>49</v>
      </c>
    </row>
    <row r="4" spans="1:6" ht="15.75" thickBot="1" x14ac:dyDescent="0.3"/>
    <row r="5" spans="1:6" ht="15.75" thickBot="1" x14ac:dyDescent="0.3">
      <c r="A5" s="1" t="s">
        <v>0</v>
      </c>
      <c r="B5" s="2" t="s">
        <v>1</v>
      </c>
      <c r="C5" s="1" t="s">
        <v>2</v>
      </c>
      <c r="D5" s="1"/>
      <c r="E5" s="3" t="s">
        <v>3</v>
      </c>
      <c r="F5" s="23"/>
    </row>
    <row r="6" spans="1:6" ht="15.75" thickBot="1" x14ac:dyDescent="0.3">
      <c r="A6" s="1" t="s">
        <v>4</v>
      </c>
      <c r="B6" s="3" t="s">
        <v>5</v>
      </c>
      <c r="C6" s="1" t="s">
        <v>6</v>
      </c>
      <c r="D6" s="1"/>
      <c r="E6" s="3" t="s">
        <v>7</v>
      </c>
    </row>
    <row r="7" spans="1:6" ht="15.75" thickBot="1" x14ac:dyDescent="0.3">
      <c r="A7" s="1" t="s">
        <v>8</v>
      </c>
      <c r="B7" s="3" t="s">
        <v>9</v>
      </c>
      <c r="C7" s="1" t="s">
        <v>10</v>
      </c>
      <c r="D7" s="1"/>
      <c r="E7" s="5">
        <v>40781</v>
      </c>
    </row>
    <row r="8" spans="1:6" ht="24.75" thickBot="1" x14ac:dyDescent="0.3">
      <c r="A8" s="1" t="s">
        <v>11</v>
      </c>
      <c r="B8" s="5">
        <v>46260</v>
      </c>
      <c r="C8" s="1" t="s">
        <v>12</v>
      </c>
      <c r="D8" s="1"/>
      <c r="E8" s="3" t="s">
        <v>13</v>
      </c>
    </row>
    <row r="9" spans="1:6" ht="15.75" thickBot="1" x14ac:dyDescent="0.3">
      <c r="A9" s="1" t="s">
        <v>14</v>
      </c>
      <c r="B9" s="3" t="s">
        <v>15</v>
      </c>
      <c r="C9" s="1" t="s">
        <v>16</v>
      </c>
      <c r="D9" s="1"/>
      <c r="E9" s="3" t="s">
        <v>17</v>
      </c>
    </row>
    <row r="10" spans="1:6" ht="24.75" thickBot="1" x14ac:dyDescent="0.3">
      <c r="A10" s="1" t="s">
        <v>18</v>
      </c>
      <c r="B10" s="3" t="s">
        <v>19</v>
      </c>
      <c r="C10" s="1" t="s">
        <v>20</v>
      </c>
      <c r="D10" s="1"/>
      <c r="E10" s="3" t="s">
        <v>21</v>
      </c>
    </row>
    <row r="13" spans="1:6" x14ac:dyDescent="0.25">
      <c r="A13" s="6" t="s">
        <v>22</v>
      </c>
      <c r="B13" s="7" t="s">
        <v>1</v>
      </c>
    </row>
    <row r="14" spans="1:6" x14ac:dyDescent="0.25">
      <c r="A14" t="s">
        <v>23</v>
      </c>
      <c r="B14" s="15">
        <v>112.69499969482401</v>
      </c>
      <c r="C14" s="17"/>
    </row>
    <row r="15" spans="1:6" x14ac:dyDescent="0.25">
      <c r="A15" t="s">
        <v>24</v>
      </c>
      <c r="B15" s="8">
        <v>6.0199999999999997E-2</v>
      </c>
    </row>
    <row r="16" spans="1:6" x14ac:dyDescent="0.25">
      <c r="A16" t="s">
        <v>25</v>
      </c>
      <c r="B16">
        <v>100</v>
      </c>
    </row>
    <row r="17" spans="1:7" x14ac:dyDescent="0.25">
      <c r="A17" t="s">
        <v>26</v>
      </c>
      <c r="B17" s="12">
        <v>7.4999999999999997E-2</v>
      </c>
    </row>
    <row r="18" spans="1:7" x14ac:dyDescent="0.25">
      <c r="A18" t="s">
        <v>27</v>
      </c>
      <c r="B18">
        <f>+B17*B16</f>
        <v>7.5</v>
      </c>
    </row>
    <row r="19" spans="1:7" x14ac:dyDescent="0.25">
      <c r="A19" t="s">
        <v>28</v>
      </c>
      <c r="B19" s="9" t="s">
        <v>29</v>
      </c>
    </row>
    <row r="20" spans="1:7" x14ac:dyDescent="0.25">
      <c r="A20" t="s">
        <v>30</v>
      </c>
      <c r="B20" s="4">
        <v>46260</v>
      </c>
    </row>
    <row r="21" spans="1:7" x14ac:dyDescent="0.25">
      <c r="A21" t="s">
        <v>31</v>
      </c>
      <c r="B21" s="4">
        <v>43955</v>
      </c>
    </row>
    <row r="23" spans="1:7" x14ac:dyDescent="0.25">
      <c r="B23" s="7" t="s">
        <v>32</v>
      </c>
      <c r="C23" s="7" t="s">
        <v>33</v>
      </c>
      <c r="D23" s="7" t="s">
        <v>42</v>
      </c>
      <c r="E23" s="7" t="s">
        <v>34</v>
      </c>
      <c r="F23" s="7" t="s">
        <v>35</v>
      </c>
      <c r="G23" s="7" t="s">
        <v>50</v>
      </c>
    </row>
    <row r="24" spans="1:7" x14ac:dyDescent="0.25">
      <c r="A24" t="s">
        <v>36</v>
      </c>
      <c r="B24" s="4">
        <v>44069</v>
      </c>
      <c r="C24" s="10">
        <f>+B24-$B$21</f>
        <v>114</v>
      </c>
      <c r="D24" s="10">
        <f>+C24/365</f>
        <v>0.31232876712328766</v>
      </c>
      <c r="E24" s="11">
        <f>+$B$18</f>
        <v>7.5</v>
      </c>
      <c r="F24" s="11">
        <f>+E24/(1+$B$15)^D24</f>
        <v>7.3643076488529342</v>
      </c>
      <c r="G24">
        <f>+F24*D24</f>
        <v>2.3000851286828343</v>
      </c>
    </row>
    <row r="25" spans="1:7" x14ac:dyDescent="0.25">
      <c r="B25" s="4">
        <v>44434</v>
      </c>
      <c r="C25" s="10">
        <f>+B25-$B$21</f>
        <v>479</v>
      </c>
      <c r="D25" s="10">
        <f t="shared" ref="D25:D30" si="0">+C25/365</f>
        <v>1.3123287671232877</v>
      </c>
      <c r="E25" s="11">
        <f t="shared" ref="E25:E29" si="1">+$B$18</f>
        <v>7.5</v>
      </c>
      <c r="F25" s="11">
        <f t="shared" ref="F25:F30" si="2">+E25/(1+$B$15)^D25</f>
        <v>6.9461494518514746</v>
      </c>
      <c r="G25">
        <f t="shared" ref="G25:G30" si="3">+F25*D25</f>
        <v>9.1156317464023466</v>
      </c>
    </row>
    <row r="26" spans="1:7" x14ac:dyDescent="0.25">
      <c r="B26" s="4">
        <v>44799</v>
      </c>
      <c r="C26" s="10">
        <f>+B26-$B$21</f>
        <v>844</v>
      </c>
      <c r="D26" s="10">
        <f t="shared" si="0"/>
        <v>2.3123287671232875</v>
      </c>
      <c r="E26" s="11">
        <f t="shared" si="1"/>
        <v>7.5</v>
      </c>
      <c r="F26" s="11">
        <f t="shared" si="2"/>
        <v>6.551735004575999</v>
      </c>
      <c r="G26">
        <f t="shared" si="3"/>
        <v>15.149765325649707</v>
      </c>
    </row>
    <row r="27" spans="1:7" x14ac:dyDescent="0.25">
      <c r="B27" s="4">
        <v>45164</v>
      </c>
      <c r="C27" s="10">
        <f>+B27-$B$21</f>
        <v>1209</v>
      </c>
      <c r="D27" s="10">
        <f t="shared" si="0"/>
        <v>3.3123287671232875</v>
      </c>
      <c r="E27" s="11">
        <f t="shared" si="1"/>
        <v>7.5</v>
      </c>
      <c r="F27" s="11">
        <f t="shared" si="2"/>
        <v>6.1797160956196935</v>
      </c>
      <c r="G27">
        <f t="shared" si="3"/>
        <v>20.469251396175917</v>
      </c>
    </row>
    <row r="28" spans="1:7" x14ac:dyDescent="0.25">
      <c r="B28" s="4">
        <v>45530</v>
      </c>
      <c r="C28" s="10">
        <f>+B28-$B$21-1</f>
        <v>1574</v>
      </c>
      <c r="D28" s="10">
        <f t="shared" si="0"/>
        <v>4.3123287671232875</v>
      </c>
      <c r="E28" s="11">
        <f t="shared" si="1"/>
        <v>7.5</v>
      </c>
      <c r="F28" s="11">
        <f t="shared" si="2"/>
        <v>5.828821067364359</v>
      </c>
      <c r="G28">
        <f t="shared" si="3"/>
        <v>25.13579276720959</v>
      </c>
    </row>
    <row r="29" spans="1:7" x14ac:dyDescent="0.25">
      <c r="B29" s="4">
        <v>45895</v>
      </c>
      <c r="C29" s="10">
        <f>+B29-$B$21-1</f>
        <v>1939</v>
      </c>
      <c r="D29" s="10">
        <f t="shared" si="0"/>
        <v>5.3123287671232875</v>
      </c>
      <c r="E29" s="11">
        <f t="shared" si="1"/>
        <v>7.5</v>
      </c>
      <c r="F29" s="11">
        <f t="shared" si="2"/>
        <v>5.4978504691231453</v>
      </c>
      <c r="G29">
        <f t="shared" si="3"/>
        <v>29.206389204465147</v>
      </c>
    </row>
    <row r="30" spans="1:7" x14ac:dyDescent="0.25">
      <c r="A30" t="s">
        <v>30</v>
      </c>
      <c r="B30" s="4">
        <v>46260</v>
      </c>
      <c r="C30" s="10">
        <f>+B30-$B$21-1</f>
        <v>2304</v>
      </c>
      <c r="D30" s="10">
        <f t="shared" si="0"/>
        <v>6.3123287671232875</v>
      </c>
      <c r="E30" s="11">
        <f>+$B$18+B16</f>
        <v>107.5</v>
      </c>
      <c r="F30" s="11">
        <f t="shared" si="2"/>
        <v>74.327979051844068</v>
      </c>
      <c r="G30">
        <f t="shared" si="3"/>
        <v>469.18264037109242</v>
      </c>
    </row>
    <row r="31" spans="1:7" x14ac:dyDescent="0.25">
      <c r="E31" s="7" t="s">
        <v>23</v>
      </c>
      <c r="F31" s="13">
        <f>SUM(F24:F30)</f>
        <v>112.69655878923166</v>
      </c>
      <c r="G31">
        <f>SUM(G24:G30)</f>
        <v>570.55955593967792</v>
      </c>
    </row>
    <row r="32" spans="1:7" x14ac:dyDescent="0.25">
      <c r="E32" s="7"/>
      <c r="F32" s="11"/>
    </row>
    <row r="33" spans="5:9" x14ac:dyDescent="0.25">
      <c r="E33" s="7" t="s">
        <v>37</v>
      </c>
      <c r="F33" s="13">
        <f>+PRICE(B21,B20,B17,B15,B16,1,1)</f>
        <v>107.53824639281322</v>
      </c>
      <c r="G33" s="7" t="s">
        <v>51</v>
      </c>
      <c r="H33" s="13">
        <f>+G31/B14</f>
        <v>5.0628648785193908</v>
      </c>
      <c r="I33" t="s">
        <v>42</v>
      </c>
    </row>
    <row r="34" spans="5:9" x14ac:dyDescent="0.25">
      <c r="E34" s="27" t="s">
        <v>38</v>
      </c>
      <c r="F34" s="27"/>
      <c r="G34" s="7" t="s">
        <v>51</v>
      </c>
      <c r="H34" s="13">
        <f>+DURATION(B21,B20,B17,B15,1,1)</f>
        <v>5.0619414793036155</v>
      </c>
      <c r="I34" t="s">
        <v>42</v>
      </c>
    </row>
    <row r="35" spans="5:9" x14ac:dyDescent="0.25">
      <c r="E35" t="s">
        <v>39</v>
      </c>
      <c r="F35" s="14">
        <v>43703</v>
      </c>
      <c r="G35" s="7" t="s">
        <v>52</v>
      </c>
      <c r="H35" s="13">
        <f>+H33/(1+B15)</f>
        <v>4.7753866049041598</v>
      </c>
    </row>
    <row r="36" spans="5:9" x14ac:dyDescent="0.25">
      <c r="E36" t="s">
        <v>36</v>
      </c>
      <c r="F36" s="14">
        <f>+B24</f>
        <v>44069</v>
      </c>
      <c r="G36" s="7" t="s">
        <v>52</v>
      </c>
      <c r="H36" s="13">
        <f>+MDURATION(B21,B20,B17,B15,1,1)</f>
        <v>4.7745156379019198</v>
      </c>
    </row>
    <row r="37" spans="5:9" x14ac:dyDescent="0.25">
      <c r="E37" t="s">
        <v>31</v>
      </c>
      <c r="F37" s="14">
        <f>+B21</f>
        <v>43955</v>
      </c>
    </row>
    <row r="38" spans="5:9" x14ac:dyDescent="0.25">
      <c r="E38" t="s">
        <v>40</v>
      </c>
      <c r="F38" s="10">
        <f>+F36-F35-1</f>
        <v>365</v>
      </c>
    </row>
    <row r="39" spans="5:9" x14ac:dyDescent="0.25">
      <c r="E39" t="s">
        <v>41</v>
      </c>
      <c r="F39" s="10">
        <f>+F37-F35-1</f>
        <v>251</v>
      </c>
    </row>
    <row r="40" spans="5:9" x14ac:dyDescent="0.25">
      <c r="E40" s="7" t="s">
        <v>38</v>
      </c>
      <c r="F40" s="7">
        <f>+B18*F39/F38</f>
        <v>5.1575342465753424</v>
      </c>
    </row>
    <row r="41" spans="5:9" x14ac:dyDescent="0.25">
      <c r="E41" s="7" t="s">
        <v>23</v>
      </c>
      <c r="F41" s="13">
        <f>+F40+F33</f>
        <v>112.69578063938856</v>
      </c>
    </row>
    <row r="42" spans="5:9" x14ac:dyDescent="0.25">
      <c r="F42" s="16"/>
    </row>
    <row r="43" spans="5:9" x14ac:dyDescent="0.25">
      <c r="F43" s="16"/>
    </row>
  </sheetData>
  <mergeCells count="2">
    <mergeCell ref="E34:F34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TFIT16181034</vt:lpstr>
      <vt:lpstr>TFIT15260826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2020-05-07T21:37:11Z</dcterms:created>
  <dcterms:modified xsi:type="dcterms:W3CDTF">2020-05-12T03:31:54Z</dcterms:modified>
</cp:coreProperties>
</file>