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9.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10.xml" ContentType="application/vnd.openxmlformats-officedocument.drawing+xml"/>
  <Override PartName="/xl/drawings/drawing11.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8"/>
  <workbookPr codeName="ThisWorkbook" defaultThemeVersion="124226"/>
  <mc:AlternateContent xmlns:mc="http://schemas.openxmlformats.org/markup-compatibility/2006">
    <mc:Choice Requires="x15">
      <x15ac:absPath xmlns:x15ac="http://schemas.microsoft.com/office/spreadsheetml/2010/11/ac" url="https://d.docs.live.net/7f090cc5b5cb95af/Documentos/"/>
    </mc:Choice>
  </mc:AlternateContent>
  <xr:revisionPtr revIDLastSave="0" documentId="8_{678E0428-A487-41EA-B6C4-502A7A0A89B2}" xr6:coauthVersionLast="47" xr6:coauthVersionMax="47" xr10:uidLastSave="{00000000-0000-0000-0000-000000000000}"/>
  <workbookProtection workbookPassword="F817" lockStructure="1"/>
  <bookViews>
    <workbookView xWindow="-108" yWindow="-108" windowWidth="23256" windowHeight="12576" tabRatio="849" firstSheet="10" activeTab="10" xr2:uid="{00000000-000D-0000-FFFF-FFFF00000000}"/>
  </bookViews>
  <sheets>
    <sheet name="1. DATOS PREVIOS" sheetId="1" r:id="rId1"/>
    <sheet name="2. P. MARKETING" sheetId="2" r:id="rId2"/>
    <sheet name="3. P. OPERACIONES" sheetId="4" r:id="rId3"/>
    <sheet name="4. P. REC. HUMANOS" sheetId="5" r:id="rId4"/>
    <sheet name="5. P. JURIDICO MERCANTIL" sheetId="6" r:id="rId5"/>
    <sheet name="6. PEF1. PLAN COMERCIAL" sheetId="7" r:id="rId6"/>
    <sheet name="6. PEF2-3. INVERS. Y FINANC." sheetId="8" r:id="rId7"/>
    <sheet name="6.PEF4. AMORTIZACIÓN" sheetId="15" r:id="rId8"/>
    <sheet name="6. PEF5. VENTAS Y COSTES" sheetId="10" r:id="rId9"/>
    <sheet name="6.PEF6. EXPLOTACION" sheetId="18" r:id="rId10"/>
    <sheet name="6. PEF7. IVA" sheetId="14" r:id="rId11"/>
    <sheet name="6. PEF8-9. TESORERIA" sheetId="11" r:id="rId12"/>
    <sheet name="6. PEF10. BALANCE 3 AÑOS" sheetId="13" r:id="rId13"/>
    <sheet name="6.PEF11. RATIOS" sheetId="16" r:id="rId14"/>
    <sheet name="AMORTIZ. PTMO." sheetId="3" r:id="rId15"/>
  </sheets>
  <definedNames>
    <definedName name="_xlnm.Print_Area" localSheetId="1">'2. P. MARKETING'!$A$1:$BZ$61</definedName>
    <definedName name="_xlnm.Print_Area" localSheetId="2">'3. P. OPERACIONES'!$A$1:$AA$61</definedName>
    <definedName name="_xlnm.Print_Area" localSheetId="3">'4. P. REC. HUMANOS'!$A$1:$AA$61</definedName>
    <definedName name="_xlnm.Print_Area" localSheetId="4">'5. P. JURIDICO MERCANTIL'!$A$1:$R$61</definedName>
    <definedName name="_xlnm.Print_Area" localSheetId="5">'6. PEF1. PLAN COMERCIAL'!$A$1:$I$44</definedName>
    <definedName name="_xlnm.Print_Area" localSheetId="12">'6. PEF10. BALANCE 3 AÑOS'!$A$1:$H$62</definedName>
    <definedName name="_xlnm.Print_Area" localSheetId="6">'6. PEF2-3. INVERS. Y FINANC.'!$A$1:$O$56</definedName>
    <definedName name="_xlnm.Print_Area" localSheetId="8">'6. PEF5. VENTAS Y COSTES'!$A$1:$I$57</definedName>
    <definedName name="_xlnm.Print_Area" localSheetId="10">'6. PEF7. IVA'!$A$1:$BH$59</definedName>
    <definedName name="_xlnm.Print_Area" localSheetId="11">'6. PEF8-9. TESORERIA'!$A$1:$BK$60</definedName>
    <definedName name="_xlnm.Print_Area" localSheetId="13">'6.PEF11. RATIOS'!$A$1:$G$48</definedName>
    <definedName name="_xlnm.Print_Area" localSheetId="7">'6.PEF4. AMORTIZACIÓN'!$A$1:$I$52</definedName>
    <definedName name="_xlnm.Print_Area" localSheetId="9">'6.PEF6. EXPLOTACION'!$A$1:$BJ$58</definedName>
    <definedName name="_xlnm.Print_Area" localSheetId="14">'AMORTIZ. PTMO.'!$A$1:$F$131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8" l="1"/>
  <c r="F5" i="3"/>
  <c r="C5" i="3"/>
  <c r="F4" i="3"/>
  <c r="F3" i="3"/>
  <c r="F11" i="3"/>
  <c r="D10" i="7"/>
  <c r="D10" i="18"/>
  <c r="D20" i="7"/>
  <c r="D11" i="18"/>
  <c r="V11" i="18"/>
  <c r="F42" i="10"/>
  <c r="G15" i="10"/>
  <c r="G16" i="10"/>
  <c r="G28" i="10"/>
  <c r="W14" i="18"/>
  <c r="W25" i="11"/>
  <c r="V14" i="18"/>
  <c r="G21" i="10"/>
  <c r="V15" i="18"/>
  <c r="G22" i="10"/>
  <c r="Y16" i="18"/>
  <c r="V16" i="18"/>
  <c r="G23" i="10"/>
  <c r="AF17" i="18"/>
  <c r="V17" i="18"/>
  <c r="G24" i="10"/>
  <c r="AG18" i="18"/>
  <c r="V18" i="18"/>
  <c r="G25" i="10"/>
  <c r="V19" i="18"/>
  <c r="G26" i="10"/>
  <c r="AH20" i="18"/>
  <c r="V20" i="18"/>
  <c r="G27" i="10"/>
  <c r="Z21" i="18"/>
  <c r="G31" i="10"/>
  <c r="W22" i="18"/>
  <c r="V22" i="18"/>
  <c r="G29" i="10"/>
  <c r="V24" i="18"/>
  <c r="E20" i="15"/>
  <c r="G20" i="15"/>
  <c r="H20" i="15"/>
  <c r="I20" i="15"/>
  <c r="E22" i="15"/>
  <c r="G22" i="15"/>
  <c r="E26" i="15"/>
  <c r="G26" i="15"/>
  <c r="H26" i="15"/>
  <c r="I26" i="15"/>
  <c r="E27" i="15"/>
  <c r="G27" i="15"/>
  <c r="H27" i="15"/>
  <c r="I27" i="15"/>
  <c r="E28" i="15"/>
  <c r="G28" i="15"/>
  <c r="H28" i="15"/>
  <c r="I28" i="15"/>
  <c r="E29" i="15"/>
  <c r="G29" i="15"/>
  <c r="H29" i="15"/>
  <c r="I29" i="15"/>
  <c r="E30" i="15"/>
  <c r="G30" i="15"/>
  <c r="H30" i="15"/>
  <c r="I30" i="15"/>
  <c r="E32" i="15"/>
  <c r="G32" i="15"/>
  <c r="H32" i="15"/>
  <c r="I32" i="15"/>
  <c r="H21" i="15"/>
  <c r="H23" i="15"/>
  <c r="I23" i="15"/>
  <c r="H24" i="15"/>
  <c r="H25" i="15"/>
  <c r="B10" i="15"/>
  <c r="E10" i="7"/>
  <c r="E10" i="18"/>
  <c r="W10" i="18"/>
  <c r="E20" i="7"/>
  <c r="W15" i="18"/>
  <c r="W16" i="18"/>
  <c r="W17" i="18"/>
  <c r="W19" i="18"/>
  <c r="W20" i="18"/>
  <c r="W24" i="18"/>
  <c r="F10" i="7"/>
  <c r="F11" i="11"/>
  <c r="F10" i="18"/>
  <c r="F20" i="7"/>
  <c r="F11" i="18"/>
  <c r="X11" i="18"/>
  <c r="AP11" i="18"/>
  <c r="X15" i="18"/>
  <c r="X16" i="18"/>
  <c r="X17" i="18"/>
  <c r="X19" i="18"/>
  <c r="X20" i="18"/>
  <c r="X21" i="18"/>
  <c r="X24" i="18"/>
  <c r="G10" i="7"/>
  <c r="G11" i="11"/>
  <c r="Y11" i="11"/>
  <c r="AQ11" i="11"/>
  <c r="G10" i="18"/>
  <c r="Y10" i="18"/>
  <c r="G20" i="7"/>
  <c r="Y14" i="18"/>
  <c r="Y15" i="18"/>
  <c r="Y17" i="18"/>
  <c r="Y19" i="18"/>
  <c r="Y20" i="18"/>
  <c r="Y24" i="18"/>
  <c r="H10" i="7"/>
  <c r="H10" i="18"/>
  <c r="H20" i="7"/>
  <c r="H11" i="18"/>
  <c r="Z11" i="18"/>
  <c r="AR11" i="18"/>
  <c r="Z15" i="18"/>
  <c r="Z16" i="18"/>
  <c r="Z17" i="18"/>
  <c r="Z19" i="18"/>
  <c r="Z20" i="18"/>
  <c r="Z24" i="18"/>
  <c r="I10" i="7"/>
  <c r="I10" i="18"/>
  <c r="AA10" i="18"/>
  <c r="AS10" i="18"/>
  <c r="I20" i="7"/>
  <c r="I22" i="11"/>
  <c r="AA14" i="18"/>
  <c r="AA25" i="11"/>
  <c r="AA15" i="18"/>
  <c r="AA17" i="18"/>
  <c r="AA19" i="18"/>
  <c r="AA20" i="18"/>
  <c r="AA21" i="18"/>
  <c r="AA24" i="18"/>
  <c r="D12" i="7"/>
  <c r="M10" i="18"/>
  <c r="D22" i="7"/>
  <c r="M11" i="18"/>
  <c r="AE11" i="18"/>
  <c r="AE14" i="18"/>
  <c r="AE25" i="11"/>
  <c r="AE15" i="18"/>
  <c r="AE17" i="18"/>
  <c r="AE19" i="18"/>
  <c r="AE20" i="18"/>
  <c r="AE22" i="18"/>
  <c r="AE24" i="18"/>
  <c r="E12" i="7"/>
  <c r="N10" i="18"/>
  <c r="AF10" i="18"/>
  <c r="AX10" i="18"/>
  <c r="E22" i="7"/>
  <c r="AF14" i="18"/>
  <c r="AF25" i="11"/>
  <c r="AF15" i="18"/>
  <c r="AF16" i="18"/>
  <c r="AF19" i="18"/>
  <c r="AF20" i="18"/>
  <c r="AF22" i="18"/>
  <c r="AF24" i="18"/>
  <c r="F12" i="7"/>
  <c r="F22" i="7"/>
  <c r="O11" i="18"/>
  <c r="AG11" i="18"/>
  <c r="AG15" i="18"/>
  <c r="AG16" i="18"/>
  <c r="AG17" i="18"/>
  <c r="AG19" i="18"/>
  <c r="AG20" i="18"/>
  <c r="AG24" i="18"/>
  <c r="G12" i="7"/>
  <c r="P11" i="11"/>
  <c r="P10" i="18"/>
  <c r="AH10" i="18"/>
  <c r="G22" i="7"/>
  <c r="P11" i="18"/>
  <c r="AH15" i="18"/>
  <c r="AH16" i="18"/>
  <c r="AH17" i="18"/>
  <c r="AH18" i="18"/>
  <c r="AH19" i="18"/>
  <c r="AH24" i="18"/>
  <c r="H12" i="7"/>
  <c r="Q11" i="11"/>
  <c r="H22" i="7"/>
  <c r="Q11" i="18"/>
  <c r="AI11" i="18"/>
  <c r="AI15" i="18"/>
  <c r="AI17" i="18"/>
  <c r="AI19" i="18"/>
  <c r="AI20" i="18"/>
  <c r="AI21" i="18"/>
  <c r="AI24" i="18"/>
  <c r="I12" i="7"/>
  <c r="R10" i="18"/>
  <c r="I22" i="7"/>
  <c r="R11" i="18"/>
  <c r="AJ11" i="18"/>
  <c r="BB11" i="18"/>
  <c r="AJ15" i="18"/>
  <c r="AJ16" i="18"/>
  <c r="AJ17" i="18"/>
  <c r="AJ19" i="18"/>
  <c r="AJ20" i="18"/>
  <c r="AJ21" i="18"/>
  <c r="AJ24" i="18"/>
  <c r="D12" i="18"/>
  <c r="D14" i="18"/>
  <c r="D15" i="18"/>
  <c r="D16" i="18"/>
  <c r="D17" i="18"/>
  <c r="D18" i="18"/>
  <c r="D19" i="18"/>
  <c r="D20" i="18"/>
  <c r="D21" i="18"/>
  <c r="D22" i="18"/>
  <c r="D23" i="18" s="1"/>
  <c r="D24" i="18"/>
  <c r="B14" i="15"/>
  <c r="G15" i="15"/>
  <c r="E12" i="18"/>
  <c r="E14" i="18"/>
  <c r="E15" i="18"/>
  <c r="E16" i="18"/>
  <c r="E17" i="18"/>
  <c r="E18" i="18"/>
  <c r="E19" i="18"/>
  <c r="E20" i="18"/>
  <c r="E21" i="18"/>
  <c r="E22" i="18"/>
  <c r="E23" i="18" s="1"/>
  <c r="E24" i="18"/>
  <c r="F12" i="18"/>
  <c r="F14" i="18"/>
  <c r="F25" i="11"/>
  <c r="F15" i="18"/>
  <c r="F16" i="18"/>
  <c r="F17" i="18"/>
  <c r="F18" i="18"/>
  <c r="F19" i="18"/>
  <c r="F20" i="18"/>
  <c r="F21" i="18"/>
  <c r="F22" i="18"/>
  <c r="F24" i="18"/>
  <c r="G12" i="18"/>
  <c r="G14" i="18"/>
  <c r="G25" i="11"/>
  <c r="G15" i="18"/>
  <c r="G16" i="18"/>
  <c r="G17" i="18"/>
  <c r="G18" i="18"/>
  <c r="G19" i="18"/>
  <c r="G20" i="18"/>
  <c r="G21" i="18"/>
  <c r="G22" i="18"/>
  <c r="G23" i="18" s="1"/>
  <c r="G24" i="18"/>
  <c r="H12" i="18"/>
  <c r="H14" i="18"/>
  <c r="H25" i="11"/>
  <c r="H15" i="18"/>
  <c r="H16" i="18"/>
  <c r="H17" i="18"/>
  <c r="H18" i="18"/>
  <c r="H19" i="18"/>
  <c r="H20" i="18"/>
  <c r="H21" i="18"/>
  <c r="H22" i="18"/>
  <c r="H23" i="18" s="1"/>
  <c r="H24" i="18"/>
  <c r="I12" i="18"/>
  <c r="I14" i="18"/>
  <c r="I25" i="11"/>
  <c r="I15" i="18"/>
  <c r="I16" i="18"/>
  <c r="I17" i="18"/>
  <c r="I18" i="18"/>
  <c r="I19" i="18"/>
  <c r="I20" i="18"/>
  <c r="I21" i="18"/>
  <c r="I22" i="18"/>
  <c r="I24" i="18"/>
  <c r="M12" i="18"/>
  <c r="M14" i="18"/>
  <c r="M25" i="11"/>
  <c r="M15" i="18"/>
  <c r="M16" i="18"/>
  <c r="M17" i="18"/>
  <c r="M18" i="18"/>
  <c r="M19" i="18"/>
  <c r="M20" i="18"/>
  <c r="M21" i="18"/>
  <c r="M22" i="18"/>
  <c r="M23" i="18" s="1"/>
  <c r="M24" i="18"/>
  <c r="N12" i="18"/>
  <c r="N14" i="18"/>
  <c r="N25" i="11"/>
  <c r="N15" i="18"/>
  <c r="N16" i="18"/>
  <c r="N17" i="18"/>
  <c r="N18" i="18"/>
  <c r="N19" i="18"/>
  <c r="N20" i="18"/>
  <c r="N21" i="18"/>
  <c r="N22" i="18"/>
  <c r="N24" i="18"/>
  <c r="O12" i="18"/>
  <c r="O14" i="18"/>
  <c r="O25" i="11"/>
  <c r="O15" i="18"/>
  <c r="O16" i="18"/>
  <c r="O17" i="18"/>
  <c r="O18" i="18"/>
  <c r="O19" i="18"/>
  <c r="O20" i="18"/>
  <c r="O21" i="18"/>
  <c r="O22" i="18"/>
  <c r="O24" i="18"/>
  <c r="P12" i="18"/>
  <c r="P14" i="18"/>
  <c r="P15" i="18"/>
  <c r="P16" i="18"/>
  <c r="P17" i="18"/>
  <c r="P18" i="18"/>
  <c r="P19" i="18"/>
  <c r="P20" i="18"/>
  <c r="P21" i="18"/>
  <c r="P22" i="18"/>
  <c r="P23" i="18" s="1"/>
  <c r="P24" i="18"/>
  <c r="Q12" i="18"/>
  <c r="Q14" i="18"/>
  <c r="Q25" i="11"/>
  <c r="Q15" i="18"/>
  <c r="Q16" i="18"/>
  <c r="Q17" i="18"/>
  <c r="Q18" i="18"/>
  <c r="Q19" i="18"/>
  <c r="Q20" i="18"/>
  <c r="Q21" i="18"/>
  <c r="Q22" i="18"/>
  <c r="Q23" i="18" s="1"/>
  <c r="Q24" i="18"/>
  <c r="R12" i="18"/>
  <c r="R14" i="18"/>
  <c r="R15" i="18"/>
  <c r="R16" i="18"/>
  <c r="R17" i="18"/>
  <c r="R18" i="18"/>
  <c r="R19" i="18"/>
  <c r="R20" i="18"/>
  <c r="R21" i="18"/>
  <c r="R22" i="18"/>
  <c r="R23" i="18" s="1"/>
  <c r="R24" i="18"/>
  <c r="F29" i="13"/>
  <c r="F31" i="13"/>
  <c r="F38" i="8"/>
  <c r="D30" i="11"/>
  <c r="D17" i="14"/>
  <c r="D13" i="11"/>
  <c r="F17" i="14"/>
  <c r="E13" i="11"/>
  <c r="H17" i="14"/>
  <c r="F13" i="11"/>
  <c r="J17" i="14"/>
  <c r="G13" i="11"/>
  <c r="L17" i="14"/>
  <c r="H13" i="11"/>
  <c r="N17" i="14"/>
  <c r="I13" i="11"/>
  <c r="D25" i="14"/>
  <c r="M12" i="11"/>
  <c r="M13" i="11"/>
  <c r="F25" i="14"/>
  <c r="N12" i="11"/>
  <c r="N13" i="11"/>
  <c r="H25" i="14"/>
  <c r="O12" i="11"/>
  <c r="O13" i="11"/>
  <c r="J25" i="14"/>
  <c r="P12" i="11"/>
  <c r="P13" i="11"/>
  <c r="L25" i="14"/>
  <c r="Q12" i="11"/>
  <c r="L27" i="14"/>
  <c r="Q13" i="11"/>
  <c r="N25" i="14"/>
  <c r="R12" i="11"/>
  <c r="N27" i="14"/>
  <c r="R13" i="11"/>
  <c r="D10" i="11"/>
  <c r="BF10" i="11"/>
  <c r="D11" i="11"/>
  <c r="V11" i="11"/>
  <c r="E11" i="11"/>
  <c r="W11" i="11"/>
  <c r="AO11" i="11"/>
  <c r="H11" i="11"/>
  <c r="I11" i="11"/>
  <c r="M11" i="11"/>
  <c r="AE11" i="11"/>
  <c r="AW11" i="11"/>
  <c r="N11" i="11"/>
  <c r="R11" i="11"/>
  <c r="AJ11" i="11"/>
  <c r="BB11" i="11"/>
  <c r="D22" i="11"/>
  <c r="F22" i="11"/>
  <c r="H22" i="11"/>
  <c r="Z22" i="11"/>
  <c r="AR22" i="11"/>
  <c r="M22" i="11"/>
  <c r="O22" i="11"/>
  <c r="P22" i="11"/>
  <c r="AH22" i="11"/>
  <c r="AZ22" i="11"/>
  <c r="Q22" i="11"/>
  <c r="R22" i="11"/>
  <c r="D23" i="11"/>
  <c r="E23" i="11"/>
  <c r="F23" i="11"/>
  <c r="G23" i="11"/>
  <c r="H23" i="11"/>
  <c r="I23" i="11"/>
  <c r="M23" i="11"/>
  <c r="N23" i="11"/>
  <c r="O23" i="11"/>
  <c r="P23" i="11"/>
  <c r="Q23" i="11"/>
  <c r="R23" i="11"/>
  <c r="E25" i="11"/>
  <c r="P25" i="11"/>
  <c r="R25" i="11"/>
  <c r="F18" i="13"/>
  <c r="G18" i="13"/>
  <c r="H18" i="13"/>
  <c r="H15" i="10"/>
  <c r="H16" i="10"/>
  <c r="H21" i="10"/>
  <c r="AN15" i="18"/>
  <c r="H22" i="10"/>
  <c r="AZ16" i="18"/>
  <c r="H23" i="10"/>
  <c r="AN17" i="18"/>
  <c r="H24" i="10"/>
  <c r="H25" i="10"/>
  <c r="AN19" i="18"/>
  <c r="H26" i="10"/>
  <c r="AN20" i="18"/>
  <c r="H27" i="10"/>
  <c r="AN21" i="18"/>
  <c r="H31" i="10"/>
  <c r="H29" i="10"/>
  <c r="AN24" i="18"/>
  <c r="I21" i="15"/>
  <c r="I24" i="15"/>
  <c r="I25" i="15"/>
  <c r="AO20" i="18"/>
  <c r="AP16" i="18"/>
  <c r="AP18" i="18"/>
  <c r="AP20" i="18"/>
  <c r="AQ15" i="18"/>
  <c r="AQ19" i="18"/>
  <c r="AQ24" i="18"/>
  <c r="AR17" i="18"/>
  <c r="AR19" i="18"/>
  <c r="AR24" i="18"/>
  <c r="AS15" i="18"/>
  <c r="AS19" i="18"/>
  <c r="AS24" i="18"/>
  <c r="AW19" i="18"/>
  <c r="AW24" i="18"/>
  <c r="AX15" i="18"/>
  <c r="AX17" i="18"/>
  <c r="AX19" i="18"/>
  <c r="AX24" i="18"/>
  <c r="AY16" i="18"/>
  <c r="AY20" i="18"/>
  <c r="AY22" i="18"/>
  <c r="AZ10" i="18"/>
  <c r="AZ19" i="18"/>
  <c r="AZ24" i="18"/>
  <c r="BA17" i="18"/>
  <c r="BA19" i="18"/>
  <c r="BA24" i="18"/>
  <c r="BB16" i="18"/>
  <c r="BB20" i="18"/>
  <c r="BB22" i="18"/>
  <c r="BG30" i="11"/>
  <c r="G32" i="13"/>
  <c r="BH30" i="11"/>
  <c r="H32" i="13"/>
  <c r="D42" i="14"/>
  <c r="D33" i="11"/>
  <c r="AW23" i="14"/>
  <c r="L36" i="14"/>
  <c r="D35" i="14"/>
  <c r="E21" i="15"/>
  <c r="E23" i="15"/>
  <c r="E25" i="15"/>
  <c r="E31" i="15"/>
  <c r="D13" i="14"/>
  <c r="F35" i="14"/>
  <c r="U35" i="14"/>
  <c r="F13" i="14"/>
  <c r="H35" i="14"/>
  <c r="W35" i="14"/>
  <c r="AL35" i="14"/>
  <c r="H13" i="14"/>
  <c r="W13" i="14"/>
  <c r="J35" i="14"/>
  <c r="Y35" i="14"/>
  <c r="J13" i="14"/>
  <c r="Y13" i="14"/>
  <c r="AN13" i="14"/>
  <c r="L35" i="14"/>
  <c r="AA35" i="14"/>
  <c r="L13" i="14"/>
  <c r="AA13" i="14"/>
  <c r="N35" i="14"/>
  <c r="AC35" i="14"/>
  <c r="N13" i="14"/>
  <c r="AC13" i="14"/>
  <c r="D46" i="14"/>
  <c r="S46" i="14"/>
  <c r="AH46" i="14"/>
  <c r="D23" i="14"/>
  <c r="S23" i="14"/>
  <c r="F46" i="14"/>
  <c r="U46" i="14"/>
  <c r="F23" i="14"/>
  <c r="U23" i="14"/>
  <c r="H46" i="14"/>
  <c r="W46" i="14"/>
  <c r="AL46" i="14"/>
  <c r="H23" i="14"/>
  <c r="W23" i="14"/>
  <c r="J46" i="14"/>
  <c r="Y46" i="14"/>
  <c r="J23" i="14"/>
  <c r="L46" i="14"/>
  <c r="L23" i="14"/>
  <c r="AA23" i="14"/>
  <c r="AA28" i="14"/>
  <c r="AA29" i="14"/>
  <c r="AI14" i="11"/>
  <c r="N46" i="14"/>
  <c r="AC46" i="14"/>
  <c r="N23" i="14"/>
  <c r="AC23" i="14"/>
  <c r="F41" i="13"/>
  <c r="F11" i="13"/>
  <c r="G11" i="13"/>
  <c r="H11" i="13"/>
  <c r="F12" i="13"/>
  <c r="G12" i="13"/>
  <c r="H12" i="13"/>
  <c r="F13" i="13"/>
  <c r="G13" i="13"/>
  <c r="H13" i="13"/>
  <c r="F14" i="13"/>
  <c r="G14" i="13"/>
  <c r="F15" i="13"/>
  <c r="G15" i="13"/>
  <c r="H15" i="13"/>
  <c r="F16" i="13"/>
  <c r="G16" i="13"/>
  <c r="H16" i="13"/>
  <c r="F17" i="13"/>
  <c r="G17" i="13"/>
  <c r="H17" i="13"/>
  <c r="F21" i="13"/>
  <c r="G21" i="13"/>
  <c r="F22" i="13"/>
  <c r="G22" i="13"/>
  <c r="H22" i="13"/>
  <c r="F23" i="13"/>
  <c r="G23" i="13"/>
  <c r="F24" i="13"/>
  <c r="G24" i="13"/>
  <c r="H24" i="13"/>
  <c r="F26" i="13"/>
  <c r="F25" i="13"/>
  <c r="G26" i="13"/>
  <c r="G25" i="13"/>
  <c r="D38" i="14"/>
  <c r="D31" i="11"/>
  <c r="F38" i="14"/>
  <c r="E31" i="11"/>
  <c r="F42" i="14"/>
  <c r="E33" i="11"/>
  <c r="H42" i="14"/>
  <c r="F33" i="11"/>
  <c r="F34" i="11"/>
  <c r="J42" i="14"/>
  <c r="L42" i="14"/>
  <c r="H33" i="11"/>
  <c r="N42" i="14"/>
  <c r="I33" i="11"/>
  <c r="D53" i="14"/>
  <c r="M33" i="11"/>
  <c r="F53" i="14"/>
  <c r="N33" i="11"/>
  <c r="H53" i="14"/>
  <c r="J53" i="14"/>
  <c r="P33" i="11"/>
  <c r="L53" i="14"/>
  <c r="Q33" i="11"/>
  <c r="N53" i="14"/>
  <c r="R33" i="11"/>
  <c r="G31" i="13"/>
  <c r="X11" i="11"/>
  <c r="AP11" i="11"/>
  <c r="Z11" i="11"/>
  <c r="AR11" i="11"/>
  <c r="AA11" i="11"/>
  <c r="AS11" i="11"/>
  <c r="AH11" i="11"/>
  <c r="V22" i="11"/>
  <c r="AN22" i="11"/>
  <c r="X22" i="11"/>
  <c r="AA22" i="11"/>
  <c r="AS22" i="11"/>
  <c r="AE22" i="11"/>
  <c r="AW22" i="11"/>
  <c r="AG22" i="11"/>
  <c r="AY22" i="11"/>
  <c r="AI22" i="11"/>
  <c r="AJ22" i="11"/>
  <c r="BB22" i="11"/>
  <c r="V23" i="11"/>
  <c r="W23" i="11"/>
  <c r="Z23" i="11"/>
  <c r="AE23" i="11"/>
  <c r="AF23" i="11"/>
  <c r="AG23" i="11"/>
  <c r="V25" i="11"/>
  <c r="Y25" i="11"/>
  <c r="H17" i="15"/>
  <c r="H14" i="15"/>
  <c r="V27" i="11"/>
  <c r="G29" i="13"/>
  <c r="H14" i="13"/>
  <c r="H26" i="13"/>
  <c r="H25" i="13"/>
  <c r="AZ11" i="11"/>
  <c r="AP22" i="11"/>
  <c r="BA22" i="11"/>
  <c r="I17" i="15"/>
  <c r="I14" i="15"/>
  <c r="AN27" i="11"/>
  <c r="AO27" i="11"/>
  <c r="H29" i="13"/>
  <c r="AP10" i="14"/>
  <c r="AR10" i="14"/>
  <c r="AN10" i="14"/>
  <c r="AC10" i="14"/>
  <c r="AA10" i="14"/>
  <c r="Y10" i="14"/>
  <c r="AG53" i="14"/>
  <c r="AG51" i="14"/>
  <c r="AG49" i="14"/>
  <c r="AG42" i="14"/>
  <c r="AG40" i="14"/>
  <c r="AG38" i="14"/>
  <c r="AG29" i="14"/>
  <c r="AG27" i="14"/>
  <c r="AG25" i="14"/>
  <c r="AG19" i="14"/>
  <c r="AG17" i="14"/>
  <c r="AG15" i="14"/>
  <c r="R53" i="14"/>
  <c r="R51" i="14"/>
  <c r="R49" i="14"/>
  <c r="R42" i="14"/>
  <c r="R40" i="14"/>
  <c r="R38" i="14"/>
  <c r="R29" i="14"/>
  <c r="R27" i="14"/>
  <c r="R25" i="14"/>
  <c r="R19" i="14"/>
  <c r="R17" i="14"/>
  <c r="R15" i="14"/>
  <c r="AW14" i="14"/>
  <c r="AV15" i="14"/>
  <c r="D15" i="14"/>
  <c r="D12" i="11"/>
  <c r="F15" i="14"/>
  <c r="H15" i="14"/>
  <c r="F12" i="11"/>
  <c r="J15" i="14"/>
  <c r="L15" i="14"/>
  <c r="H12" i="11"/>
  <c r="N15" i="14"/>
  <c r="AW16" i="14"/>
  <c r="AV17" i="14"/>
  <c r="D27" i="14"/>
  <c r="F27" i="14"/>
  <c r="H27" i="14"/>
  <c r="J27" i="14"/>
  <c r="AW18" i="14"/>
  <c r="AV19" i="14"/>
  <c r="D19" i="14"/>
  <c r="D14" i="11"/>
  <c r="F19" i="14"/>
  <c r="H19" i="14"/>
  <c r="F14" i="11"/>
  <c r="J19" i="14"/>
  <c r="G14" i="11"/>
  <c r="L19" i="14"/>
  <c r="L20" i="14" s="1"/>
  <c r="H14" i="11"/>
  <c r="N19" i="14"/>
  <c r="N20" i="14" s="1"/>
  <c r="I14" i="11"/>
  <c r="D29" i="14"/>
  <c r="M14" i="11"/>
  <c r="F29" i="14"/>
  <c r="F30" i="14" s="1"/>
  <c r="N14" i="11"/>
  <c r="H29" i="14"/>
  <c r="H30" i="14" s="1"/>
  <c r="O14" i="11"/>
  <c r="J29" i="14"/>
  <c r="P14" i="11"/>
  <c r="L29" i="14"/>
  <c r="Q14" i="11"/>
  <c r="N29" i="14"/>
  <c r="R14" i="11"/>
  <c r="AW24" i="14"/>
  <c r="AV25" i="14"/>
  <c r="H38" i="14"/>
  <c r="F31" i="11"/>
  <c r="J38" i="14"/>
  <c r="G31" i="11"/>
  <c r="L38" i="14"/>
  <c r="H31" i="11"/>
  <c r="N38" i="14"/>
  <c r="I31" i="11"/>
  <c r="D49" i="14"/>
  <c r="M31" i="11"/>
  <c r="F49" i="14"/>
  <c r="N31" i="11"/>
  <c r="N34" i="11"/>
  <c r="H49" i="14"/>
  <c r="O31" i="11"/>
  <c r="J49" i="14"/>
  <c r="P31" i="11"/>
  <c r="L49" i="14"/>
  <c r="Q31" i="11"/>
  <c r="N49" i="14"/>
  <c r="R31" i="11"/>
  <c r="AW26" i="14"/>
  <c r="AV27" i="14"/>
  <c r="D40" i="14"/>
  <c r="D32" i="11"/>
  <c r="F40" i="14"/>
  <c r="E32" i="11"/>
  <c r="E34" i="11"/>
  <c r="H40" i="14"/>
  <c r="F32" i="11"/>
  <c r="J40" i="14"/>
  <c r="G32" i="11"/>
  <c r="L40" i="14"/>
  <c r="H32" i="11"/>
  <c r="N40" i="14"/>
  <c r="I32" i="11"/>
  <c r="D51" i="14"/>
  <c r="M32" i="11"/>
  <c r="F51" i="14"/>
  <c r="N32" i="11"/>
  <c r="H51" i="14"/>
  <c r="J51" i="14"/>
  <c r="P32" i="11"/>
  <c r="L51" i="14"/>
  <c r="Q32" i="11"/>
  <c r="N51" i="14"/>
  <c r="R32" i="11"/>
  <c r="AW28" i="14"/>
  <c r="AV29" i="14"/>
  <c r="BF17" i="18"/>
  <c r="BF20" i="18"/>
  <c r="BF22" i="18"/>
  <c r="D25" i="7"/>
  <c r="N26" i="8"/>
  <c r="BG15" i="18"/>
  <c r="BG19" i="18"/>
  <c r="E9" i="16"/>
  <c r="BO48" i="2"/>
  <c r="BO46" i="2"/>
  <c r="P11" i="6"/>
  <c r="F27" i="16"/>
  <c r="C53" i="14"/>
  <c r="C51" i="14"/>
  <c r="C49" i="14"/>
  <c r="C42" i="14"/>
  <c r="C40" i="14"/>
  <c r="C38" i="14"/>
  <c r="C29" i="14"/>
  <c r="C25" i="14"/>
  <c r="C27" i="14"/>
  <c r="C19" i="14"/>
  <c r="C17" i="14"/>
  <c r="C15" i="14"/>
  <c r="F29" i="8"/>
  <c r="G53" i="13"/>
  <c r="H53" i="13"/>
  <c r="G50" i="13"/>
  <c r="H50" i="13"/>
  <c r="G47" i="13"/>
  <c r="H47" i="13"/>
  <c r="G46" i="13"/>
  <c r="H46" i="13"/>
  <c r="G45" i="13"/>
  <c r="H45" i="13"/>
  <c r="N18" i="8"/>
  <c r="N28" i="8"/>
  <c r="AP27" i="11"/>
  <c r="AN46" i="14"/>
  <c r="AW25" i="14"/>
  <c r="U26" i="14"/>
  <c r="S24" i="14"/>
  <c r="S28" i="14"/>
  <c r="S29" i="14"/>
  <c r="AE14" i="11"/>
  <c r="AC14" i="14"/>
  <c r="AC15" i="14"/>
  <c r="AA14" i="14"/>
  <c r="AA15" i="14"/>
  <c r="Z12" i="11"/>
  <c r="AA18" i="14"/>
  <c r="Y14" i="14"/>
  <c r="Y18" i="14"/>
  <c r="Y16" i="14"/>
  <c r="W18" i="14"/>
  <c r="W19" i="14"/>
  <c r="X14" i="11"/>
  <c r="AO24" i="18"/>
  <c r="AJ10" i="18"/>
  <c r="BB10" i="18"/>
  <c r="R13" i="18"/>
  <c r="AA19" i="14"/>
  <c r="Z14" i="11"/>
  <c r="Y17" i="14"/>
  <c r="Y13" i="11"/>
  <c r="Y15" i="14"/>
  <c r="AN14" i="14"/>
  <c r="AN15" i="14"/>
  <c r="AQ12" i="11"/>
  <c r="AA12" i="11"/>
  <c r="W27" i="11"/>
  <c r="X27" i="11"/>
  <c r="AP23" i="14"/>
  <c r="AA24" i="14"/>
  <c r="AC16" i="14"/>
  <c r="AC17" i="14"/>
  <c r="AC18" i="14"/>
  <c r="AC19" i="14"/>
  <c r="AA14" i="11"/>
  <c r="AR13" i="14"/>
  <c r="U13" i="14"/>
  <c r="G33" i="11"/>
  <c r="AA46" i="14"/>
  <c r="U24" i="14"/>
  <c r="U28" i="14"/>
  <c r="AJ23" i="14"/>
  <c r="BF19" i="18"/>
  <c r="X10" i="18"/>
  <c r="AP10" i="18"/>
  <c r="F13" i="18"/>
  <c r="F20" i="13"/>
  <c r="S26" i="14"/>
  <c r="S27" i="14"/>
  <c r="AE13" i="11"/>
  <c r="AH23" i="14"/>
  <c r="AR35" i="14"/>
  <c r="AQ12" i="18"/>
  <c r="G11" i="18"/>
  <c r="G22" i="11"/>
  <c r="E11" i="18"/>
  <c r="W11" i="18"/>
  <c r="E22" i="11"/>
  <c r="L30" i="14"/>
  <c r="I12" i="11"/>
  <c r="H21" i="13"/>
  <c r="AA26" i="14"/>
  <c r="AA27" i="14"/>
  <c r="G41" i="13"/>
  <c r="H41" i="13"/>
  <c r="AP35" i="14"/>
  <c r="G16" i="15"/>
  <c r="G17" i="15"/>
  <c r="G14" i="15"/>
  <c r="D27" i="11"/>
  <c r="E33" i="15"/>
  <c r="O23" i="18"/>
  <c r="O24" i="11"/>
  <c r="P13" i="18"/>
  <c r="AH11" i="18"/>
  <c r="I23" i="18"/>
  <c r="I24" i="11"/>
  <c r="N11" i="18"/>
  <c r="N22" i="11"/>
  <c r="AF22" i="11"/>
  <c r="AE10" i="18"/>
  <c r="M13" i="18"/>
  <c r="G33" i="15"/>
  <c r="Q25" i="18"/>
  <c r="H22" i="15"/>
  <c r="BA15" i="18"/>
  <c r="AW15" i="18"/>
  <c r="AP15" i="18"/>
  <c r="AO15" i="18"/>
  <c r="AY15" i="18"/>
  <c r="AR15" i="18"/>
  <c r="G34" i="11"/>
  <c r="AW10" i="18"/>
  <c r="AJ24" i="14"/>
  <c r="AP46" i="14"/>
  <c r="F25" i="18"/>
  <c r="I25" i="18"/>
  <c r="R25" i="18"/>
  <c r="AX22" i="11"/>
  <c r="W22" i="11"/>
  <c r="G13" i="18"/>
  <c r="Y11" i="18"/>
  <c r="AH26" i="14"/>
  <c r="AH27" i="14"/>
  <c r="AW13" i="11"/>
  <c r="AH28" i="14"/>
  <c r="AH29" i="14"/>
  <c r="AW14" i="11"/>
  <c r="AJ13" i="14"/>
  <c r="U14" i="14"/>
  <c r="U16" i="14"/>
  <c r="U17" i="14"/>
  <c r="U18" i="14"/>
  <c r="U19" i="14"/>
  <c r="W14" i="11"/>
  <c r="E13" i="18"/>
  <c r="U25" i="14"/>
  <c r="AF12" i="11"/>
  <c r="AR18" i="14"/>
  <c r="AR19" i="14"/>
  <c r="AS14" i="11"/>
  <c r="AP28" i="14"/>
  <c r="AP29" i="14"/>
  <c r="BA14" i="11"/>
  <c r="AO11" i="18"/>
  <c r="AQ11" i="18"/>
  <c r="AJ25" i="14"/>
  <c r="AX12" i="11"/>
  <c r="AJ18" i="14"/>
  <c r="AJ19" i="14"/>
  <c r="AO14" i="11"/>
  <c r="AO22" i="11"/>
  <c r="R34" i="11"/>
  <c r="O15" i="11"/>
  <c r="D34" i="11"/>
  <c r="M15" i="11"/>
  <c r="M16" i="11"/>
  <c r="H15" i="11"/>
  <c r="H16" i="11"/>
  <c r="F15" i="11"/>
  <c r="F35" i="11" s="1"/>
  <c r="F16" i="11"/>
  <c r="AC24" i="14"/>
  <c r="AC28" i="14"/>
  <c r="AR23" i="14"/>
  <c r="AR28" i="14"/>
  <c r="AR29" i="14"/>
  <c r="BB14" i="11"/>
  <c r="AC26" i="14"/>
  <c r="AC27" i="14"/>
  <c r="H34" i="11"/>
  <c r="AA16" i="14"/>
  <c r="AP13" i="14"/>
  <c r="AN16" i="14"/>
  <c r="AN17" i="14"/>
  <c r="R15" i="11"/>
  <c r="BA11" i="18"/>
  <c r="AQ10" i="18"/>
  <c r="AQ13" i="18"/>
  <c r="AO10" i="18"/>
  <c r="AN11" i="18"/>
  <c r="AY11" i="18"/>
  <c r="AW11" i="18"/>
  <c r="R16" i="11"/>
  <c r="R35" i="11"/>
  <c r="AP14" i="14"/>
  <c r="AP18" i="14"/>
  <c r="AP19" i="14"/>
  <c r="AR14" i="11"/>
  <c r="H35" i="11"/>
  <c r="AR24" i="14"/>
  <c r="AR25" i="14"/>
  <c r="BB12" i="11"/>
  <c r="AC25" i="14"/>
  <c r="AJ12" i="11"/>
  <c r="AC29" i="14"/>
  <c r="AP15" i="14"/>
  <c r="AR12" i="11"/>
  <c r="AJ14" i="11"/>
  <c r="AQ13" i="11"/>
  <c r="U15" i="14"/>
  <c r="W12" i="11"/>
  <c r="AJ14" i="14"/>
  <c r="G30" i="10"/>
  <c r="G20" i="10"/>
  <c r="N25" i="18"/>
  <c r="O25" i="18"/>
  <c r="Y22" i="11"/>
  <c r="BF22" i="11"/>
  <c r="AR16" i="14"/>
  <c r="AR14" i="14"/>
  <c r="AA25" i="14"/>
  <c r="AP24" i="14"/>
  <c r="S25" i="14"/>
  <c r="AH24" i="14"/>
  <c r="M25" i="18"/>
  <c r="H25" i="18"/>
  <c r="G25" i="18"/>
  <c r="E25" i="18"/>
  <c r="P25" i="18"/>
  <c r="F30" i="10"/>
  <c r="F20" i="10"/>
  <c r="H30" i="10"/>
  <c r="AZ11" i="18"/>
  <c r="Q34" i="11"/>
  <c r="P15" i="11"/>
  <c r="AR46" i="14"/>
  <c r="W24" i="14"/>
  <c r="W26" i="14"/>
  <c r="W27" i="14"/>
  <c r="AG13" i="11"/>
  <c r="AL23" i="14"/>
  <c r="W28" i="14"/>
  <c r="AL28" i="14"/>
  <c r="AL29" i="14"/>
  <c r="AY14" i="11"/>
  <c r="AN35" i="14"/>
  <c r="AJ35" i="14"/>
  <c r="W14" i="14"/>
  <c r="AL13" i="14"/>
  <c r="AL14" i="14" s="1"/>
  <c r="W16" i="14"/>
  <c r="N30" i="14"/>
  <c r="D30" i="14"/>
  <c r="BB24" i="18"/>
  <c r="BB21" i="18"/>
  <c r="BB19" i="18"/>
  <c r="BB17" i="18"/>
  <c r="BB15" i="18"/>
  <c r="BA22" i="18"/>
  <c r="BA20" i="18"/>
  <c r="BA18" i="18"/>
  <c r="BA16" i="18"/>
  <c r="AZ22" i="18"/>
  <c r="AZ20" i="18"/>
  <c r="AZ18" i="18"/>
  <c r="AZ15" i="18"/>
  <c r="BH15" i="18"/>
  <c r="AY24" i="18"/>
  <c r="AY21" i="18"/>
  <c r="AY19" i="18"/>
  <c r="AY17" i="18"/>
  <c r="AX22" i="18"/>
  <c r="AX20" i="18"/>
  <c r="AX18" i="18"/>
  <c r="AX16" i="18"/>
  <c r="AW22" i="18"/>
  <c r="AW20" i="18"/>
  <c r="AW18" i="18"/>
  <c r="AW16" i="18"/>
  <c r="AS22" i="18"/>
  <c r="AS20" i="18"/>
  <c r="AS18" i="18"/>
  <c r="AS16" i="18"/>
  <c r="AR22" i="18"/>
  <c r="AR20" i="18"/>
  <c r="AR18" i="18"/>
  <c r="AR16" i="18"/>
  <c r="AQ22" i="18"/>
  <c r="AQ20" i="18"/>
  <c r="BH20" i="18"/>
  <c r="AQ18" i="18"/>
  <c r="AQ16" i="18"/>
  <c r="AP24" i="18"/>
  <c r="BH24" i="18" s="1"/>
  <c r="AP21" i="18"/>
  <c r="AP19" i="18"/>
  <c r="AP17" i="18"/>
  <c r="AO21" i="18"/>
  <c r="AO19" i="18"/>
  <c r="BH19" i="18"/>
  <c r="AO17" i="18"/>
  <c r="Z10" i="18"/>
  <c r="H13" i="18"/>
  <c r="V10" i="18"/>
  <c r="D13" i="18"/>
  <c r="W12" i="18"/>
  <c r="W13" i="18"/>
  <c r="X12" i="18"/>
  <c r="X13" i="18"/>
  <c r="AE12" i="18"/>
  <c r="AE13" i="18"/>
  <c r="V12" i="18"/>
  <c r="V13" i="18"/>
  <c r="Y12" i="18"/>
  <c r="Y13" i="18"/>
  <c r="Z12" i="18"/>
  <c r="Z13" i="18" s="1"/>
  <c r="AA12" i="18"/>
  <c r="AF12" i="18"/>
  <c r="AG12" i="18"/>
  <c r="AH12" i="18"/>
  <c r="AH13" i="18"/>
  <c r="AI12" i="18"/>
  <c r="AJ12" i="18"/>
  <c r="AJ13" i="18"/>
  <c r="AL16" i="14"/>
  <c r="AL18" i="14"/>
  <c r="AL19" i="14"/>
  <c r="AP14" i="11"/>
  <c r="AL26" i="14"/>
  <c r="AL27" i="14"/>
  <c r="AY13" i="11"/>
  <c r="AL24" i="14"/>
  <c r="AN10" i="18"/>
  <c r="AR10" i="18"/>
  <c r="W17" i="14"/>
  <c r="W29" i="14"/>
  <c r="AG14" i="11"/>
  <c r="P16" i="11"/>
  <c r="AE12" i="11"/>
  <c r="AE15" i="11"/>
  <c r="AE16" i="11"/>
  <c r="S30" i="14"/>
  <c r="AP25" i="14"/>
  <c r="BA12" i="11"/>
  <c r="AR15" i="14"/>
  <c r="AS12" i="11"/>
  <c r="BG22" i="11"/>
  <c r="AQ22" i="11"/>
  <c r="AJ15" i="14"/>
  <c r="AO12" i="11"/>
  <c r="W25" i="14"/>
  <c r="W30" i="14"/>
  <c r="AH25" i="14"/>
  <c r="AH30" i="14" s="1"/>
  <c r="AW12" i="11"/>
  <c r="AW15" i="11"/>
  <c r="AI12" i="11"/>
  <c r="X13" i="11"/>
  <c r="AL25" i="14"/>
  <c r="AY12" i="11"/>
  <c r="AY15" i="11"/>
  <c r="AL30" i="14"/>
  <c r="AL15" i="14"/>
  <c r="AP12" i="11"/>
  <c r="AL17" i="14"/>
  <c r="AP13" i="11"/>
  <c r="A12" i="3"/>
  <c r="B12" i="3"/>
  <c r="AW16" i="11"/>
  <c r="BH22" i="11"/>
  <c r="AG12" i="11"/>
  <c r="AG15" i="11"/>
  <c r="G20" i="13"/>
  <c r="H23" i="13"/>
  <c r="H20" i="13"/>
  <c r="AP12" i="18"/>
  <c r="AP13" i="18"/>
  <c r="AX12" i="18"/>
  <c r="AY23" i="11"/>
  <c r="BB12" i="18"/>
  <c r="AO23" i="11"/>
  <c r="AN12" i="18"/>
  <c r="AW12" i="18"/>
  <c r="AW13" i="18"/>
  <c r="AS23" i="11"/>
  <c r="AY12" i="18"/>
  <c r="AZ23" i="11"/>
  <c r="AS12" i="18"/>
  <c r="AR12" i="18"/>
  <c r="AR13" i="18"/>
  <c r="AX23" i="11"/>
  <c r="AZ12" i="18"/>
  <c r="BA12" i="18"/>
  <c r="BB23" i="11"/>
  <c r="AO12" i="18"/>
  <c r="AO13" i="18"/>
  <c r="AN23" i="11"/>
  <c r="AR23" i="11"/>
  <c r="AR17" i="14"/>
  <c r="AS13" i="11"/>
  <c r="AS15" i="11"/>
  <c r="AR20" i="14"/>
  <c r="N13" i="18"/>
  <c r="AF11" i="18"/>
  <c r="BB13" i="18"/>
  <c r="E27" i="11"/>
  <c r="Y12" i="11"/>
  <c r="AP15" i="11"/>
  <c r="AL20" i="14"/>
  <c r="H33" i="15"/>
  <c r="I22" i="15"/>
  <c r="I33" i="15"/>
  <c r="AJ28" i="14"/>
  <c r="AJ29" i="14"/>
  <c r="AX14" i="11"/>
  <c r="U29" i="14"/>
  <c r="AF14" i="11"/>
  <c r="AC20" i="14"/>
  <c r="AA13" i="11"/>
  <c r="AA15" i="11"/>
  <c r="M34" i="11"/>
  <c r="BF31" i="11"/>
  <c r="G12" i="11"/>
  <c r="G15" i="11"/>
  <c r="J20" i="14"/>
  <c r="W15" i="14"/>
  <c r="BG12" i="18"/>
  <c r="W13" i="11"/>
  <c r="W15" i="11"/>
  <c r="U20" i="14"/>
  <c r="S13" i="14"/>
  <c r="AW13" i="14"/>
  <c r="D20" i="14"/>
  <c r="AZ13" i="18"/>
  <c r="U27" i="14"/>
  <c r="U30" i="14" s="1"/>
  <c r="AF13" i="11"/>
  <c r="AF15" i="11"/>
  <c r="AJ26" i="14"/>
  <c r="O32" i="11"/>
  <c r="AW27" i="14"/>
  <c r="E14" i="11"/>
  <c r="BF14" i="11"/>
  <c r="AW19" i="14"/>
  <c r="AI11" i="11"/>
  <c r="AA17" i="14"/>
  <c r="Z13" i="11"/>
  <c r="Z15" i="11"/>
  <c r="AA20" i="14"/>
  <c r="AP16" i="14"/>
  <c r="Y27" i="11"/>
  <c r="Z27" i="11"/>
  <c r="AA27" i="11"/>
  <c r="AE27" i="11"/>
  <c r="AF27" i="11"/>
  <c r="AG27" i="11"/>
  <c r="AH27" i="11"/>
  <c r="AI27" i="11"/>
  <c r="AJ27" i="11"/>
  <c r="Y19" i="14"/>
  <c r="Y14" i="11"/>
  <c r="AN18" i="14"/>
  <c r="D15" i="11"/>
  <c r="Y23" i="14"/>
  <c r="J30" i="14"/>
  <c r="AJ46" i="14"/>
  <c r="AJ13" i="11"/>
  <c r="AJ15" i="11"/>
  <c r="AC30" i="14"/>
  <c r="AQ27" i="11"/>
  <c r="AR27" i="11"/>
  <c r="AS27" i="11"/>
  <c r="AW27" i="11"/>
  <c r="AX27" i="11"/>
  <c r="AY27" i="11"/>
  <c r="AZ27" i="11"/>
  <c r="BA27" i="11"/>
  <c r="BB27" i="11"/>
  <c r="BH27" i="11"/>
  <c r="F14" i="10"/>
  <c r="F13" i="10"/>
  <c r="F30" i="16"/>
  <c r="E25" i="7"/>
  <c r="O33" i="11"/>
  <c r="BF33" i="11" s="1"/>
  <c r="AW29" i="14"/>
  <c r="I15" i="11"/>
  <c r="AR26" i="14"/>
  <c r="D25" i="18"/>
  <c r="BF25" i="18"/>
  <c r="AW17" i="14"/>
  <c r="AN18" i="18"/>
  <c r="AO18" i="18"/>
  <c r="AY18" i="18"/>
  <c r="AY23" i="18" s="1"/>
  <c r="BB18" i="18"/>
  <c r="BB23" i="18" s="1"/>
  <c r="AP23" i="11"/>
  <c r="AQ23" i="11"/>
  <c r="AW23" i="11"/>
  <c r="BA23" i="11"/>
  <c r="BF23" i="11"/>
  <c r="X23" i="11"/>
  <c r="AH23" i="11"/>
  <c r="AI23" i="11"/>
  <c r="Y23" i="11"/>
  <c r="AJ23" i="11"/>
  <c r="AA23" i="11"/>
  <c r="P34" i="11"/>
  <c r="H31" i="13"/>
  <c r="H30" i="13"/>
  <c r="G30" i="13"/>
  <c r="AN11" i="11"/>
  <c r="BG17" i="18"/>
  <c r="E12" i="11"/>
  <c r="E15" i="11"/>
  <c r="F20" i="14"/>
  <c r="AN22" i="18"/>
  <c r="AP22" i="18"/>
  <c r="AP23" i="18"/>
  <c r="AP24" i="11"/>
  <c r="AO22" i="18"/>
  <c r="BH22" i="18" s="1"/>
  <c r="AW17" i="18"/>
  <c r="AZ17" i="18"/>
  <c r="AQ17" i="18"/>
  <c r="AS17" i="18"/>
  <c r="BF24" i="18"/>
  <c r="BF15" i="18"/>
  <c r="AJ16" i="14"/>
  <c r="O34" i="11"/>
  <c r="N15" i="11"/>
  <c r="N35" i="11"/>
  <c r="BF18" i="18"/>
  <c r="H20" i="14"/>
  <c r="AW15" i="14"/>
  <c r="S35" i="14"/>
  <c r="AW22" i="14"/>
  <c r="AR21" i="18"/>
  <c r="AR23" i="18"/>
  <c r="AX21" i="18"/>
  <c r="AX23" i="18"/>
  <c r="AW21" i="18"/>
  <c r="AW23" i="18"/>
  <c r="AZ21" i="18"/>
  <c r="AZ23" i="18"/>
  <c r="AQ21" i="18"/>
  <c r="AQ23" i="18" s="1"/>
  <c r="AQ24" i="11" s="1"/>
  <c r="AF11" i="11"/>
  <c r="D25" i="11"/>
  <c r="N23" i="18"/>
  <c r="N24" i="11"/>
  <c r="O10" i="18"/>
  <c r="D15" i="7"/>
  <c r="O11" i="11"/>
  <c r="BG24" i="18"/>
  <c r="Q10" i="18"/>
  <c r="I11" i="18"/>
  <c r="AN16" i="18"/>
  <c r="AJ22" i="18"/>
  <c r="AJ14" i="18"/>
  <c r="AJ25" i="11"/>
  <c r="AI22" i="18"/>
  <c r="AI16" i="18"/>
  <c r="AG22" i="18"/>
  <c r="AG14" i="18"/>
  <c r="AG25" i="11"/>
  <c r="AA18" i="18"/>
  <c r="Z18" i="18"/>
  <c r="Y18" i="18"/>
  <c r="X18" i="18"/>
  <c r="W18" i="18"/>
  <c r="AH22" i="18"/>
  <c r="AH14" i="18"/>
  <c r="AE18" i="18"/>
  <c r="AI14" i="18"/>
  <c r="AI25" i="11"/>
  <c r="AO16" i="18"/>
  <c r="AF18" i="18"/>
  <c r="AE16" i="18"/>
  <c r="AA16" i="18"/>
  <c r="H28" i="10"/>
  <c r="AJ18" i="18"/>
  <c r="AJ23" i="18"/>
  <c r="AJ24" i="11"/>
  <c r="AI18" i="18"/>
  <c r="AA22" i="18"/>
  <c r="Z22" i="18"/>
  <c r="Z14" i="18"/>
  <c r="Z25" i="11"/>
  <c r="Y22" i="18"/>
  <c r="X22" i="18"/>
  <c r="X23" i="18" s="1"/>
  <c r="X24" i="11" s="1"/>
  <c r="BG22" i="18"/>
  <c r="X14" i="18"/>
  <c r="X25" i="11"/>
  <c r="A13" i="3"/>
  <c r="B13" i="3"/>
  <c r="C12" i="3"/>
  <c r="D27" i="18"/>
  <c r="A14" i="3"/>
  <c r="AJ16" i="11"/>
  <c r="AS16" i="11"/>
  <c r="Z16" i="11"/>
  <c r="W16" i="11"/>
  <c r="Z23" i="18"/>
  <c r="Z24" i="11"/>
  <c r="BH16" i="18"/>
  <c r="BF10" i="18"/>
  <c r="O13" i="18"/>
  <c r="O26" i="18"/>
  <c r="AG10" i="18"/>
  <c r="E16" i="11"/>
  <c r="E35" i="11"/>
  <c r="P35" i="11"/>
  <c r="BF12" i="11"/>
  <c r="BA11" i="11"/>
  <c r="AA16" i="11"/>
  <c r="Y20" i="14"/>
  <c r="D17" i="11"/>
  <c r="D16" i="11"/>
  <c r="D35" i="11"/>
  <c r="BG27" i="11"/>
  <c r="AJ27" i="14"/>
  <c r="AX13" i="11"/>
  <c r="AX15" i="11"/>
  <c r="Y15" i="11"/>
  <c r="F27" i="11"/>
  <c r="BH12" i="18"/>
  <c r="AN13" i="18"/>
  <c r="AN19" i="14"/>
  <c r="AQ14" i="11"/>
  <c r="AQ15" i="11"/>
  <c r="F11" i="10"/>
  <c r="E15" i="7"/>
  <c r="BG16" i="18"/>
  <c r="BH18" i="18"/>
  <c r="I16" i="11"/>
  <c r="AN23" i="14"/>
  <c r="Y24" i="14"/>
  <c r="Y26" i="14"/>
  <c r="Y27" i="14"/>
  <c r="AH13" i="11"/>
  <c r="Y28" i="14"/>
  <c r="Y29" i="14"/>
  <c r="AH14" i="11"/>
  <c r="M35" i="11"/>
  <c r="BF25" i="11"/>
  <c r="AW20" i="14"/>
  <c r="X12" i="11"/>
  <c r="X15" i="11"/>
  <c r="W20" i="14"/>
  <c r="Q13" i="18"/>
  <c r="AI10" i="18"/>
  <c r="AH35" i="14"/>
  <c r="BA22" i="14"/>
  <c r="F36" i="16"/>
  <c r="F19" i="13"/>
  <c r="F10" i="13"/>
  <c r="F9" i="13"/>
  <c r="AG11" i="11"/>
  <c r="BG11" i="11" s="1"/>
  <c r="O16" i="11"/>
  <c r="BF11" i="11"/>
  <c r="AP17" i="14"/>
  <c r="AR13" i="11"/>
  <c r="AR15" i="11"/>
  <c r="AH25" i="11"/>
  <c r="N16" i="11"/>
  <c r="AR27" i="14"/>
  <c r="BB13" i="11"/>
  <c r="BB15" i="11"/>
  <c r="AR30" i="14"/>
  <c r="S16" i="14"/>
  <c r="S14" i="14"/>
  <c r="AH13" i="14"/>
  <c r="BA13" i="14"/>
  <c r="S18" i="14"/>
  <c r="AO25" i="18"/>
  <c r="AN25" i="18"/>
  <c r="AP25" i="18"/>
  <c r="BA25" i="18"/>
  <c r="AQ25" i="18"/>
  <c r="AY25" i="18"/>
  <c r="AX25" i="18"/>
  <c r="AZ25" i="18"/>
  <c r="AR25" i="18"/>
  <c r="AW25" i="18"/>
  <c r="BB25" i="18"/>
  <c r="AS25" i="18"/>
  <c r="BH17" i="18"/>
  <c r="F25" i="7"/>
  <c r="H14" i="10"/>
  <c r="H13" i="10"/>
  <c r="G14" i="10"/>
  <c r="G13" i="10"/>
  <c r="AP16" i="11"/>
  <c r="I13" i="18"/>
  <c r="I26" i="18"/>
  <c r="BF11" i="18"/>
  <c r="AA11" i="18"/>
  <c r="BG25" i="11"/>
  <c r="BB14" i="18"/>
  <c r="BB25" i="11"/>
  <c r="AY14" i="18"/>
  <c r="AY25" i="11"/>
  <c r="AN14" i="18"/>
  <c r="AO14" i="18"/>
  <c r="AO25" i="11"/>
  <c r="AQ14" i="18"/>
  <c r="AX14" i="18"/>
  <c r="AX25" i="11"/>
  <c r="AR14" i="18"/>
  <c r="AR25" i="11"/>
  <c r="AS14" i="18"/>
  <c r="AS25" i="11"/>
  <c r="AP14" i="18"/>
  <c r="AP25" i="11"/>
  <c r="AW14" i="18"/>
  <c r="AW25" i="11"/>
  <c r="AZ14" i="18"/>
  <c r="AZ25" i="11"/>
  <c r="BA14" i="18"/>
  <c r="BA25" i="11"/>
  <c r="H20" i="10"/>
  <c r="AI23" i="18"/>
  <c r="AX11" i="11"/>
  <c r="AX16" i="11"/>
  <c r="AF16" i="11"/>
  <c r="AA23" i="18"/>
  <c r="AA24" i="11"/>
  <c r="BG18" i="18"/>
  <c r="BG14" i="18"/>
  <c r="AJ17" i="14"/>
  <c r="AO13" i="11"/>
  <c r="AO15" i="11"/>
  <c r="O35" i="11"/>
  <c r="G16" i="11"/>
  <c r="G35" i="11"/>
  <c r="AH25" i="18"/>
  <c r="AJ25" i="18"/>
  <c r="AJ26" i="18" s="1"/>
  <c r="V25" i="18"/>
  <c r="X25" i="18"/>
  <c r="AF25" i="18"/>
  <c r="AA25" i="18"/>
  <c r="Y25" i="18"/>
  <c r="AI25" i="18"/>
  <c r="AG25" i="18"/>
  <c r="W25" i="18"/>
  <c r="Z25" i="18"/>
  <c r="AE25" i="18"/>
  <c r="X26" i="18"/>
  <c r="AX11" i="18"/>
  <c r="AX13" i="18"/>
  <c r="AF13" i="18"/>
  <c r="D12" i="3"/>
  <c r="E12" i="3"/>
  <c r="F12" i="3"/>
  <c r="C13" i="3"/>
  <c r="E27" i="18"/>
  <c r="A15" i="3"/>
  <c r="B14" i="3"/>
  <c r="BE22" i="14"/>
  <c r="AR16" i="11"/>
  <c r="AN28" i="14"/>
  <c r="AN29" i="14"/>
  <c r="AZ14" i="11"/>
  <c r="AN26" i="14"/>
  <c r="AN27" i="14"/>
  <c r="AZ13" i="11"/>
  <c r="AN24" i="14"/>
  <c r="AJ20" i="14"/>
  <c r="AS11" i="18"/>
  <c r="AA13" i="18"/>
  <c r="AA26" i="18"/>
  <c r="BG11" i="18"/>
  <c r="S15" i="14"/>
  <c r="BA14" i="14"/>
  <c r="AP20" i="14"/>
  <c r="AQ16" i="11"/>
  <c r="AN20" i="14"/>
  <c r="G27" i="11"/>
  <c r="H27" i="11"/>
  <c r="AO16" i="11"/>
  <c r="AQ25" i="11"/>
  <c r="AQ26" i="18"/>
  <c r="S17" i="14"/>
  <c r="AH16" i="14"/>
  <c r="AH14" i="14"/>
  <c r="AH18" i="14"/>
  <c r="BE13" i="14"/>
  <c r="BH14" i="18"/>
  <c r="AN25" i="11"/>
  <c r="BH25" i="11"/>
  <c r="BH25" i="18"/>
  <c r="AY11" i="11"/>
  <c r="AG16" i="11"/>
  <c r="Y16" i="11"/>
  <c r="AY10" i="18"/>
  <c r="AG13" i="18"/>
  <c r="BG10" i="18"/>
  <c r="Y25" i="14"/>
  <c r="AH12" i="11"/>
  <c r="AH15" i="11"/>
  <c r="Y30" i="14"/>
  <c r="X16" i="11"/>
  <c r="G11" i="10"/>
  <c r="G18" i="10"/>
  <c r="F15" i="7"/>
  <c r="H11" i="10"/>
  <c r="H18" i="10"/>
  <c r="AJ30" i="14"/>
  <c r="BB16" i="11"/>
  <c r="BA10" i="18"/>
  <c r="BA13" i="18"/>
  <c r="AI13" i="18"/>
  <c r="BG25" i="18"/>
  <c r="S19" i="14"/>
  <c r="S20" i="14"/>
  <c r="BA18" i="14"/>
  <c r="E30" i="16"/>
  <c r="G30" i="16"/>
  <c r="F18" i="10"/>
  <c r="D13" i="3"/>
  <c r="E13" i="3"/>
  <c r="F13" i="3"/>
  <c r="C14" i="3"/>
  <c r="F27" i="18"/>
  <c r="A16" i="3"/>
  <c r="B15" i="3"/>
  <c r="F38" i="16"/>
  <c r="G19" i="13"/>
  <c r="G10" i="13"/>
  <c r="G9" i="13"/>
  <c r="AH16" i="11"/>
  <c r="BA15" i="14"/>
  <c r="V12" i="11"/>
  <c r="AH19" i="14"/>
  <c r="AN14" i="11"/>
  <c r="BH14" i="11"/>
  <c r="BE18" i="14"/>
  <c r="BE19" i="14"/>
  <c r="BG13" i="18"/>
  <c r="AY16" i="11"/>
  <c r="BH11" i="11"/>
  <c r="AH17" i="14"/>
  <c r="V13" i="11"/>
  <c r="BH11" i="18"/>
  <c r="AS13" i="18"/>
  <c r="AN25" i="14"/>
  <c r="AZ12" i="11"/>
  <c r="AZ15" i="11"/>
  <c r="AN30" i="14"/>
  <c r="BE14" i="14"/>
  <c r="AH15" i="14"/>
  <c r="AH20" i="14"/>
  <c r="H19" i="13"/>
  <c r="H10" i="13"/>
  <c r="H9" i="13"/>
  <c r="I27" i="11"/>
  <c r="AY13" i="18"/>
  <c r="BH10" i="18"/>
  <c r="V14" i="11"/>
  <c r="BG14" i="11"/>
  <c r="BA19" i="14"/>
  <c r="D14" i="3"/>
  <c r="E14" i="3"/>
  <c r="F14" i="3"/>
  <c r="C15" i="3"/>
  <c r="G27" i="18"/>
  <c r="A17" i="3"/>
  <c r="B16" i="3"/>
  <c r="V15" i="11"/>
  <c r="BG12" i="11"/>
  <c r="BH13" i="18"/>
  <c r="AN13" i="11"/>
  <c r="M27" i="11"/>
  <c r="N27" i="11"/>
  <c r="AZ16" i="11"/>
  <c r="AN12" i="11"/>
  <c r="BE15" i="14"/>
  <c r="D15" i="3"/>
  <c r="E15" i="3"/>
  <c r="F15" i="3"/>
  <c r="C16" i="3"/>
  <c r="H27" i="18"/>
  <c r="A18" i="3"/>
  <c r="B17" i="3"/>
  <c r="AN15" i="11"/>
  <c r="BH12" i="11"/>
  <c r="V16" i="11"/>
  <c r="O27" i="11"/>
  <c r="D16" i="3"/>
  <c r="E16" i="3"/>
  <c r="F16" i="3"/>
  <c r="C17" i="3"/>
  <c r="I27" i="18"/>
  <c r="I28" i="18"/>
  <c r="A19" i="3"/>
  <c r="B18" i="3"/>
  <c r="P27" i="11"/>
  <c r="AN16" i="11"/>
  <c r="D17" i="3"/>
  <c r="E17" i="3"/>
  <c r="F17" i="3"/>
  <c r="C18" i="3"/>
  <c r="A20" i="3"/>
  <c r="B19" i="3"/>
  <c r="Q27" i="11"/>
  <c r="M27" i="18"/>
  <c r="D18" i="3"/>
  <c r="A21" i="3"/>
  <c r="B20" i="3"/>
  <c r="E18" i="3"/>
  <c r="F18" i="3"/>
  <c r="C19" i="3"/>
  <c r="R27" i="11"/>
  <c r="A22" i="3"/>
  <c r="B21" i="3"/>
  <c r="N27" i="18"/>
  <c r="D19" i="3"/>
  <c r="E19" i="3"/>
  <c r="F19" i="3"/>
  <c r="C20" i="3"/>
  <c r="BF27" i="11"/>
  <c r="A23" i="3"/>
  <c r="B22" i="3"/>
  <c r="O27" i="18"/>
  <c r="O28" i="18" s="1"/>
  <c r="D20" i="3"/>
  <c r="E20" i="3"/>
  <c r="F20" i="3"/>
  <c r="C21" i="3"/>
  <c r="A24" i="3"/>
  <c r="B23" i="3"/>
  <c r="P27" i="18"/>
  <c r="D21" i="3"/>
  <c r="E21" i="3"/>
  <c r="F21" i="3"/>
  <c r="C22" i="3"/>
  <c r="O29" i="18"/>
  <c r="O30" i="18"/>
  <c r="B24" i="3"/>
  <c r="A25" i="3"/>
  <c r="Q27" i="18"/>
  <c r="D22" i="3"/>
  <c r="E22" i="3"/>
  <c r="F22" i="3"/>
  <c r="C23" i="3"/>
  <c r="B25" i="3"/>
  <c r="A26" i="3"/>
  <c r="R27" i="18"/>
  <c r="D23" i="3"/>
  <c r="G12" i="15"/>
  <c r="B26" i="3"/>
  <c r="A27" i="3"/>
  <c r="E23" i="3"/>
  <c r="F23" i="3"/>
  <c r="C24" i="3"/>
  <c r="G11" i="15"/>
  <c r="G13" i="15"/>
  <c r="G10" i="15"/>
  <c r="BF27" i="18"/>
  <c r="A28" i="3"/>
  <c r="B27" i="3"/>
  <c r="V27" i="18"/>
  <c r="D24" i="3"/>
  <c r="D28" i="11"/>
  <c r="H10" i="15"/>
  <c r="A29" i="3"/>
  <c r="B28" i="3"/>
  <c r="I10" i="15"/>
  <c r="AN28" i="11"/>
  <c r="V28" i="11"/>
  <c r="E24" i="3"/>
  <c r="F24" i="3"/>
  <c r="C25" i="3"/>
  <c r="E28" i="11"/>
  <c r="A30" i="3"/>
  <c r="B29" i="3"/>
  <c r="F28" i="11"/>
  <c r="W28" i="11"/>
  <c r="W27" i="18"/>
  <c r="D25" i="3"/>
  <c r="AO28" i="11"/>
  <c r="A31" i="3"/>
  <c r="B30" i="3"/>
  <c r="AP28" i="11"/>
  <c r="G28" i="11"/>
  <c r="E25" i="3"/>
  <c r="F25" i="3"/>
  <c r="C26" i="3"/>
  <c r="X28" i="11"/>
  <c r="A32" i="3"/>
  <c r="B31" i="3"/>
  <c r="H28" i="11"/>
  <c r="Y28" i="11"/>
  <c r="X27" i="18"/>
  <c r="X28" i="18" s="1"/>
  <c r="D26" i="3"/>
  <c r="AQ28" i="11"/>
  <c r="A33" i="3"/>
  <c r="B32" i="3"/>
  <c r="Z28" i="11"/>
  <c r="AR28" i="11"/>
  <c r="I28" i="11"/>
  <c r="E26" i="3"/>
  <c r="F26" i="3"/>
  <c r="C27" i="3"/>
  <c r="A34" i="3"/>
  <c r="B33" i="3"/>
  <c r="AA28" i="11"/>
  <c r="AS28" i="11"/>
  <c r="M28" i="11"/>
  <c r="Y27" i="18"/>
  <c r="D27" i="3"/>
  <c r="X29" i="18"/>
  <c r="B34" i="3"/>
  <c r="A35" i="3"/>
  <c r="AW28" i="11"/>
  <c r="E27" i="3"/>
  <c r="F27" i="3"/>
  <c r="C28" i="3"/>
  <c r="N28" i="11"/>
  <c r="N37" i="11" s="1"/>
  <c r="AE28" i="11"/>
  <c r="A36" i="3"/>
  <c r="B35" i="3"/>
  <c r="AF28" i="11"/>
  <c r="O28" i="11"/>
  <c r="Z27" i="18"/>
  <c r="D28" i="3"/>
  <c r="AX28" i="11"/>
  <c r="C36" i="3"/>
  <c r="AN27" i="18"/>
  <c r="A37" i="3"/>
  <c r="D36" i="3"/>
  <c r="B36" i="3"/>
  <c r="E28" i="3"/>
  <c r="F28" i="3"/>
  <c r="C29" i="3"/>
  <c r="P28" i="11"/>
  <c r="O37" i="11"/>
  <c r="AY28" i="11"/>
  <c r="AG28" i="11"/>
  <c r="A38" i="3"/>
  <c r="D37" i="3"/>
  <c r="C37" i="3"/>
  <c r="AO27" i="18"/>
  <c r="B37" i="3"/>
  <c r="Q28" i="11"/>
  <c r="AH28" i="11"/>
  <c r="AZ28" i="11"/>
  <c r="AA27" i="18"/>
  <c r="D29" i="3"/>
  <c r="A39" i="3"/>
  <c r="D38" i="3"/>
  <c r="C38" i="3"/>
  <c r="AP27" i="18"/>
  <c r="B38" i="3"/>
  <c r="AI28" i="11"/>
  <c r="BA28" i="11"/>
  <c r="E29" i="3"/>
  <c r="F29" i="3"/>
  <c r="C30" i="3"/>
  <c r="R28" i="11"/>
  <c r="AA28" i="18"/>
  <c r="AA29" i="18"/>
  <c r="AA30" i="18"/>
  <c r="B39" i="3"/>
  <c r="D39" i="3"/>
  <c r="C39" i="3"/>
  <c r="AQ27" i="18"/>
  <c r="AQ28" i="18" s="1"/>
  <c r="AQ29" i="18" s="1"/>
  <c r="A40" i="3"/>
  <c r="BB28" i="11"/>
  <c r="BF28" i="11"/>
  <c r="AE27" i="18"/>
  <c r="D30" i="3"/>
  <c r="AJ28" i="11"/>
  <c r="C40" i="3"/>
  <c r="AR27" i="18"/>
  <c r="A41" i="3"/>
  <c r="D40" i="3"/>
  <c r="B40" i="3"/>
  <c r="BG28" i="11"/>
  <c r="E30" i="3"/>
  <c r="F30" i="3"/>
  <c r="C31" i="3"/>
  <c r="BH28" i="11"/>
  <c r="A42" i="3"/>
  <c r="C41" i="3"/>
  <c r="AS27" i="18"/>
  <c r="B41" i="3"/>
  <c r="D41" i="3"/>
  <c r="AF27" i="18"/>
  <c r="D31" i="3"/>
  <c r="C42" i="3"/>
  <c r="AW27" i="18"/>
  <c r="D42" i="3"/>
  <c r="B42" i="3"/>
  <c r="A43" i="3"/>
  <c r="E31" i="3"/>
  <c r="F31" i="3"/>
  <c r="C32" i="3"/>
  <c r="A44" i="3"/>
  <c r="D43" i="3"/>
  <c r="C43" i="3"/>
  <c r="AX27" i="18"/>
  <c r="B43" i="3"/>
  <c r="AG27" i="18"/>
  <c r="D32" i="3"/>
  <c r="C44" i="3"/>
  <c r="AY27" i="18"/>
  <c r="B44" i="3"/>
  <c r="A45" i="3"/>
  <c r="D44" i="3"/>
  <c r="E32" i="3"/>
  <c r="F32" i="3"/>
  <c r="C33" i="3"/>
  <c r="B45" i="3"/>
  <c r="C45" i="3"/>
  <c r="AZ27" i="18"/>
  <c r="A46" i="3"/>
  <c r="D45" i="3"/>
  <c r="AH27" i="18"/>
  <c r="D33" i="3"/>
  <c r="D46" i="3"/>
  <c r="C46" i="3"/>
  <c r="A47" i="3"/>
  <c r="B46" i="3"/>
  <c r="E33" i="3"/>
  <c r="F33" i="3"/>
  <c r="C34" i="3"/>
  <c r="B47" i="3"/>
  <c r="A48" i="3"/>
  <c r="C47" i="3"/>
  <c r="BB27" i="18"/>
  <c r="D47" i="3"/>
  <c r="G51" i="13"/>
  <c r="BA27" i="18"/>
  <c r="AI27" i="18"/>
  <c r="D34" i="3"/>
  <c r="I11" i="15"/>
  <c r="I12" i="15"/>
  <c r="BH27" i="18"/>
  <c r="D48" i="3"/>
  <c r="A49" i="3"/>
  <c r="B48" i="3"/>
  <c r="C48" i="3"/>
  <c r="E34" i="3"/>
  <c r="F34" i="3"/>
  <c r="C35" i="3"/>
  <c r="I13" i="15"/>
  <c r="D49" i="3"/>
  <c r="A50" i="3"/>
  <c r="C49" i="3"/>
  <c r="B49" i="3"/>
  <c r="AJ27" i="18"/>
  <c r="D35" i="3"/>
  <c r="E49" i="3" s="1"/>
  <c r="F49" i="3" s="1"/>
  <c r="E48" i="3"/>
  <c r="F48" i="3"/>
  <c r="H12" i="15"/>
  <c r="B50" i="3"/>
  <c r="C50" i="3"/>
  <c r="D50" i="3"/>
  <c r="E50" i="3"/>
  <c r="F50" i="3"/>
  <c r="A51" i="3"/>
  <c r="E35" i="3"/>
  <c r="H11" i="15"/>
  <c r="H13" i="15"/>
  <c r="F51" i="13"/>
  <c r="E36" i="3"/>
  <c r="F36" i="3"/>
  <c r="E37" i="3"/>
  <c r="F37" i="3"/>
  <c r="E39" i="3"/>
  <c r="F39" i="3"/>
  <c r="E38" i="3"/>
  <c r="F38" i="3"/>
  <c r="E41" i="3"/>
  <c r="F41" i="3"/>
  <c r="E40" i="3"/>
  <c r="F40" i="3"/>
  <c r="E43" i="3"/>
  <c r="F43" i="3"/>
  <c r="E42" i="3"/>
  <c r="F42" i="3"/>
  <c r="E44" i="3"/>
  <c r="F44" i="3"/>
  <c r="E46" i="3"/>
  <c r="F46" i="3"/>
  <c r="E45" i="3"/>
  <c r="F45" i="3"/>
  <c r="E47" i="3"/>
  <c r="BG27" i="18"/>
  <c r="B51" i="3"/>
  <c r="C51" i="3"/>
  <c r="D51" i="3"/>
  <c r="E51" i="3"/>
  <c r="F51" i="3"/>
  <c r="A52" i="3"/>
  <c r="F47" i="3"/>
  <c r="F44" i="13"/>
  <c r="F43" i="13"/>
  <c r="F35" i="3"/>
  <c r="A53" i="3"/>
  <c r="B52" i="3"/>
  <c r="C52" i="3"/>
  <c r="D52" i="3"/>
  <c r="E52" i="3"/>
  <c r="F52" i="3"/>
  <c r="A54" i="3"/>
  <c r="C53" i="3"/>
  <c r="D53" i="3"/>
  <c r="E53" i="3"/>
  <c r="F53" i="3"/>
  <c r="B53" i="3"/>
  <c r="C54" i="3"/>
  <c r="D54" i="3"/>
  <c r="E54" i="3"/>
  <c r="F54" i="3"/>
  <c r="B54" i="3"/>
  <c r="A55" i="3"/>
  <c r="A56" i="3"/>
  <c r="C55" i="3"/>
  <c r="D55" i="3"/>
  <c r="E55" i="3"/>
  <c r="F55" i="3"/>
  <c r="B55" i="3"/>
  <c r="D56" i="3"/>
  <c r="E56" i="3"/>
  <c r="F56" i="3"/>
  <c r="A57" i="3"/>
  <c r="C56" i="3"/>
  <c r="B56" i="3"/>
  <c r="B57" i="3"/>
  <c r="C57" i="3"/>
  <c r="D57" i="3"/>
  <c r="E57" i="3"/>
  <c r="F57" i="3"/>
  <c r="A58" i="3"/>
  <c r="B58" i="3"/>
  <c r="D58" i="3"/>
  <c r="E58" i="3"/>
  <c r="F58" i="3"/>
  <c r="A59" i="3"/>
  <c r="C58" i="3"/>
  <c r="B59" i="3"/>
  <c r="C59" i="3"/>
  <c r="D59" i="3"/>
  <c r="H51" i="13"/>
  <c r="A60" i="3"/>
  <c r="E59" i="3"/>
  <c r="F59" i="3"/>
  <c r="A61" i="3"/>
  <c r="D60" i="3"/>
  <c r="E60" i="3"/>
  <c r="F60" i="3"/>
  <c r="B60" i="3"/>
  <c r="C60" i="3"/>
  <c r="C61" i="3"/>
  <c r="A62" i="3"/>
  <c r="B61" i="3"/>
  <c r="D61" i="3"/>
  <c r="E61" i="3"/>
  <c r="F61" i="3"/>
  <c r="B62" i="3"/>
  <c r="A63" i="3"/>
  <c r="C62" i="3"/>
  <c r="D62" i="3"/>
  <c r="E62" i="3"/>
  <c r="F62" i="3"/>
  <c r="A64" i="3"/>
  <c r="C63" i="3"/>
  <c r="B63" i="3"/>
  <c r="D63" i="3"/>
  <c r="E63" i="3"/>
  <c r="F63" i="3"/>
  <c r="D64" i="3"/>
  <c r="B64" i="3"/>
  <c r="E64" i="3"/>
  <c r="F64" i="3"/>
  <c r="C64" i="3"/>
  <c r="A65" i="3"/>
  <c r="A66" i="3"/>
  <c r="D65" i="3"/>
  <c r="E65" i="3"/>
  <c r="F65" i="3"/>
  <c r="C65" i="3"/>
  <c r="B65" i="3"/>
  <c r="D66" i="3"/>
  <c r="E66" i="3"/>
  <c r="F66" i="3"/>
  <c r="A67" i="3"/>
  <c r="B66" i="3"/>
  <c r="C66" i="3"/>
  <c r="A68" i="3"/>
  <c r="D67" i="3"/>
  <c r="E67" i="3"/>
  <c r="F67" i="3"/>
  <c r="C67" i="3"/>
  <c r="B67" i="3"/>
  <c r="A69" i="3"/>
  <c r="C68" i="3"/>
  <c r="D68" i="3"/>
  <c r="E68" i="3"/>
  <c r="F68" i="3"/>
  <c r="B68" i="3"/>
  <c r="A70" i="3"/>
  <c r="B69" i="3"/>
  <c r="D69" i="3"/>
  <c r="E69" i="3"/>
  <c r="F69" i="3"/>
  <c r="C69" i="3"/>
  <c r="B70" i="3"/>
  <c r="C70" i="3"/>
  <c r="A71" i="3"/>
  <c r="D70" i="3"/>
  <c r="E70" i="3"/>
  <c r="F70" i="3"/>
  <c r="D71" i="3"/>
  <c r="A72" i="3"/>
  <c r="C71" i="3"/>
  <c r="E71" i="3"/>
  <c r="F71" i="3"/>
  <c r="B71" i="3"/>
  <c r="B72" i="3"/>
  <c r="A73" i="3"/>
  <c r="C72" i="3"/>
  <c r="F72" i="3"/>
  <c r="E72" i="3"/>
  <c r="D72" i="3"/>
  <c r="D73" i="3"/>
  <c r="E73" i="3"/>
  <c r="F73" i="3"/>
  <c r="B73" i="3"/>
  <c r="C73" i="3"/>
  <c r="A74" i="3"/>
  <c r="C74" i="3"/>
  <c r="B74" i="3"/>
  <c r="F74" i="3"/>
  <c r="E74" i="3"/>
  <c r="A75" i="3"/>
  <c r="D74" i="3"/>
  <c r="D75" i="3"/>
  <c r="B75" i="3"/>
  <c r="E75" i="3"/>
  <c r="A76" i="3"/>
  <c r="F75" i="3"/>
  <c r="C75" i="3"/>
  <c r="B76" i="3"/>
  <c r="C76" i="3"/>
  <c r="D76" i="3"/>
  <c r="F76" i="3"/>
  <c r="E76" i="3"/>
  <c r="A77" i="3"/>
  <c r="A78" i="3"/>
  <c r="E77" i="3"/>
  <c r="C77" i="3"/>
  <c r="F77" i="3"/>
  <c r="B77" i="3"/>
  <c r="D77" i="3"/>
  <c r="E78" i="3"/>
  <c r="F78" i="3"/>
  <c r="D78" i="3"/>
  <c r="B78" i="3"/>
  <c r="C78" i="3"/>
  <c r="A79" i="3"/>
  <c r="D79" i="3"/>
  <c r="E79" i="3"/>
  <c r="F79" i="3"/>
  <c r="A80" i="3"/>
  <c r="C79" i="3"/>
  <c r="B79" i="3"/>
  <c r="D80" i="3"/>
  <c r="E80" i="3"/>
  <c r="B80" i="3"/>
  <c r="A81" i="3"/>
  <c r="F80" i="3"/>
  <c r="C80" i="3"/>
  <c r="D81" i="3"/>
  <c r="B81" i="3"/>
  <c r="C81" i="3"/>
  <c r="A82" i="3"/>
  <c r="F81" i="3"/>
  <c r="E81" i="3"/>
  <c r="A83" i="3"/>
  <c r="E82" i="3"/>
  <c r="F82" i="3"/>
  <c r="D82" i="3"/>
  <c r="C82" i="3"/>
  <c r="B82" i="3"/>
  <c r="E83" i="3"/>
  <c r="B83" i="3"/>
  <c r="C83" i="3"/>
  <c r="F83" i="3"/>
  <c r="D83" i="3"/>
  <c r="A84" i="3"/>
  <c r="A85" i="3"/>
  <c r="E84" i="3"/>
  <c r="C84" i="3"/>
  <c r="F84" i="3"/>
  <c r="B84" i="3"/>
  <c r="D84" i="3"/>
  <c r="F85" i="3"/>
  <c r="A86" i="3"/>
  <c r="C85" i="3"/>
  <c r="B85" i="3"/>
  <c r="E85" i="3"/>
  <c r="D85" i="3"/>
  <c r="A87" i="3"/>
  <c r="C86" i="3"/>
  <c r="D86" i="3"/>
  <c r="E86" i="3"/>
  <c r="F86" i="3"/>
  <c r="B86" i="3"/>
  <c r="A88" i="3"/>
  <c r="D87" i="3"/>
  <c r="C87" i="3"/>
  <c r="F87" i="3"/>
  <c r="B87" i="3"/>
  <c r="E87" i="3"/>
  <c r="C88" i="3"/>
  <c r="D88" i="3"/>
  <c r="A89" i="3"/>
  <c r="F88" i="3"/>
  <c r="B88" i="3"/>
  <c r="E88" i="3"/>
  <c r="D89" i="3"/>
  <c r="F89" i="3"/>
  <c r="A90" i="3"/>
  <c r="C89" i="3"/>
  <c r="B89" i="3"/>
  <c r="E89" i="3"/>
  <c r="E90" i="3"/>
  <c r="C90" i="3"/>
  <c r="A91" i="3"/>
  <c r="D90" i="3"/>
  <c r="B90" i="3"/>
  <c r="F90" i="3"/>
  <c r="F91" i="3"/>
  <c r="A92" i="3"/>
  <c r="B91" i="3"/>
  <c r="E91" i="3"/>
  <c r="C91" i="3"/>
  <c r="D91" i="3"/>
  <c r="E92" i="3"/>
  <c r="F92" i="3"/>
  <c r="C92" i="3"/>
  <c r="A93" i="3"/>
  <c r="D92" i="3"/>
  <c r="B92" i="3"/>
  <c r="B93" i="3"/>
  <c r="E93" i="3"/>
  <c r="A94" i="3"/>
  <c r="F93" i="3"/>
  <c r="D93" i="3"/>
  <c r="C93" i="3"/>
  <c r="B94" i="3"/>
  <c r="D94" i="3"/>
  <c r="C94" i="3"/>
  <c r="E94" i="3"/>
  <c r="F94" i="3"/>
  <c r="A95" i="3"/>
  <c r="A96" i="3"/>
  <c r="B95" i="3"/>
  <c r="F95" i="3"/>
  <c r="D95" i="3"/>
  <c r="C95" i="3"/>
  <c r="E95" i="3"/>
  <c r="E96" i="3"/>
  <c r="F96" i="3"/>
  <c r="D96" i="3"/>
  <c r="B96" i="3"/>
  <c r="A97" i="3"/>
  <c r="C96" i="3"/>
  <c r="D97" i="3"/>
  <c r="E97" i="3"/>
  <c r="F97" i="3"/>
  <c r="B97" i="3"/>
  <c r="A98" i="3"/>
  <c r="C97" i="3"/>
  <c r="D98" i="3"/>
  <c r="A99" i="3"/>
  <c r="C98" i="3"/>
  <c r="F98" i="3"/>
  <c r="E98" i="3"/>
  <c r="B98" i="3"/>
  <c r="F99" i="3"/>
  <c r="D99" i="3"/>
  <c r="B99" i="3"/>
  <c r="C99" i="3"/>
  <c r="A100" i="3"/>
  <c r="E99" i="3"/>
  <c r="B100" i="3"/>
  <c r="D100" i="3"/>
  <c r="A101" i="3"/>
  <c r="E100" i="3"/>
  <c r="C100" i="3"/>
  <c r="F100" i="3"/>
  <c r="F101" i="3"/>
  <c r="A102" i="3"/>
  <c r="B101" i="3"/>
  <c r="C101" i="3"/>
  <c r="D101" i="3"/>
  <c r="E101" i="3"/>
  <c r="A103" i="3"/>
  <c r="B102" i="3"/>
  <c r="F102" i="3"/>
  <c r="C102" i="3"/>
  <c r="E102" i="3"/>
  <c r="D102" i="3"/>
  <c r="E103" i="3"/>
  <c r="F103" i="3"/>
  <c r="B103" i="3"/>
  <c r="D103" i="3"/>
  <c r="C103" i="3"/>
  <c r="A104" i="3"/>
  <c r="D104" i="3"/>
  <c r="C104" i="3"/>
  <c r="F104" i="3"/>
  <c r="B104" i="3"/>
  <c r="A105" i="3"/>
  <c r="E104" i="3"/>
  <c r="F105" i="3"/>
  <c r="A106" i="3"/>
  <c r="E105" i="3"/>
  <c r="C105" i="3"/>
  <c r="B105" i="3"/>
  <c r="D105" i="3"/>
  <c r="A107" i="3"/>
  <c r="B106" i="3"/>
  <c r="F106" i="3"/>
  <c r="C106" i="3"/>
  <c r="E106" i="3"/>
  <c r="D106" i="3"/>
  <c r="E107" i="3"/>
  <c r="F107" i="3"/>
  <c r="C107" i="3"/>
  <c r="D107" i="3"/>
  <c r="A108" i="3"/>
  <c r="B107" i="3"/>
  <c r="D108" i="3"/>
  <c r="C108" i="3"/>
  <c r="F108" i="3"/>
  <c r="E108" i="3"/>
  <c r="B108" i="3"/>
  <c r="A109" i="3"/>
  <c r="F109" i="3"/>
  <c r="A110" i="3"/>
  <c r="E109" i="3"/>
  <c r="C109" i="3"/>
  <c r="B109" i="3"/>
  <c r="D109" i="3"/>
  <c r="A111" i="3"/>
  <c r="B110" i="3"/>
  <c r="F110" i="3"/>
  <c r="C110" i="3"/>
  <c r="E110" i="3"/>
  <c r="D110" i="3"/>
  <c r="E111" i="3"/>
  <c r="F111" i="3"/>
  <c r="B111" i="3"/>
  <c r="D111" i="3"/>
  <c r="C111" i="3"/>
  <c r="A112" i="3"/>
  <c r="D112" i="3"/>
  <c r="C112" i="3"/>
  <c r="A113" i="3"/>
  <c r="E112" i="3"/>
  <c r="F112" i="3"/>
  <c r="B112" i="3"/>
  <c r="F113" i="3"/>
  <c r="A114" i="3"/>
  <c r="D113" i="3"/>
  <c r="E113" i="3"/>
  <c r="C113" i="3"/>
  <c r="B113" i="3"/>
  <c r="A115" i="3"/>
  <c r="B114" i="3"/>
  <c r="E114" i="3"/>
  <c r="C114" i="3"/>
  <c r="F114" i="3"/>
  <c r="D114" i="3"/>
  <c r="E115" i="3"/>
  <c r="F115" i="3"/>
  <c r="C115" i="3"/>
  <c r="B115" i="3"/>
  <c r="D115" i="3"/>
  <c r="A116" i="3"/>
  <c r="D116" i="3"/>
  <c r="C116" i="3"/>
  <c r="E116" i="3"/>
  <c r="F116" i="3"/>
  <c r="B116" i="3"/>
  <c r="A117" i="3"/>
  <c r="F117" i="3"/>
  <c r="A118" i="3"/>
  <c r="E117" i="3"/>
  <c r="D117" i="3"/>
  <c r="C117" i="3"/>
  <c r="B117" i="3"/>
  <c r="A119" i="3"/>
  <c r="B118" i="3"/>
  <c r="F118" i="3"/>
  <c r="C118" i="3"/>
  <c r="D118" i="3"/>
  <c r="E118" i="3"/>
  <c r="E119" i="3"/>
  <c r="F119" i="3"/>
  <c r="B119" i="3"/>
  <c r="D119" i="3"/>
  <c r="C119" i="3"/>
  <c r="A120" i="3"/>
  <c r="C120" i="3"/>
  <c r="F120" i="3"/>
  <c r="A121" i="3"/>
  <c r="E120" i="3"/>
  <c r="D120" i="3"/>
  <c r="B120" i="3"/>
  <c r="B121" i="3"/>
  <c r="E121" i="3"/>
  <c r="C121" i="3"/>
  <c r="F121" i="3"/>
  <c r="A122" i="3"/>
  <c r="D121" i="3"/>
  <c r="B122" i="3"/>
  <c r="D122" i="3"/>
  <c r="E122" i="3"/>
  <c r="C122" i="3"/>
  <c r="A123" i="3"/>
  <c r="F122" i="3"/>
  <c r="F123" i="3"/>
  <c r="A124" i="3"/>
  <c r="D123" i="3"/>
  <c r="E123" i="3"/>
  <c r="B123" i="3"/>
  <c r="C123" i="3"/>
  <c r="C124" i="3"/>
  <c r="F124" i="3"/>
  <c r="B124" i="3"/>
  <c r="D124" i="3"/>
  <c r="A125" i="3"/>
  <c r="E124" i="3"/>
  <c r="B125" i="3"/>
  <c r="C125" i="3"/>
  <c r="F125" i="3"/>
  <c r="A126" i="3"/>
  <c r="D125" i="3"/>
  <c r="E125" i="3"/>
  <c r="D126" i="3"/>
  <c r="C126" i="3"/>
  <c r="F126" i="3"/>
  <c r="B126" i="3"/>
  <c r="E126" i="3"/>
  <c r="A127" i="3"/>
  <c r="F127" i="3"/>
  <c r="A128" i="3"/>
  <c r="E127" i="3"/>
  <c r="B127" i="3"/>
  <c r="C127" i="3"/>
  <c r="D127" i="3"/>
  <c r="B128" i="3"/>
  <c r="E128" i="3"/>
  <c r="D128" i="3"/>
  <c r="C128" i="3"/>
  <c r="F128" i="3"/>
  <c r="A129" i="3"/>
  <c r="E129" i="3"/>
  <c r="C129" i="3"/>
  <c r="F129" i="3"/>
  <c r="B129" i="3"/>
  <c r="D129" i="3"/>
  <c r="A130" i="3"/>
  <c r="E130" i="3"/>
  <c r="A131" i="3"/>
  <c r="B130" i="3"/>
  <c r="C130" i="3"/>
  <c r="F130" i="3"/>
  <c r="D130" i="3"/>
  <c r="D131" i="3"/>
  <c r="F131" i="3"/>
  <c r="C131" i="3"/>
  <c r="E131" i="3"/>
  <c r="B131" i="3"/>
  <c r="AX26" i="18"/>
  <c r="AX28" i="18"/>
  <c r="AX29" i="18"/>
  <c r="AX24" i="11"/>
  <c r="AZ24" i="11"/>
  <c r="F23" i="18"/>
  <c r="F26" i="18"/>
  <c r="F28" i="18"/>
  <c r="F29" i="18"/>
  <c r="AH21" i="18"/>
  <c r="AH23" i="18"/>
  <c r="AF21" i="18"/>
  <c r="AF23" i="18"/>
  <c r="H36" i="14"/>
  <c r="W36" i="14"/>
  <c r="J36" i="14"/>
  <c r="D36" i="14"/>
  <c r="AG21" i="18"/>
  <c r="AG23" i="18"/>
  <c r="Z26" i="18"/>
  <c r="Z28" i="18"/>
  <c r="N26" i="18"/>
  <c r="N28" i="18"/>
  <c r="Y21" i="18"/>
  <c r="Y23" i="18"/>
  <c r="I29" i="18"/>
  <c r="I30" i="18" s="1"/>
  <c r="Q24" i="11"/>
  <c r="Q37" i="11"/>
  <c r="Q26" i="18"/>
  <c r="Q28" i="18"/>
  <c r="M26" i="18"/>
  <c r="M28" i="18"/>
  <c r="M24" i="11"/>
  <c r="H26" i="18"/>
  <c r="H28" i="18"/>
  <c r="H24" i="11"/>
  <c r="H37" i="11"/>
  <c r="AX30" i="18"/>
  <c r="AQ30" i="18"/>
  <c r="AI26" i="18"/>
  <c r="AI28" i="18"/>
  <c r="AI24" i="11"/>
  <c r="AA36" i="14"/>
  <c r="L43" i="14"/>
  <c r="AW24" i="11"/>
  <c r="AW26" i="18"/>
  <c r="AW28" i="18"/>
  <c r="BB24" i="11"/>
  <c r="BB26" i="18"/>
  <c r="BB28" i="18"/>
  <c r="W39" i="14"/>
  <c r="W40" i="14"/>
  <c r="X32" i="11"/>
  <c r="AL36" i="14"/>
  <c r="W37" i="14"/>
  <c r="W41" i="14"/>
  <c r="W42" i="14"/>
  <c r="X33" i="11"/>
  <c r="X30" i="18"/>
  <c r="AY24" i="11"/>
  <c r="AY26" i="18"/>
  <c r="AY28" i="18"/>
  <c r="P24" i="11"/>
  <c r="P26" i="18"/>
  <c r="P28" i="18"/>
  <c r="D24" i="11"/>
  <c r="D26" i="18"/>
  <c r="D28" i="18"/>
  <c r="N29" i="18"/>
  <c r="N30" i="18"/>
  <c r="Z29" i="18"/>
  <c r="Z30" i="18"/>
  <c r="AN23" i="18"/>
  <c r="R24" i="11"/>
  <c r="R37" i="11"/>
  <c r="R26" i="18"/>
  <c r="R28" i="18"/>
  <c r="AR24" i="11"/>
  <c r="AR26" i="18"/>
  <c r="AR28" i="18"/>
  <c r="E24" i="11"/>
  <c r="E37" i="11"/>
  <c r="E26" i="18"/>
  <c r="E28" i="18"/>
  <c r="F24" i="11"/>
  <c r="F37" i="11"/>
  <c r="H47" i="14"/>
  <c r="BA21" i="18"/>
  <c r="BA23" i="18"/>
  <c r="AS21" i="18"/>
  <c r="AS23" i="18"/>
  <c r="W21" i="18"/>
  <c r="W23" i="18"/>
  <c r="H43" i="14"/>
  <c r="F36" i="14"/>
  <c r="N36" i="14"/>
  <c r="AC36" i="14"/>
  <c r="J47" i="14"/>
  <c r="AE21" i="18"/>
  <c r="AE23" i="18"/>
  <c r="V21" i="18"/>
  <c r="F47" i="14"/>
  <c r="N47" i="14"/>
  <c r="G24" i="11"/>
  <c r="L47" i="14"/>
  <c r="D47" i="14"/>
  <c r="I34" i="11"/>
  <c r="BF32" i="11"/>
  <c r="BF34" i="11"/>
  <c r="BA16" i="14"/>
  <c r="Q15" i="11"/>
  <c r="BF13" i="11"/>
  <c r="BF15" i="11"/>
  <c r="AA30" i="14"/>
  <c r="BA17" i="14"/>
  <c r="BA20" i="14"/>
  <c r="AI13" i="11"/>
  <c r="AP26" i="14"/>
  <c r="G36" i="11"/>
  <c r="G30" i="11"/>
  <c r="F40" i="8"/>
  <c r="F42" i="8"/>
  <c r="M30" i="8"/>
  <c r="AW31" i="14"/>
  <c r="Y24" i="11"/>
  <c r="Y26" i="18"/>
  <c r="Y28" i="18"/>
  <c r="AH26" i="18"/>
  <c r="AH28" i="18"/>
  <c r="AH24" i="11"/>
  <c r="AF26" i="18"/>
  <c r="AF28" i="18"/>
  <c r="AF24" i="11"/>
  <c r="BH21" i="18"/>
  <c r="BH23" i="18"/>
  <c r="AG26" i="18"/>
  <c r="AG28" i="18"/>
  <c r="AG24" i="11"/>
  <c r="D43" i="14"/>
  <c r="S36" i="14"/>
  <c r="G37" i="11"/>
  <c r="F30" i="18"/>
  <c r="Y36" i="14"/>
  <c r="J43" i="14"/>
  <c r="N43" i="14"/>
  <c r="F43" i="14"/>
  <c r="U36" i="14"/>
  <c r="AN26" i="18"/>
  <c r="AN24" i="11"/>
  <c r="AL41" i="14"/>
  <c r="AL42" i="14"/>
  <c r="AP33" i="11"/>
  <c r="AL37" i="14"/>
  <c r="AL39" i="14"/>
  <c r="AL40" i="14"/>
  <c r="AP32" i="11"/>
  <c r="P29" i="18"/>
  <c r="P30" i="18"/>
  <c r="BB29" i="18"/>
  <c r="BB30" i="18"/>
  <c r="W26" i="18"/>
  <c r="W28" i="18"/>
  <c r="W24" i="11"/>
  <c r="M29" i="18"/>
  <c r="M30" i="18"/>
  <c r="E29" i="18"/>
  <c r="E30" i="18"/>
  <c r="BF24" i="11"/>
  <c r="D37" i="11"/>
  <c r="AI29" i="18"/>
  <c r="AI30" i="18"/>
  <c r="V23" i="18"/>
  <c r="BG21" i="18"/>
  <c r="AS24" i="11"/>
  <c r="AS26" i="18"/>
  <c r="AS28" i="18"/>
  <c r="AR29" i="18"/>
  <c r="AR30" i="18"/>
  <c r="AY29" i="18"/>
  <c r="AY30" i="18"/>
  <c r="AW29" i="18"/>
  <c r="S47" i="14"/>
  <c r="D54" i="14"/>
  <c r="AE26" i="18"/>
  <c r="AE28" i="18"/>
  <c r="AE24" i="11"/>
  <c r="BA24" i="11"/>
  <c r="BA26" i="18"/>
  <c r="BA28" i="18"/>
  <c r="AC47" i="14"/>
  <c r="N54" i="14"/>
  <c r="D29" i="18"/>
  <c r="D30" i="18"/>
  <c r="U47" i="14"/>
  <c r="F54" i="14"/>
  <c r="Q29" i="18"/>
  <c r="Q30" i="18"/>
  <c r="AA47" i="14"/>
  <c r="L54" i="14"/>
  <c r="J54" i="14"/>
  <c r="Y47" i="14"/>
  <c r="W47" i="14"/>
  <c r="H54" i="14"/>
  <c r="R29" i="18"/>
  <c r="R30" i="18" s="1"/>
  <c r="H29" i="18"/>
  <c r="H30" i="18"/>
  <c r="AC37" i="14"/>
  <c r="AC39" i="14"/>
  <c r="AC40" i="14"/>
  <c r="AA32" i="11"/>
  <c r="AC41" i="14"/>
  <c r="AC42" i="14"/>
  <c r="AA33" i="11"/>
  <c r="AR36" i="14"/>
  <c r="W43" i="14"/>
  <c r="W38" i="14"/>
  <c r="X31" i="11"/>
  <c r="X34" i="11"/>
  <c r="AA41" i="14"/>
  <c r="AA42" i="14"/>
  <c r="Z33" i="11"/>
  <c r="AP36" i="14"/>
  <c r="AA39" i="14"/>
  <c r="AA40" i="14"/>
  <c r="Z32" i="11"/>
  <c r="AA37" i="14"/>
  <c r="I37" i="11"/>
  <c r="I35" i="11"/>
  <c r="BF16" i="11"/>
  <c r="BF17" i="11"/>
  <c r="Q16" i="11"/>
  <c r="Q35" i="11"/>
  <c r="BG13" i="11"/>
  <c r="BG15" i="11"/>
  <c r="AI15" i="11"/>
  <c r="BE16" i="14"/>
  <c r="AP27" i="14"/>
  <c r="AP30" i="14"/>
  <c r="M30" i="11"/>
  <c r="M36" i="11"/>
  <c r="M37" i="11"/>
  <c r="Y41" i="14"/>
  <c r="Y42" i="14"/>
  <c r="Y33" i="11"/>
  <c r="Y39" i="14"/>
  <c r="Y40" i="14"/>
  <c r="Y32" i="11"/>
  <c r="AN36" i="14"/>
  <c r="Y37" i="14"/>
  <c r="AG29" i="18"/>
  <c r="AG30" i="18"/>
  <c r="AF29" i="18"/>
  <c r="AF30" i="18"/>
  <c r="AW30" i="14"/>
  <c r="AW32" i="14"/>
  <c r="AW36" i="14"/>
  <c r="AH36" i="14"/>
  <c r="S37" i="14"/>
  <c r="S39" i="14"/>
  <c r="S40" i="14"/>
  <c r="S41" i="14"/>
  <c r="S42" i="14"/>
  <c r="AH29" i="18"/>
  <c r="AH30" i="18" s="1"/>
  <c r="Y29" i="18"/>
  <c r="Y30" i="18"/>
  <c r="AZ29" i="11"/>
  <c r="AS29" i="18"/>
  <c r="AS30" i="18"/>
  <c r="AH47" i="14"/>
  <c r="S50" i="14"/>
  <c r="S51" i="14"/>
  <c r="AE32" i="11"/>
  <c r="S52" i="14"/>
  <c r="S53" i="14"/>
  <c r="AE33" i="11"/>
  <c r="S48" i="14"/>
  <c r="AA38" i="14"/>
  <c r="Z31" i="11"/>
  <c r="Z34" i="11"/>
  <c r="Y50" i="14"/>
  <c r="Y51" i="14"/>
  <c r="AH32" i="11"/>
  <c r="AN47" i="14"/>
  <c r="Y48" i="14"/>
  <c r="Y52" i="14"/>
  <c r="Y53" i="14"/>
  <c r="AH33" i="11"/>
  <c r="AW30" i="18"/>
  <c r="AL38" i="14"/>
  <c r="AP31" i="11"/>
  <c r="AP34" i="11"/>
  <c r="AR37" i="14"/>
  <c r="AR41" i="14"/>
  <c r="AR42" i="14"/>
  <c r="AS33" i="11"/>
  <c r="AR39" i="14"/>
  <c r="AR40" i="14"/>
  <c r="AS32" i="11"/>
  <c r="V24" i="11"/>
  <c r="BG24" i="11"/>
  <c r="V26" i="18"/>
  <c r="W29" i="18"/>
  <c r="W30" i="18"/>
  <c r="AP41" i="14"/>
  <c r="AP42" i="14"/>
  <c r="AR33" i="11"/>
  <c r="AP39" i="14"/>
  <c r="AP40" i="14"/>
  <c r="AR32" i="11"/>
  <c r="AP37" i="14"/>
  <c r="AJ47" i="14"/>
  <c r="U48" i="14"/>
  <c r="U50" i="14"/>
  <c r="U51" i="14"/>
  <c r="AF32" i="11"/>
  <c r="U52" i="14"/>
  <c r="U53" i="14"/>
  <c r="AF33" i="11"/>
  <c r="BA29" i="18"/>
  <c r="BA30" i="18"/>
  <c r="V33" i="11"/>
  <c r="AL47" i="14"/>
  <c r="W48" i="14"/>
  <c r="W50" i="14"/>
  <c r="W51" i="14"/>
  <c r="AG32" i="11"/>
  <c r="W52" i="14"/>
  <c r="W53" i="14"/>
  <c r="AG33" i="11"/>
  <c r="AC38" i="14"/>
  <c r="AA31" i="11"/>
  <c r="AA34" i="11"/>
  <c r="AP47" i="14"/>
  <c r="AA50" i="14"/>
  <c r="AA51" i="14"/>
  <c r="AI32" i="11"/>
  <c r="AA48" i="14"/>
  <c r="AA52" i="14"/>
  <c r="AA53" i="14"/>
  <c r="AI33" i="11"/>
  <c r="AN28" i="18"/>
  <c r="V32" i="11"/>
  <c r="X37" i="11"/>
  <c r="X35" i="11"/>
  <c r="U39" i="14"/>
  <c r="U37" i="14"/>
  <c r="AJ36" i="14"/>
  <c r="U41" i="14"/>
  <c r="BA23" i="14"/>
  <c r="AC48" i="14"/>
  <c r="AC52" i="14"/>
  <c r="AC53" i="14"/>
  <c r="AJ33" i="11"/>
  <c r="AC50" i="14"/>
  <c r="AC51" i="14"/>
  <c r="AJ32" i="11"/>
  <c r="AR47" i="14"/>
  <c r="AE29" i="18"/>
  <c r="AE30" i="18" s="1"/>
  <c r="AW29" i="11"/>
  <c r="D38" i="11"/>
  <c r="E10" i="11"/>
  <c r="E17" i="11"/>
  <c r="BF35" i="11"/>
  <c r="BE17" i="14"/>
  <c r="BE20" i="14"/>
  <c r="BA13" i="11"/>
  <c r="BG16" i="11"/>
  <c r="AI16" i="11"/>
  <c r="P36" i="11"/>
  <c r="P37" i="11"/>
  <c r="P30" i="11"/>
  <c r="AC43" i="14"/>
  <c r="Y38" i="14"/>
  <c r="Y31" i="11"/>
  <c r="Y34" i="11"/>
  <c r="Y35" i="11"/>
  <c r="Y43" i="14"/>
  <c r="S38" i="14"/>
  <c r="V31" i="11"/>
  <c r="S43" i="14"/>
  <c r="AN39" i="14"/>
  <c r="AN40" i="14"/>
  <c r="AQ32" i="11"/>
  <c r="AN37" i="14"/>
  <c r="AN41" i="14"/>
  <c r="AN42" i="14"/>
  <c r="AQ33" i="11"/>
  <c r="AL43" i="14"/>
  <c r="AA43" i="14"/>
  <c r="AH37" i="14"/>
  <c r="AH38" i="14"/>
  <c r="AN31" i="11"/>
  <c r="AH41" i="14"/>
  <c r="AH42" i="14"/>
  <c r="AN33" i="11"/>
  <c r="AH39" i="14"/>
  <c r="AC54" i="14"/>
  <c r="AC49" i="14"/>
  <c r="AJ31" i="11"/>
  <c r="AJ34" i="11"/>
  <c r="AP35" i="11"/>
  <c r="AP37" i="11"/>
  <c r="AA49" i="14"/>
  <c r="AI31" i="11"/>
  <c r="AI34" i="11"/>
  <c r="AA54" i="14"/>
  <c r="U49" i="14"/>
  <c r="AF31" i="11"/>
  <c r="AF34" i="11"/>
  <c r="U54" i="14"/>
  <c r="AJ48" i="14"/>
  <c r="AJ50" i="14"/>
  <c r="AJ51" i="14"/>
  <c r="AX32" i="11"/>
  <c r="AJ52" i="14"/>
  <c r="AJ53" i="14"/>
  <c r="AX33" i="11"/>
  <c r="BG26" i="18"/>
  <c r="V28" i="18"/>
  <c r="S49" i="14"/>
  <c r="AE31" i="11"/>
  <c r="AE34" i="11"/>
  <c r="AE35" i="11"/>
  <c r="S54" i="14"/>
  <c r="AL48" i="14"/>
  <c r="AL50" i="14"/>
  <c r="AL51" i="14"/>
  <c r="AY32" i="11"/>
  <c r="AL52" i="14"/>
  <c r="AL53" i="14"/>
  <c r="AY33" i="11"/>
  <c r="AP50" i="14"/>
  <c r="AP51" i="14"/>
  <c r="BA32" i="11"/>
  <c r="AP48" i="14"/>
  <c r="AP52" i="14"/>
  <c r="AP53" i="14"/>
  <c r="BA33" i="11"/>
  <c r="AP38" i="14"/>
  <c r="AR31" i="11"/>
  <c r="AR34" i="11"/>
  <c r="AP43" i="14"/>
  <c r="Y49" i="14"/>
  <c r="Y54" i="14" s="1"/>
  <c r="AH31" i="11"/>
  <c r="AH34" i="11"/>
  <c r="AH35" i="11"/>
  <c r="AN52" i="14"/>
  <c r="AN53" i="14"/>
  <c r="AZ33" i="11"/>
  <c r="AN50" i="14"/>
  <c r="AN51" i="14"/>
  <c r="AZ32" i="11"/>
  <c r="AN48" i="14"/>
  <c r="AR52" i="14"/>
  <c r="AR53" i="14"/>
  <c r="BB33" i="11"/>
  <c r="AR48" i="14"/>
  <c r="AR50" i="14"/>
  <c r="AR51" i="14"/>
  <c r="BB32" i="11"/>
  <c r="AJ39" i="14"/>
  <c r="AJ37" i="14"/>
  <c r="BE23" i="14"/>
  <c r="AJ41" i="14"/>
  <c r="V34" i="11"/>
  <c r="V35" i="11"/>
  <c r="AA35" i="11"/>
  <c r="AA37" i="11"/>
  <c r="AH48" i="14"/>
  <c r="AH50" i="14"/>
  <c r="AH51" i="14"/>
  <c r="AW32" i="11"/>
  <c r="AH52" i="14"/>
  <c r="AH53" i="14"/>
  <c r="AW33" i="11"/>
  <c r="U42" i="14"/>
  <c r="BA28" i="14"/>
  <c r="U38" i="14"/>
  <c r="BA24" i="14"/>
  <c r="AR38" i="14"/>
  <c r="AS31" i="11"/>
  <c r="AS34" i="11"/>
  <c r="AR43" i="14"/>
  <c r="Z37" i="11"/>
  <c r="Z35" i="11"/>
  <c r="W49" i="14"/>
  <c r="AG31" i="11"/>
  <c r="AG34" i="11"/>
  <c r="E38" i="11"/>
  <c r="F10" i="11"/>
  <c r="F17" i="11"/>
  <c r="U40" i="14"/>
  <c r="U43" i="14" s="1"/>
  <c r="BA26" i="14"/>
  <c r="AN29" i="18"/>
  <c r="AN30" i="18"/>
  <c r="BA15" i="11"/>
  <c r="BH13" i="11"/>
  <c r="BH15" i="11"/>
  <c r="V30" i="11"/>
  <c r="V36" i="11"/>
  <c r="W54" i="14"/>
  <c r="BA30" i="14"/>
  <c r="BA32" i="14"/>
  <c r="BA36" i="14"/>
  <c r="AN38" i="14"/>
  <c r="AQ31" i="11"/>
  <c r="AQ34" i="11"/>
  <c r="AQ35" i="11"/>
  <c r="AN43" i="14"/>
  <c r="AH40" i="14"/>
  <c r="AN32" i="11"/>
  <c r="AN34" i="11"/>
  <c r="AN35" i="11"/>
  <c r="W31" i="11"/>
  <c r="BA25" i="14"/>
  <c r="AP49" i="14"/>
  <c r="BA31" i="11"/>
  <c r="BA34" i="11"/>
  <c r="BA37" i="11"/>
  <c r="AP54" i="14"/>
  <c r="V29" i="18"/>
  <c r="AF35" i="11"/>
  <c r="AF37" i="11"/>
  <c r="AR49" i="14"/>
  <c r="BB31" i="11"/>
  <c r="BB34" i="11"/>
  <c r="AR54" i="14"/>
  <c r="AH54" i="14"/>
  <c r="AH49" i="14"/>
  <c r="AW31" i="11"/>
  <c r="AW34" i="11"/>
  <c r="AW35" i="11"/>
  <c r="AI37" i="11"/>
  <c r="AI35" i="11"/>
  <c r="AG37" i="11"/>
  <c r="AG35" i="11"/>
  <c r="W32" i="11"/>
  <c r="BG32" i="11"/>
  <c r="BA27" i="14"/>
  <c r="AN49" i="14"/>
  <c r="AZ31" i="11"/>
  <c r="AZ34" i="11"/>
  <c r="AZ35" i="11"/>
  <c r="F38" i="11"/>
  <c r="G10" i="11"/>
  <c r="G17" i="11"/>
  <c r="W33" i="11"/>
  <c r="BG33" i="11"/>
  <c r="BA29" i="14"/>
  <c r="AS37" i="11"/>
  <c r="AS35" i="11"/>
  <c r="AJ42" i="14"/>
  <c r="BE28" i="14"/>
  <c r="AJ49" i="14"/>
  <c r="AX31" i="11"/>
  <c r="AX34" i="11"/>
  <c r="AJ54" i="14"/>
  <c r="AL49" i="14"/>
  <c r="AY31" i="11"/>
  <c r="AY34" i="11"/>
  <c r="AL54" i="14"/>
  <c r="AJ38" i="14"/>
  <c r="BE24" i="14"/>
  <c r="AR35" i="11"/>
  <c r="AR37" i="11"/>
  <c r="AJ35" i="11"/>
  <c r="AJ37" i="11"/>
  <c r="AJ40" i="14"/>
  <c r="AJ43" i="14" s="1"/>
  <c r="BE26" i="14"/>
  <c r="BH16" i="11"/>
  <c r="BA35" i="11"/>
  <c r="BA16" i="11"/>
  <c r="BF36" i="11"/>
  <c r="BF37" i="11"/>
  <c r="BF30" i="11"/>
  <c r="F32" i="13"/>
  <c r="F30" i="13"/>
  <c r="AH43" i="14"/>
  <c r="AN54" i="14"/>
  <c r="BE30" i="14" s="1"/>
  <c r="BE32" i="14" s="1"/>
  <c r="BE36" i="14" s="1"/>
  <c r="V30" i="18"/>
  <c r="AY35" i="11"/>
  <c r="AY37" i="11"/>
  <c r="G38" i="11"/>
  <c r="H10" i="11"/>
  <c r="H17" i="11"/>
  <c r="AO32" i="11"/>
  <c r="BH32" i="11"/>
  <c r="BE27" i="14"/>
  <c r="AO31" i="11"/>
  <c r="BE25" i="14"/>
  <c r="AX37" i="11"/>
  <c r="AX35" i="11"/>
  <c r="BB37" i="11"/>
  <c r="BB35" i="11"/>
  <c r="AO33" i="11"/>
  <c r="BH33" i="11"/>
  <c r="BE29" i="14"/>
  <c r="W34" i="11"/>
  <c r="BG31" i="11"/>
  <c r="BG34" i="11"/>
  <c r="BG35" i="11"/>
  <c r="BG10" i="11"/>
  <c r="BG17" i="11"/>
  <c r="BF38" i="11"/>
  <c r="F33" i="13"/>
  <c r="E16" i="16"/>
  <c r="H38" i="11"/>
  <c r="I10" i="11"/>
  <c r="I17" i="11"/>
  <c r="W35" i="11"/>
  <c r="W37" i="11"/>
  <c r="AO34" i="11"/>
  <c r="BH31" i="11"/>
  <c r="BH34" i="11"/>
  <c r="BH35" i="11"/>
  <c r="F28" i="13"/>
  <c r="AO35" i="11"/>
  <c r="Y30" i="11"/>
  <c r="Y36" i="11"/>
  <c r="Y37" i="11"/>
  <c r="M10" i="11"/>
  <c r="M17" i="11"/>
  <c r="I38" i="11"/>
  <c r="F35" i="13"/>
  <c r="E12" i="16"/>
  <c r="E8" i="16"/>
  <c r="M38" i="11"/>
  <c r="N10" i="11"/>
  <c r="N17" i="11"/>
  <c r="AE30" i="11"/>
  <c r="AE36" i="11"/>
  <c r="AE37" i="11"/>
  <c r="F24" i="16"/>
  <c r="AH36" i="11"/>
  <c r="AH37" i="11"/>
  <c r="AH30" i="11"/>
  <c r="N38" i="11"/>
  <c r="O10" i="11"/>
  <c r="O17" i="11"/>
  <c r="P10" i="11"/>
  <c r="P17" i="11"/>
  <c r="O38" i="11"/>
  <c r="AN30" i="11"/>
  <c r="AN36" i="11"/>
  <c r="Q10" i="11"/>
  <c r="Q17" i="11"/>
  <c r="P38" i="11"/>
  <c r="BG36" i="11"/>
  <c r="AQ30" i="11"/>
  <c r="AQ36" i="11"/>
  <c r="AW30" i="11"/>
  <c r="AW36" i="11"/>
  <c r="AW37" i="11"/>
  <c r="Q38" i="11"/>
  <c r="R10" i="11"/>
  <c r="R17" i="11"/>
  <c r="R38" i="11"/>
  <c r="V10" i="11"/>
  <c r="V17" i="11"/>
  <c r="AZ30" i="11"/>
  <c r="AZ36" i="11"/>
  <c r="AZ37" i="11"/>
  <c r="BH36" i="11"/>
  <c r="AZ26" i="18" l="1"/>
  <c r="AP26" i="18"/>
  <c r="AP28" i="18" s="1"/>
  <c r="BF14" i="18"/>
  <c r="BG20" i="18"/>
  <c r="BG23" i="18" s="1"/>
  <c r="BF21" i="18"/>
  <c r="AO23" i="18"/>
  <c r="BF16" i="18"/>
  <c r="BF23" i="18" s="1"/>
  <c r="BF12" i="18"/>
  <c r="BF13" i="18" s="1"/>
  <c r="BF26" i="18" s="1"/>
  <c r="AJ28" i="18"/>
  <c r="AZ28" i="18"/>
  <c r="H44" i="13"/>
  <c r="H43" i="13" s="1"/>
  <c r="G44" i="13"/>
  <c r="G43" i="13" s="1"/>
  <c r="G26" i="18"/>
  <c r="G28" i="18" s="1"/>
  <c r="BG23" i="11"/>
  <c r="BH23" i="11"/>
  <c r="AP29" i="18" l="1"/>
  <c r="AP30" i="18"/>
  <c r="AO24" i="11"/>
  <c r="AO26" i="18"/>
  <c r="AZ29" i="18"/>
  <c r="AZ30" i="18"/>
  <c r="AJ29" i="18"/>
  <c r="BG29" i="18" s="1"/>
  <c r="AJ30" i="18"/>
  <c r="BG30" i="18" s="1"/>
  <c r="E38" i="16" s="1"/>
  <c r="G38" i="16" s="1"/>
  <c r="BG28" i="18"/>
  <c r="G29" i="18"/>
  <c r="BF29" i="18" s="1"/>
  <c r="G30" i="18"/>
  <c r="BF30" i="18" s="1"/>
  <c r="BF28" i="18"/>
  <c r="E24" i="16" s="1"/>
  <c r="G24" i="16" s="1"/>
  <c r="AO28" i="18" l="1"/>
  <c r="BH26" i="18"/>
  <c r="BH24" i="11"/>
  <c r="AO37" i="11"/>
  <c r="G52" i="13"/>
  <c r="G48" i="13" s="1"/>
  <c r="AN29" i="11"/>
  <c r="E36" i="16"/>
  <c r="G36" i="16" s="1"/>
  <c r="E40" i="16" s="1"/>
  <c r="E33" i="16"/>
  <c r="E27" i="16"/>
  <c r="G27" i="16" s="1"/>
  <c r="F42" i="13"/>
  <c r="V29" i="11"/>
  <c r="F52" i="13"/>
  <c r="F48" i="13" s="1"/>
  <c r="AO29" i="18" l="1"/>
  <c r="BH28" i="18"/>
  <c r="BH29" i="11"/>
  <c r="BH37" i="11" s="1"/>
  <c r="AN37" i="11"/>
  <c r="E20" i="16"/>
  <c r="F12" i="16"/>
  <c r="G12" i="16" s="1"/>
  <c r="E13" i="16" s="1"/>
  <c r="F8" i="16"/>
  <c r="G8" i="16" s="1"/>
  <c r="F16" i="16"/>
  <c r="G16" i="16" s="1"/>
  <c r="E17" i="16" s="1"/>
  <c r="BG29" i="11"/>
  <c r="BG37" i="11" s="1"/>
  <c r="V37" i="11"/>
  <c r="F40" i="13"/>
  <c r="F54" i="13" s="1"/>
  <c r="G42" i="13"/>
  <c r="AO30" i="18" l="1"/>
  <c r="BH30" i="18" s="1"/>
  <c r="AQ29" i="11"/>
  <c r="AQ37" i="11" s="1"/>
  <c r="BH29" i="18"/>
  <c r="H52" i="13" s="1"/>
  <c r="H48" i="13" s="1"/>
  <c r="G40" i="13"/>
  <c r="G54" i="13" s="1"/>
  <c r="H42" i="13"/>
  <c r="H40" i="13" s="1"/>
  <c r="H54" i="13" s="1"/>
  <c r="F20" i="16"/>
  <c r="F55" i="13"/>
  <c r="W10" i="11"/>
  <c r="W17" i="11" s="1"/>
  <c r="V38" i="11"/>
  <c r="BH10" i="11"/>
  <c r="BH17" i="11" s="1"/>
  <c r="BH38" i="11" s="1"/>
  <c r="H33" i="13" s="1"/>
  <c r="H28" i="13" s="1"/>
  <c r="H35" i="13" s="1"/>
  <c r="H55" i="13" s="1"/>
  <c r="BG38" i="11"/>
  <c r="G33" i="13" s="1"/>
  <c r="G28" i="13" s="1"/>
  <c r="G35" i="13" s="1"/>
  <c r="G55" i="13" s="1"/>
  <c r="F33" i="16"/>
  <c r="G33" i="16" s="1"/>
  <c r="G20" i="16"/>
  <c r="W38" i="11" l="1"/>
  <c r="X10" i="11"/>
  <c r="X17" i="11" s="1"/>
  <c r="X38" i="11" l="1"/>
  <c r="Y10" i="11"/>
  <c r="Y17" i="11" s="1"/>
  <c r="Y38" i="11" l="1"/>
  <c r="Z10" i="11"/>
  <c r="Z17" i="11" s="1"/>
  <c r="AA10" i="11" l="1"/>
  <c r="AA17" i="11" s="1"/>
  <c r="Z38" i="11"/>
  <c r="AE10" i="11" l="1"/>
  <c r="AE17" i="11" s="1"/>
  <c r="AA38" i="11"/>
  <c r="AE38" i="11" l="1"/>
  <c r="AF10" i="11"/>
  <c r="AF17" i="11" s="1"/>
  <c r="AF38" i="11" l="1"/>
  <c r="AG10" i="11"/>
  <c r="AG17" i="11" s="1"/>
  <c r="AG38" i="11" l="1"/>
  <c r="AH10" i="11"/>
  <c r="AH17" i="11" s="1"/>
  <c r="AH38" i="11" l="1"/>
  <c r="AI10" i="11"/>
  <c r="AI17" i="11" s="1"/>
  <c r="AJ10" i="11" l="1"/>
  <c r="AJ17" i="11" s="1"/>
  <c r="AJ38" i="11" s="1"/>
  <c r="AN10" i="11" s="1"/>
  <c r="AN17" i="11" s="1"/>
  <c r="AI38" i="11"/>
  <c r="AN38" i="11" l="1"/>
  <c r="AO10" i="11"/>
  <c r="AO17" i="11" s="1"/>
  <c r="AP10" i="11" l="1"/>
  <c r="AP17" i="11" s="1"/>
  <c r="AO38" i="11"/>
  <c r="AQ10" i="11" l="1"/>
  <c r="AQ17" i="11" s="1"/>
  <c r="AP38" i="11"/>
  <c r="AQ38" i="11" l="1"/>
  <c r="AR10" i="11"/>
  <c r="AR17" i="11" s="1"/>
  <c r="AR38" i="11" l="1"/>
  <c r="AS10" i="11"/>
  <c r="AS17" i="11" s="1"/>
  <c r="AS38" i="11" l="1"/>
  <c r="AW10" i="11"/>
  <c r="AW17" i="11" s="1"/>
  <c r="AW38" i="11" l="1"/>
  <c r="AX10" i="11"/>
  <c r="AX17" i="11" s="1"/>
  <c r="AY10" i="11" l="1"/>
  <c r="AY17" i="11" s="1"/>
  <c r="AX38" i="11"/>
  <c r="AY38" i="11" l="1"/>
  <c r="AZ10" i="11"/>
  <c r="AZ17" i="11" s="1"/>
  <c r="BA10" i="11" l="1"/>
  <c r="BA17" i="11" s="1"/>
  <c r="AZ38" i="11"/>
  <c r="BA38" i="11" l="1"/>
  <c r="BB10" i="11"/>
  <c r="BB17" i="11" s="1"/>
  <c r="BB38"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tc={4458BD1C-42BD-4E70-9CCB-20C42BF8D5D5}</author>
    <author>tc={1AE12B85-6F7E-48C0-8EF9-D5D94065D10B}</author>
    <author>tc={178847E6-0A41-4C17-9850-C8D70F35AF75}</author>
    <author>tc={A913CBA6-5AAD-4C13-8EFD-8E6AB23F979F}</author>
    <author>tc={CD6751EC-EDD2-4CFA-AAD5-55499F932DFC}</author>
  </authors>
  <commentList>
    <comment ref="BO12" authorId="0" shapeId="0" xr:uid="{4458BD1C-42BD-4E70-9CCB-20C42BF8D5D5}">
      <text>
        <t>[Threaded comment]
Your version of Excel allows you to read this threaded comment; however, any edits to it will get removed if the file is opened in a newer version of Excel. Learn more: https://go.microsoft.com/fwlink/?linkid=870924
Comment:
    por cuanto vendemos la licencia de nuestro juego al mes</t>
      </text>
    </comment>
    <comment ref="BO25" authorId="1" shapeId="0" xr:uid="{1AE12B85-6F7E-48C0-8EF9-D5D94065D10B}">
      <text>
        <t>[Threaded comment]
Your version of Excel allows you to read this threaded comment; however, any edits to it will get removed if the file is opened in a newer version of Excel. Learn more: https://go.microsoft.com/fwlink/?linkid=870924
Comment:
    meter aquí más</t>
      </text>
    </comment>
    <comment ref="BK34" authorId="2" shapeId="0" xr:uid="{178847E6-0A41-4C17-9850-C8D70F35AF75}">
      <text>
        <t xml:space="preserve">[Threaded comment]
Your version of Excel allows you to read this threaded comment; however, any edits to it will get removed if the file is opened in a newer version of Excel. Learn more: https://go.microsoft.com/fwlink/?linkid=870924
Comment:
    ni idea </t>
      </text>
    </comment>
    <comment ref="BK35" authorId="3" shapeId="0" xr:uid="{A913CBA6-5AAD-4C13-8EFD-8E6AB23F979F}">
      <text>
        <t>[Threaded comment]
Your version of Excel allows you to read this threaded comment; however, any edits to it will get removed if the file is opened in a newer version of Excel. Learn more: https://go.microsoft.com/fwlink/?linkid=870924
Comment:
    meter mucho más aquí</t>
      </text>
    </comment>
    <comment ref="BO39" authorId="4" shapeId="0" xr:uid="{CD6751EC-EDD2-4CFA-AAD5-55499F932DFC}">
      <text>
        <t>[Threaded comment]
Your version of Excel allows you to read this threaded comment; however, any edits to it will get removed if the file is opened in a newer version of Excel. Learn more: https://go.microsoft.com/fwlink/?linkid=870924
Comment:
    Invertir en marketing mucho más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tc={15C972EF-5823-4119-8B33-84C701B8E4E4}</author>
  </authors>
  <commentList>
    <comment ref="F28" authorId="0" shapeId="0" xr:uid="{15C972EF-5823-4119-8B33-84C701B8E4E4}">
      <text>
        <t>[Threaded comment]
Your version of Excel allows you to read this threaded comment; however, any edits to it will get removed if the file is opened in a newer version of Excel. Learn more: https://go.microsoft.com/fwlink/?linkid=870924
Comment:
    Muy poco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tc={8A72891D-6029-419A-BC09-E62C555E8355}</author>
    <author>tc={9C1E186B-CE22-4D7A-8927-46C690B595ED}</author>
    <author>tc={26832EE5-DB6A-4878-8CAD-839B7F311106}</author>
    <author>tc={7B54CEFD-013C-4845-A861-B2595B680DEC}</author>
    <author>tc={400FE963-72FE-4D7C-8B92-AD89CD11EB4A}</author>
    <author>tc={33A0AE16-7CBF-4AB3-93C2-CF8176E1876B}</author>
    <author>tc={1B88705E-F60B-4AB8-BB89-E4124A77A591}</author>
    <author>tc={2D60140F-69F3-417C-9759-C4C56F90462C}</author>
    <author>tc={D17213BA-A60E-44F1-AAF6-8EF858F0824F}</author>
    <author>tc={913D5B1A-C01E-44B1-8849-8EE411C2F303}</author>
  </authors>
  <commentList>
    <comment ref="N12" authorId="0" shapeId="0" xr:uid="{8A72891D-6029-419A-BC09-E62C555E8355}">
      <text>
        <t>[Threaded comment]
Your version of Excel allows you to read this threaded comment; however, any edits to it will get removed if the file is opened in a newer version of Excel. Learn more: https://go.microsoft.com/fwlink/?linkid=870924
Comment:
    mil euros por cada miembro como dinero simbólico</t>
      </text>
    </comment>
    <comment ref="G14" authorId="1" shapeId="0" xr:uid="{9C1E186B-CE22-4D7A-8927-46C690B595ED}">
      <text>
        <t>[Threaded comment]
Your version of Excel allows you to read this threaded comment; however, any edits to it will get removed if the file is opened in a newer version of Excel. Learn more: https://go.microsoft.com/fwlink/?linkid=870924
Comment:
    6.PEF 2-3: Patentes y marcas: Uno nos trae con IVA y el otro sin IVA. El Registro de marca no nos indica el IVA ni nada, luego Registro de diseño industrial nos viene con IVA y tasas incluidas. ¿Tenemos que calcular el IVA del Registro de marca?
Reply:
APARTADO PATENTES Y MARCAS (INMOVILIZADO INMATERIAL)
Marca (registro logo y nombre) 339€ sin IVA, IVA: 71,19€.
Registro de diseño industrial (personajes, concepts y arte): 322,31 sin IVA, IVA:67,69€</t>
      </text>
    </comment>
    <comment ref="N14" authorId="2" shapeId="0" xr:uid="{26832EE5-DB6A-4878-8CAD-839B7F311106}">
      <text>
        <t>[Threaded comment]
Your version of Excel allows you to read this threaded comment; however, any edits to it will get removed if the file is opened in a newer version of Excel. Learn more: https://go.microsoft.com/fwlink/?linkid=870924
Comment:
    No pedimos ningún préstamo a largo o corto plazo
Reply:
    Poner mínimo 20 mil</t>
      </text>
    </comment>
    <comment ref="F19" authorId="3" shapeId="0" xr:uid="{7B54CEFD-013C-4845-A861-B2595B680DEC}">
      <text>
        <t>[Threaded comment]
Your version of Excel allows you to read this threaded comment; however, any edits to it will get removed if the file is opened in a newer version of Excel. Learn more: https://go.microsoft.com/fwlink/?linkid=870924
Comment:
    AQUÍ VAMOS A PONER EL GASTO DEL ALQUILER DE NUESTROS PISOS, POR PONER ALGO UWU
(ESTE COMENTARIO ES NUEVO)</t>
      </text>
    </comment>
    <comment ref="N21" authorId="4" shapeId="0" xr:uid="{400FE963-72FE-4D7C-8B92-AD89CD11EB4A}">
      <text>
        <t>[Threaded comment]
Your version of Excel allows you to read this threaded comment; however, any edits to it will get removed if the file is opened in a newer version of Excel. Learn more: https://go.microsoft.com/fwlink/?linkid=870924
Comment:
    Poner mínimo 10 ml</t>
      </text>
    </comment>
    <comment ref="F23" authorId="5" shapeId="0" xr:uid="{33A0AE16-7CBF-4AB3-93C2-CF8176E1876B}">
      <text>
        <t>[Threaded comment]
Your version of Excel allows you to read this threaded comment; however, any edits to it will get removed if the file is opened in a newer version of Excel. Learn more: https://go.microsoft.com/fwlink/?linkid=870924
Comment:
    (COMENTARIO NUEVO)
He puesto esto como si fuésemos 4 personas en una oficina, cada uno con una mesa y una silla</t>
      </text>
    </comment>
    <comment ref="F24" authorId="6" shapeId="0" xr:uid="{1B88705E-F60B-4AB8-BB89-E4124A77A591}">
      <text>
        <t>[Threaded comment]
Your version of Excel allows you to read this threaded comment; however, any edits to it will get removed if the file is opened in a newer version of Excel. Learn more: https://go.microsoft.com/fwlink/?linkid=870924
Comment:
    Aquí pusimos las compras de partes/dispositivos informáticos que tuvimos que comprar a lo largo del curso
Reply:
    Lo tiene Ari en su libreta, algunos están en "El Oasis de la Paz de Ali"</t>
      </text>
    </comment>
    <comment ref="F28" authorId="7" shapeId="0" xr:uid="{2D60140F-69F3-417C-9759-C4C56F90462C}">
      <text>
        <t>[Threaded comment]
Your version of Excel allows you to read this threaded comment; however, any edits to it will get removed if the file is opened in a newer version of Excel. Learn more: https://go.microsoft.com/fwlink/?linkid=870924
Comment:
    No pedimos ninguna fianza para financiar el juego
Reply:
    15% de 20,000 euros = 0.15 × 20,000 = 3,000 euros.</t>
      </text>
    </comment>
    <comment ref="F36" authorId="8" shapeId="0" xr:uid="{D17213BA-A60E-44F1-AAF6-8EF858F0824F}">
      <text>
        <t>[Threaded comment]
Your version of Excel allows you to read this threaded comment; however, any edits to it will get removed if the file is opened in a newer version of Excel. Learn more: https://go.microsoft.com/fwlink/?linkid=870924
Comment:
    Tema de activo circulante: tenemos duda con el tema de NeoMediaMusic, pero a día de hoy no tenemos un contrato en firme ni sabemos a ciencia cierta si entra dentro de este apartado.
Reply:
    En tesoreria, aportamos 50€ cada uno de cara a imprevistos futuros que necesiten "cash". Total 350€
Reply:
    En cuanto a existencias, ponemos 0 ya que se tratan de "keys" que no tienen un valor intrínseco y no tiene un coste de producción real.</t>
      </text>
    </comment>
    <comment ref="F39" authorId="9" shapeId="0" xr:uid="{913D5B1A-C01E-44B1-8849-8EE411C2F303}">
      <text>
        <t>[Threaded comment]
Your version of Excel allows you to read this threaded comment; however, any edits to it will get removed if the file is opened in a newer version of Excel. Learn more: https://go.microsoft.com/fwlink/?linkid=870924
Comment:
    LO CALCULÓ EL PROFE, VER COMO CALCULARLO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tc={32835812-3490-4EE2-8DBB-4DDA98330C86}</author>
    <author>tc={FC3925A2-9DCF-4117-9E44-9BD02ABEB056}</author>
    <author>tc={DAFDD3B0-D3B3-438C-9F1D-AA39125B677E}</author>
  </authors>
  <commentList>
    <comment ref="D10" authorId="0" shapeId="0" xr:uid="{32835812-3490-4EE2-8DBB-4DDA98330C86}">
      <text>
        <t>[Threaded comment]
Your version of Excel allows you to read this threaded comment; however, any edits to it will get removed if the file is opened in a newer version of Excel. Learn more: https://go.microsoft.com/fwlink/?linkid=870924
Comment:
    ponemos 1 año ya que no podemos poner 0. El tipo de interés era de 5.0% y 3.0%, pero como no tenemos ningún préstamo vamos a poner 0</t>
      </text>
    </comment>
    <comment ref="F26" authorId="1" shapeId="0" xr:uid="{FC3925A2-9DCF-4117-9E44-9BD02ABEB056}">
      <text>
        <t>[Threaded comment]
Your version of Excel allows you to read this threaded comment; however, any edits to it will get removed if the file is opened in a newer version of Excel. Learn more: https://go.microsoft.com/fwlink/?linkid=870924
Comment:
    Ponemos valor 1, ya que 0 da errores</t>
      </text>
    </comment>
    <comment ref="F30" authorId="2" shapeId="0" xr:uid="{DAFDD3B0-D3B3-438C-9F1D-AA39125B677E}">
      <text>
        <t>[Threaded comment]
Your version of Excel allows you to read this threaded comment; however, any edits to it will get removed if the file is opened in a newer version of Excel. Learn more: https://go.microsoft.com/fwlink/?linkid=870924
Comment:
    DUDA PARA EL PROFESOR: ¿porqué se repite los costes de los equipos informáticos en todos los años? Solo tendríamos que pagarlo una vez</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tc={649ED611-9734-4D67-AE95-11B9E8BECB5B}</author>
    <author>tc={4CA8F62B-0867-434D-96A8-5C2B27B7A305}</author>
    <author>tc={8836D5AF-FBD2-4081-9821-48B3AAF8A2A3}</author>
    <author>tc={F47D8D5B-5DBF-4893-A145-F4D29ADA5067}</author>
    <author>tc={C94BE0B5-D7D3-40D5-8B9F-F81E656A6FA9}</author>
    <author>tc={5B4DB299-CAC5-4314-8D13-A7704FAE4471}</author>
    <author>tc={E7DB1E00-6F98-423F-99D6-6440ACD1B2BC}</author>
    <author>tc={D6079A5B-F8C8-4600-AB74-BE60CFED1FB7}</author>
    <author>tc={F5969A92-2615-404A-9835-E5979D3B37AD}</author>
  </authors>
  <commentList>
    <comment ref="F15" authorId="0" shapeId="0" xr:uid="{649ED611-9734-4D67-AE95-11B9E8BECB5B}">
      <text>
        <t>[Threaded comment]
Your version of Excel allows you to read this threaded comment; however, any edits to it will get removed if the file is opened in a newer version of Excel. Learn more: https://go.microsoft.com/fwlink/?linkid=870924
Comment:
    Coste de trabajo de Alicia, Ariel, Iago, Lucas y Miguel
Reply:
    63504 (ESTO CREIO QUE ES LO QUE TENEMOS POR SER 5, LO PONEMOS CON ¿4?)
Reply:
    Lo digo porque estamos pagando 4 salarios, para ponerlo todo bien</t>
      </text>
    </comment>
    <comment ref="F21" authorId="1" shapeId="0" xr:uid="{4CA8F62B-0867-434D-96A8-5C2B27B7A305}">
      <text>
        <t>[Threaded comment]
Your version of Excel allows you to read this threaded comment; however, any edits to it will get removed if the file is opened in a newer version of Excel. Learn more: https://go.microsoft.com/fwlink/?linkid=870924
Comment:
    Ponemos el precio de nuestras casas o que? Lo mis con comunicaciones, hablamos por discord, no gastamos nada</t>
      </text>
    </comment>
    <comment ref="F23" authorId="2" shapeId="0" xr:uid="{8836D5AF-FBD2-4081-9821-48B3AAF8A2A3}">
      <text>
        <t xml:space="preserve">[Threaded comment]
Your version of Excel allows you to read this threaded comment; however, any edits to it will get removed if the file is opened in a newer version of Excel. Learn more: https://go.microsoft.com/fwlink/?linkid=870924
Comment:
    Hacer un escenario realista. De como serían los verdaderos gastos, no solo poner 1 euro.
Reply:
    Impuestos que pagamos por existir. No dependen de nuestras ganancias. </t>
      </text>
    </comment>
    <comment ref="F24" authorId="3" shapeId="0" xr:uid="{F47D8D5B-5DBF-4893-A145-F4D29ADA5067}">
      <text>
        <t>[Threaded comment]
Your version of Excel allows you to read this threaded comment; however, any edits to it will get removed if the file is opened in a newer version of Excel. Learn more: https://go.microsoft.com/fwlink/?linkid=870924
Comment:
    Coste de trabajo de Paloma y Celia
Reply:
    NeoMedia Music, Maya
Reply:
    Paloma, Celia y Maya como FreeLancer, con un sueldo de 1323 por 6 meses cada una
(NOTA NUEVA)</t>
      </text>
    </comment>
    <comment ref="F25" authorId="4" shapeId="0" xr:uid="{C94BE0B5-D7D3-40D5-8B9F-F81E656A6FA9}">
      <text>
        <t>[Threaded comment]
Your version of Excel allows you to read this threaded comment; however, any edits to it will get removed if the file is opened in a newer version of Excel. Learn more: https://go.microsoft.com/fwlink/?linkid=870924
Comment:
    20 por uso de bolis y libretas?</t>
      </text>
    </comment>
    <comment ref="F26" authorId="5" shapeId="0" xr:uid="{5B4DB299-CAC5-4314-8D13-A7704FAE4471}">
      <text>
        <t>[Threaded comment]
Your version of Excel allows you to read this threaded comment; however, any edits to it will get removed if the file is opened in a newer version of Excel. Learn more: https://go.microsoft.com/fwlink/?linkid=870924
Comment:
    Reparaciones a nuestros ordenadores y tal</t>
      </text>
    </comment>
    <comment ref="F28" authorId="6" shapeId="0" xr:uid="{E7DB1E00-6F98-423F-99D6-6440ACD1B2BC}">
      <text>
        <t>[Threaded comment]
Your version of Excel allows you to read this threaded comment; however, any edits to it will get removed if the file is opened in a newer version of Excel. Learn more: https://go.microsoft.com/fwlink/?linkid=870924
Comment:
    No tenemos seguridad social, explotamos a nuestros trabajadores :D</t>
      </text>
    </comment>
    <comment ref="F43" authorId="7" shapeId="0" xr:uid="{D6079A5B-F8C8-4600-AB74-BE60CFED1FB7}">
      <text>
        <t>[Threaded comment]
Your version of Excel allows you to read this threaded comment; however, any edits to it will get removed if the file is opened in a newer version of Excel. Learn more: https://go.microsoft.com/fwlink/?linkid=870924
Comment:
    Puse esto por el incremento de mano de obra (contratamos a Maya)</t>
      </text>
    </comment>
    <comment ref="F44" authorId="8" shapeId="0" xr:uid="{F5969A92-2615-404A-9835-E5979D3B37AD}">
      <text>
        <t>[Threaded comment]
Your version of Excel allows you to read this threaded comment; however, any edits to it will get removed if the file is opened in a newer version of Excel. Learn more: https://go.microsoft.com/fwlink/?linkid=870924
Comment:
    https://getquipu.com/blog/novedades-impuesto-de-sociedades/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tc={1E353F0E-881C-40BD-9CF1-23455FB400FD}</author>
  </authors>
  <commentList>
    <comment ref="N28" authorId="0" shapeId="0" xr:uid="{1E353F0E-881C-40BD-9CF1-23455FB400FD}">
      <text>
        <t>[Threaded comment]
Your version of Excel allows you to read this threaded comment; however, any edits to it will get removed if the file is opened in a newer version of Excel. Learn more: https://go.microsoft.com/fwlink/?linkid=870924
Comment:
    Intentar cambiar el chip, tipo con ingresos mensuales como haría una empresa potente real. No verlo con ojos de estudiante.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tc={16DCE0CA-2385-4392-A702-8DC35B1CB448}</author>
  </authors>
  <commentList>
    <comment ref="F6" authorId="0" shapeId="0" xr:uid="{16DCE0CA-2385-4392-A702-8DC35B1CB448}">
      <text>
        <t xml:space="preserve">[Threaded comment]
Your version of Excel allows you to read this threaded comment; however, any edits to it will get removed if the file is opened in a newer version of Excel. Learn more: https://go.microsoft.com/fwlink/?linkid=870924
Comment:
    Calculadora, más como herramienta </t>
      </text>
    </comment>
  </commentList>
</comments>
</file>

<file path=xl/sharedStrings.xml><?xml version="1.0" encoding="utf-8"?>
<sst xmlns="http://schemas.openxmlformats.org/spreadsheetml/2006/main" count="1340" uniqueCount="463">
  <si>
    <t>IguanaGo!</t>
  </si>
  <si>
    <t xml:space="preserve">Tras una época con cada vez un mayor éxito y visibilidad del panorama indie en el mundo de los videojuegos, surgió la idea de crear un título que captase un público general y accesible.
Comenzamos queriendo abordarlo con un juego en un estilo 2D plataformas y un metroidvania, pero rápidamente cambiamos al 3D por influencia y capacidades mayores del equipo a algo más ambicioso.
Al constar de una IP e idea base grande, nos decantamos por un género concreto y funcional como es el Dungeon Crawler, cogiendo gran influencia de Nintendo y de The Legend of Zelda: Link’s awakening en cuanto a diseño y mecánicas y The Legend of Zelda: Wind Waker en cuanto a banda sonora y sonido.
Aparte, queríamos innovar de alguna manera, por lo que probamos por tener un ritmo diferente al habitual, usando nuevas mecánicas y puzles con otro enfoque.
La idea surgió de buscar algo más grande con publishers y apoyo, por lo que el enfoque económico y de visibilidad en redes nació con el proyecto para la fundación y crecimiento de nuestra empresa y proyectos.
</t>
  </si>
  <si>
    <t>Alicia Berta Díaz Trabanco</t>
  </si>
  <si>
    <t>Estudiante en la universidad de UDIT en Desarrollo de videojuegos con varios proyectos gratuitos de videojuegos desarrollados hasta la fecha. Consta de educación secundaria, bachillerato y EBAU, y en educación universitaria, Graduado con el título HND de in Creative Media Production (Game Development) en ESNE Asturias.</t>
  </si>
  <si>
    <t>Ariel Díaz González</t>
  </si>
  <si>
    <t>Antigua estudiante de Ingeniería Informática en la Universidad de Oviedo y estudiante en la universidad de UDIT en Desarrollo de videojuegos con varios proyectos gratuitos de videojuegos desarrollados hasta la fecha. Consta de educación secundaria, bachillerato y EBAU, y en educación universitaria, Graduado con el título HND de in Creative Media Production (Game Development) en ESNE Asturias.</t>
  </si>
  <si>
    <t>Iago López Gómez</t>
  </si>
  <si>
    <t>IguanaGo se presenta como una nueva empresa de videojuegos indie centrada en juegos de PC trabajando desde España, pero con un público objetivo angloparlante, trabajando concretamente en géneros de aventuras (Dungeon crawlers) estilizados con un componente extra de historia inmersiva, con un equipo versátil y resiliente.
Queremos ser una empresa afianzada en el mercado internacional centrada en pocos, pero buenos desarrollos, perfeccionando su plantilla, proporcionando seguridad a los inversores y llegando a un público global.
Basamos nuestro trabajo interno en el respeto, profesionalidad y orden, junto con la inclusión, seguridad y soporte al cliente.</t>
  </si>
  <si>
    <t>Lucas García Dominguez</t>
  </si>
  <si>
    <t>Miguel Rodriguez Gallego</t>
  </si>
  <si>
    <t xml:space="preserve">La competencia en nuestro sector se puede definir en dos grandes grupos:
1º Una multitud de pequeñas empresas y consultores o desarrolladores individuales que – con mayor o menor acierto – intervienen en el mercado.
2º Una minoría de empresas de servicios supervivientes de las puntocom que prestan servicios, sobre todo, a grandes empresas y en algunos casos son
subsidiarias de las mismas.
En general y salvo honrosas excepciones hay tres características comunes muy relevantes:
1º Dispersión-falta de especialización: Fruto de las necesidades de supervivencia en estos años difíciles, todos los competidores han dispersado su actividad en todos
los puntos de lo que podemos denominar el “sector tecnológico” (desde la venta de ordenadores hasta la creación de páginas web).
2º Anclaje en conceptos superados, fruto de los años de las puntocom y muy pocabadaptación-comprensión de las nuevas necesidades.
3º Orientación a la tecnología con notable ausencia del marketing y la comprensión de las necesidades de los usuarios.
Por lo que respecta a nuestro posicionamiento como empresa, podemos decir que hay muchos que  
prometen lo que nosotros ofrecemos pero no existen auténticos especialistas que puedan ofrecer 
garantías.
Principales competidores.
Los competidores directos y relevantes en nuestro mercado empresarial son:
- AC Asesores tecnológicos
- Hig Tech
- Thompson LKH
- Graorn S.A.
- LiveTech
</t>
  </si>
  <si>
    <t>La principal barrera que se encuentra la empresa para su introducción en el mercado es la existencia de competidores muy experimentados con un gran conocimento del mercado que han obtenido tras una larga trayectoria de desarrollo a lo largo de sus 15 años de existencia. A parte del gran conocimiento del mercado, uno de los principales competidores y que actualmente ocupa un puesto de liderazgo dentro del sector, marcando el referente para el resto, desarrolla una excelente estrategia de recursos humanos orientada a la busqueda de perfiles altamente cualificados para la integración dentro de su equipo lo que le lleva a obtener una gran ventaja competitiva frente al resto.</t>
  </si>
  <si>
    <t xml:space="preserve">Tal y como hemos indicado, nuestras líneas de producto y servicio tienen tres vértices:
1º Desarrollo e implantación de campañas de marketing en Internet.
Naturalmente este servicio se prestará y orientará a medida de las necesidades
de cada cliente pero sobre la base de tres opciones:
(a) Diseño y planificación de campañas.
Incluyendo los conceptos estratégicos y los contenidos.
(b) Lanzamiento y gestión de dichas campañas por cuenta del cliente.
(c) Optimización de las campañas y-o formación del personal del cliente.
Las tres opciones son independientes entre sí pero – lógicamente – pueden
estar integradas en un único “pack” con un fee mensual ventajoso para el
propio cliente.
2º Desarrollo de los sitios web.
Mediante nuestro CMS exclusivo estaremos en condiciones de generar sitios web
en un plazo mínimo y a muy bajo coste, incluyendo sitios de e-commerce o que
requieran de transacciones económicas.
Este servicio también dispondrá de tres opciones o niveles:
(a) Diseño y desarrollo técnico del sitio.
(b) Desarrollo de contenidos no específicos.
(c) Implementación, puesta en marcha y formación de personal del cliente
para la gestión del CMS (cliente).
3º Gestión, actualización y mantenimiento de dichos sitios.
El tercer eje de servicio se fundamentará en la gestión y el mantenimiento de los
sitios generados, gracias a nuestros CMS se dispondrá de un sistema de gestión y
control centralizado y de bajo coste que permitirá mecanizar las tareas
repetitivas y monitorizar un alto volumen de sitios web dejando el
mantenimiento y la actualización específica del sitio al personal responsable del
cliente.
En esta línea ofreceremos dos productos diferenciales:
(a) Mantenimiento técnico y control de las webs en formato “pack por
volumen”.
(b) Formación del personal del cliente en la gestión del CMS (cliente).
Garantía de satisfacción:
Un elemento clave en la comercialización de nuestros servicios será la garantía
de satisfacción por la cual nos comprometemos al cumplimiento de unos
timings, unos estándares de calidad y de reparación de errores.
Esta garantía, junto al preceptivo contrato de prestación de servicios será el
elemento diferencial concreto más importante de nuestra política comercial.
Por otro lado, dicha garantía representará formalmente las obligaciones legales
que tenemos (todos) en la prestación de un servicio y establecerá un marco
“normativo” en forma positiva para la resolución de potenciales conflictos. En
definitiva será un punto fuerte de cara a la confianza del cliente pero no un
riesgo adicional para el negocio, todo lo contrario.
</t>
  </si>
  <si>
    <t>Mi empresa</t>
  </si>
  <si>
    <t>Competidor 1</t>
  </si>
  <si>
    <t>Competidor 2</t>
  </si>
  <si>
    <t xml:space="preserve">Nuestros potenciales clientes son:
1. Todas las empresas radicadas en la Comunidad de Madrid que deseen desarrollar u optimizar sus actividades en la web.
2. Las agencias de publicidad y empresas de servicios a terceros que deseen subcontratar sus campañas.
Los targets a los que nos dirigimos son, esencialmente:
Clientes - objetivo a corto plazo:
1º Empresas de más de 5 millones de facturación anual que venden sus productos al consumidor.
2º Cualquier empresa o proyecto que haga de Internet un medio esencial.
3º Agencias de publicidad medianas y pequeñas.
4º Cualquier AP que desee subcontratar este servicio.
Estos son los targets a los que vamos a dirigir nuestros esfuerzos preferentes,
debido a las dificultades de segmentación detallada dirigiremos nuestro esfuerzo
publicitario al conjunto de empresas de la comunidad y, naturalmente, no
rechazaremos ni perderemos ninguna oportunidad interesante
</t>
  </si>
  <si>
    <t>Emplazamiento</t>
  </si>
  <si>
    <t>Coste mensual por unidades</t>
  </si>
  <si>
    <t>Producto</t>
  </si>
  <si>
    <t>Consultoría</t>
  </si>
  <si>
    <t>Mismo producto</t>
  </si>
  <si>
    <t>La oficina estará ubicada en la C/ Ramón Alvarez nº 135. 28015 Madrid</t>
  </si>
  <si>
    <t>"IguanaGo se posiciona como un bastión en la industria de los videojuegos indie, priorizando la calidad sobre la cantidad. Nuestro enfoque se centra en pocos pero sobresalientes desarrollos, consolidando nuestra presencia en el mercado internacional.
Con sede en España pero con visión global, nuestros juegos de PC, especialmente en el género de aventuras (Dungeon crawlers), ofrecen una experiencia inmersiva y rica en historia, diseñada para un público angloparlante exigente.
Nuestra empresa se fundamenta en valores de respeto, profesionalismo y organización interna, mientras que hacia nuestros clientes promovemos la inclusión, seguridad y soporte constante.
Como un equipo versátil y resiliente, navegamos los desafíos del desarrollo de videojuegos con precisión y determinación, ofreciendo resultados excepcionales que brindan seguridad a nuestros inversores y satisfacen a nuestro público global."</t>
  </si>
  <si>
    <t>Precio</t>
  </si>
  <si>
    <t>Coste por unidad</t>
  </si>
  <si>
    <t>Precio de venta por unidad</t>
  </si>
  <si>
    <t>Ingresos por unidades vendidas</t>
  </si>
  <si>
    <t>Coste mensual de producción</t>
  </si>
  <si>
    <t>Calidad</t>
  </si>
  <si>
    <t>Buena</t>
  </si>
  <si>
    <t>Media</t>
  </si>
  <si>
    <t>Mala</t>
  </si>
  <si>
    <t>Transporte público</t>
  </si>
  <si>
    <t>Servicio</t>
  </si>
  <si>
    <t>ninguno</t>
  </si>
  <si>
    <t>Metro Lineas 2, 3, 6</t>
  </si>
  <si>
    <t>Producto A</t>
  </si>
  <si>
    <t>Experiencia</t>
  </si>
  <si>
    <t>Por parte del promotor</t>
  </si>
  <si>
    <t>10 años</t>
  </si>
  <si>
    <t>5 años</t>
  </si>
  <si>
    <t>Producto B</t>
  </si>
  <si>
    <t>Ubicación</t>
  </si>
  <si>
    <t>Excelente</t>
  </si>
  <si>
    <t>Producto C</t>
  </si>
  <si>
    <t>Métodos venta</t>
  </si>
  <si>
    <t>Ferias</t>
  </si>
  <si>
    <t>Contactos</t>
  </si>
  <si>
    <t>Plano de situación</t>
  </si>
  <si>
    <t>Producto D</t>
  </si>
  <si>
    <t>Publicidad</t>
  </si>
  <si>
    <t>Específica</t>
  </si>
  <si>
    <t>Producto E</t>
  </si>
  <si>
    <t>Imagen</t>
  </si>
  <si>
    <t>Producto F</t>
  </si>
  <si>
    <t>Producto G</t>
  </si>
  <si>
    <t>Producto H</t>
  </si>
  <si>
    <t>Asesoria</t>
  </si>
  <si>
    <t>Producto I</t>
  </si>
  <si>
    <t>Proveedores de sistemas informáticos.</t>
  </si>
  <si>
    <t>Producto J</t>
  </si>
  <si>
    <t>Bueno</t>
  </si>
  <si>
    <t xml:space="preserve">Medio </t>
  </si>
  <si>
    <t>Plan de ventas primer año</t>
  </si>
  <si>
    <t>¡Atención! Ventas y compras sin IVA</t>
  </si>
  <si>
    <t>Ninguna</t>
  </si>
  <si>
    <t xml:space="preserve">2 años </t>
  </si>
  <si>
    <t>3 años</t>
  </si>
  <si>
    <t>Meses</t>
  </si>
  <si>
    <t>Ventas</t>
  </si>
  <si>
    <t>Páginas web</t>
  </si>
  <si>
    <t xml:space="preserve">Ahora mismo ya no existe ninguna duda de que Internet, entre otras cosas, es y será mucho más en los años inmediatos:
1. La herramienta publicitaria y de contacto con los clientes por excelencia para las empresas.
2. El medio publicitario hacia el cual se dirigirá el mayor esfuerzo inversor de las empresas.
3. Un medio incomparable para la creación de nuevos proyectos comerciales.
Esto es posible, básicamente, gracias a:
1. La existencia de herramientas muy eficaces y que no existían en los años de las puntocom .
2. El enorme crecimiento de los usuarios de Internet.
3. La saturación y dispersión de los medios tradicionales, que se verá incrementada con la aparición de multitud de canales de la TV digital.
4. Las nuevas tendencias en marketing (fruto de lo anterior) como el “buzzmarketing” y similares que sólo son posibles gracias a la tecnología.
5. El desarrollo de los sistemas de comunicación que ya permite disponer de conexiones a Internet con telefonía móvil. 
6. El desarrollo de nuevos productos de electrónica de consumo basados en la conectividad a Internet.
Todos estos elementos se traducen – para nuestra empresa – en miles de potenciales clientes 
Tenemos la experiencia necesaria para aprovechar esta oportunidad con éxito, ya que:
1º Somos especialistas, conocedores de las claves precisas para tener éxito en Internet. 
2º Nuestra experiencia es claramente demostrable. Aportaremos experiencia real y demostrable.
3º Nuestros servicios incluirán al alto valor añadido y significarán un enorme ahorro de costes.
4º Podemos ser altamente competitivos en rapidez de respuesta y en precio, fruto de nuestro CMS.
5º Por esa misma razón podemos ofrecer servicios a un amplio espectro de clientes.
</t>
  </si>
  <si>
    <t>Plan de compras/costes primer año</t>
  </si>
  <si>
    <t xml:space="preserve">La comercialización de nuestros servicios se orientará en tres líneas:
1ª Pack integral de campaña, previo presupuesto adecuado al volumen y de coste
cerrado.
2º Servicios de coste acumulativo con pago de fee mensual y contratación anual.
3º Servicios puntuales con presupuesto cerrado y adecuado al volumen de
compras.
Se adjunta lista de servicios y precios según volumen
</t>
  </si>
  <si>
    <t>Periodicidad</t>
  </si>
  <si>
    <t>Duración</t>
  </si>
  <si>
    <t>Coste</t>
  </si>
  <si>
    <t>Venta personal</t>
  </si>
  <si>
    <t>Quincenal</t>
  </si>
  <si>
    <t>15 días</t>
  </si>
  <si>
    <t>Marketing directo</t>
  </si>
  <si>
    <t>Mensual</t>
  </si>
  <si>
    <t>1mes</t>
  </si>
  <si>
    <t>Compras/costes</t>
  </si>
  <si>
    <t>Telemarketing</t>
  </si>
  <si>
    <t>Merchandising</t>
  </si>
  <si>
    <t>Anual</t>
  </si>
  <si>
    <t>1 año</t>
  </si>
  <si>
    <t>Trimestral</t>
  </si>
  <si>
    <t>3 meses</t>
  </si>
  <si>
    <t>Prensa</t>
  </si>
  <si>
    <t>Fotografías</t>
  </si>
  <si>
    <t>Radio</t>
  </si>
  <si>
    <t>Diseño de campaña</t>
  </si>
  <si>
    <t>Televisión</t>
  </si>
  <si>
    <t>Internet</t>
  </si>
  <si>
    <t>Concursos</t>
  </si>
  <si>
    <t>Total de ventas y compras primer año</t>
  </si>
  <si>
    <t>Premios</t>
  </si>
  <si>
    <t>Descuentos</t>
  </si>
  <si>
    <t>1 mes</t>
  </si>
  <si>
    <t>AÑO 1</t>
  </si>
  <si>
    <t>Paquetes promocionales</t>
  </si>
  <si>
    <t>Otras promociones</t>
  </si>
  <si>
    <t>CONCLUSIONES</t>
  </si>
  <si>
    <t>Buena posición frente a los competidores.</t>
  </si>
  <si>
    <t xml:space="preserve">1º Desarrollo CMS:
Partimos de una base ya desarrollada por nuestro equipo, con lo cual sólo serán&lt; precisos una serie de ajustes enfocados a su función eminentemente productiva.
Prevemos un desarrollo de 6 meses y un período de prueba/ajuste de 4 meses adicionales.
El desarrollo lo realizará el actual equipo técnico con programadores subcontratados en el exterior.
2º Desarrollo webs propias:
Prevemos un desarrollo de 6 meses y un período de prueba/ajuste de 2 meses adicionales.
El desarrollo lo realizará el actual equipo técnico con programadores subcontratados en el exterior.
3º Selección y formación del personal inicial:
La selección correrá a cargo de una empresa especializada de reconocido prestigio en Madrid.
Prevemos 4 meses de proceso de selección.
El personal contratado recibirá un curso de formación de diversa intensidad según el puesto de trabajo. Los cursos de formación se desarrollarán en el primer mes de actividad, salvo los cursos para la fuerza de ventas que se desarrollarán en el mes anterior.
4º Infraestructuras:
Prevemos el alquiler de las oficinas 7 meses antes del inicio de la actividad comercial, desde dichas instalaciones y de forma provisional se harán los trabajos preparatorios.
Las instalaciones y el equipamiento final de las oficinas se realizarán los tres meses anteriores al lanzamiento comercial.
5º Inversiones:
Los pedidos se realizarán durante los 5 meses anteriores para que puedan estar disponibles en el momento del inicio de la actividad.
Fechas clave:
1º Inicio desarrollos: CMS y webs corporativas MES -7
Coincidiendo con el alquiler de las oficinas y el inicio de la contratación de servicios y los pedidos.
2º Selección de personal: Inicio MES -4
3º Inicio de la actividad comercial: MES 1
4º Fase de lanzamiento del negocio: MESES 1,2 y 3.
</t>
  </si>
  <si>
    <t>Los recursos con los que dispone actualmente la empresa son: 3 equipos informáticos y el diseño y desarrollo del software para el diseño y venta de la aplicación.</t>
  </si>
  <si>
    <t xml:space="preserve">El objetivo de nuestro Plan especial de Lanzamiento es obtener notoriedad desde el primer minuto. No somos una empresa más, queremos hacernos notar en todos los ámbitos y para ello desarrollaremos una suma de acciones y mini-campañas que pretenden generar un efecto novedad positivo para nuestros intereses.
Nuestros objetivos son:
1.- Hacernos notar: que las empresas de nuestro entorno nos conozcan a la mayor brevedad.
2.- Posicionarnos desde el primer momento como una compañía muy relevante que aporta calidad y valor añadido
</t>
  </si>
  <si>
    <t>Los condicionantes a los que tendrá que hacer frente la empresa se deberán a posibles imprevistos que surgan en los siguientes campos: retraso en la obtención de la licencia para el despacho, demora en la aprobación de las lineas financieras solicitadas así como demora en todas las tareas referentes al acondicionamiento del local por parte de los distintos agentes que serán contratados para la realización de las mismas.</t>
  </si>
  <si>
    <t>La empresa cuenta con los siguientes recursos inmateriales: la obtención de una patente para la aplicación informática.</t>
  </si>
  <si>
    <t>Area 1</t>
  </si>
  <si>
    <t>Dependientes de la Dirección General:</t>
  </si>
  <si>
    <t xml:space="preserve">Dirección de la empresa.
- Administración de la empresa:
La empresa estará dirigida por un Consejo de Administración formado por 5 miembros y un secretario no consejero.
- Composición inicial:
Presidente: Julián Varcárcel.
Consejero Delegado: Luís García.
Vocal: Helena Sánchez
2 vocales a disposición de nuevos inversores.
Secretario no consejero: Jesús Román.
- Dirección operativa: Comité de Dirección
Director General: Luís García.
Director Financiero: pendiente de selección.
Director de Marketing y Ventas: Jesús Román.
Director Técnico: Helena Sánchez.
Directora de Proyectos de Desarrollo: Juana Fernández.
</t>
  </si>
  <si>
    <t>Trabajador 1</t>
  </si>
  <si>
    <t>Puesto</t>
  </si>
  <si>
    <t>Funciones</t>
  </si>
  <si>
    <t>• Atención al Cliente.
• Control de Calidad</t>
  </si>
  <si>
    <t xml:space="preserve">• Modelado de props •Modelado de escenario </t>
  </si>
  <si>
    <t>Perfil</t>
  </si>
  <si>
    <t>Artista</t>
  </si>
  <si>
    <t>Salario</t>
  </si>
  <si>
    <t>Puestos de trabajo</t>
  </si>
  <si>
    <t>Cat.profesional</t>
  </si>
  <si>
    <t>Beneficios sociales</t>
  </si>
  <si>
    <t>Ninguno</t>
  </si>
  <si>
    <t>1 puesto de trabajo.</t>
  </si>
  <si>
    <t>Tipo contrato</t>
  </si>
  <si>
    <t>Contrato indefinido</t>
  </si>
  <si>
    <t>Vacaciones</t>
  </si>
  <si>
    <t>Periodo prueba</t>
  </si>
  <si>
    <t>6 meses</t>
  </si>
  <si>
    <t>Costes seg. social</t>
  </si>
  <si>
    <t>Horario</t>
  </si>
  <si>
    <t>08:00 - 15:00</t>
  </si>
  <si>
    <t>Costes s.s. autónom.</t>
  </si>
  <si>
    <t>Jornada</t>
  </si>
  <si>
    <t>Completa</t>
  </si>
  <si>
    <t>Fecha de inicio</t>
  </si>
  <si>
    <t>Area 2</t>
  </si>
  <si>
    <t>Dependientes de la Dirección Financiera:</t>
  </si>
  <si>
    <t>Trabajador 2</t>
  </si>
  <si>
    <t>Ariel Díaz Gonzalez</t>
  </si>
  <si>
    <t>• Administración y finanzas.
• Recursos Humanos y formación.
• Servicios y mantenimiento</t>
  </si>
  <si>
    <t>•Dirección de arte •Modelado de personajes •Retopologia de personajes •Rigging de personajes</t>
  </si>
  <si>
    <t>•Animación de personajes</t>
  </si>
  <si>
    <t>Artista principal</t>
  </si>
  <si>
    <t>Convenio aplicable al sector</t>
  </si>
  <si>
    <t>Area 3</t>
  </si>
  <si>
    <t>Dependientes de la Dirección de Marketing y Ventas:</t>
  </si>
  <si>
    <t>Trabajador 3</t>
  </si>
  <si>
    <t>Celia Rodriguez</t>
  </si>
  <si>
    <t>• Marketing.
• Telemarketing.
• Ventas.</t>
  </si>
  <si>
    <t>• Marketing.• Telemarketing.• Ventas.</t>
  </si>
  <si>
    <t>Agente comercial</t>
  </si>
  <si>
    <t xml:space="preserve"> </t>
  </si>
  <si>
    <t>30% del Salario base.</t>
  </si>
  <si>
    <t>08.00 - 15:00</t>
  </si>
  <si>
    <t>Area 4</t>
  </si>
  <si>
    <t>Dependiente de la Dirección de Desarrollo de Proyectos:</t>
  </si>
  <si>
    <t>Trabajador 4</t>
  </si>
  <si>
    <t>Externalización del área de Prevención de Riesgos laborales a la Empresa PREVENCIÓN S.L</t>
  </si>
  <si>
    <t>• Desarrollo de proyectos.
• Investigación y desarrollo CMS.</t>
  </si>
  <si>
    <t>• Concept design •Dirección de diseño •Dirección de programación</t>
  </si>
  <si>
    <t>Diseñador y programador</t>
  </si>
  <si>
    <t>Diseñador y programador principal</t>
  </si>
  <si>
    <t>La política de contratación de la empresa se rige por el principio de favorecer la zona de ubicación de la empresa en este sentido se ha fijado como directriz que la contratación de todo el personal necesario será residente en dicha zona.</t>
  </si>
  <si>
    <t>SOCIEDAD DE RESPONSABILIDAD LIMITADA con un capital social de 3100 euros</t>
  </si>
  <si>
    <t>Licencias urbanísticas</t>
  </si>
  <si>
    <t>Plazo de obtención</t>
  </si>
  <si>
    <t>Licencia 1</t>
  </si>
  <si>
    <t>Licencia 2</t>
  </si>
  <si>
    <t>Régimen general de IVA e IMPUESTO DE SOCIEDADES</t>
  </si>
  <si>
    <t>Licencia 3</t>
  </si>
  <si>
    <t>Autorizac.administrativas</t>
  </si>
  <si>
    <t>560,2 ; 360,5 ; 780,2</t>
  </si>
  <si>
    <t>Autorización 1</t>
  </si>
  <si>
    <t>Autorización 2</t>
  </si>
  <si>
    <t>Autorización 3</t>
  </si>
  <si>
    <t xml:space="preserve">Costes de gestión </t>
  </si>
  <si>
    <t>Régimen especial de autónomos</t>
  </si>
  <si>
    <t>Interna/Externa</t>
  </si>
  <si>
    <t>Período</t>
  </si>
  <si>
    <t>Coste año</t>
  </si>
  <si>
    <t>Gestión contable</t>
  </si>
  <si>
    <t>Externa</t>
  </si>
  <si>
    <t>ORGANO DE ADMINISTRACION</t>
  </si>
  <si>
    <t>Gestión fiscal</t>
  </si>
  <si>
    <t>Gestión mercantil</t>
  </si>
  <si>
    <t>Interno</t>
  </si>
  <si>
    <t>Administrador único</t>
  </si>
  <si>
    <t>Gestión laboral</t>
  </si>
  <si>
    <t>Externo</t>
  </si>
  <si>
    <t>Asesoramiento jurídico</t>
  </si>
  <si>
    <t>Seguros</t>
  </si>
  <si>
    <t>Responsabilidad civil</t>
  </si>
  <si>
    <t>Local comercial</t>
  </si>
  <si>
    <t>2 años</t>
  </si>
  <si>
    <t>El único socio de la empresa aparte de ser socio capitalista será socio trabajador</t>
  </si>
  <si>
    <t>Cambio de moneda</t>
  </si>
  <si>
    <t>La estrategia fijada para la gestión de la empresa gira entorno a la coordinación y participación de todas las personas integrantes en la misma.</t>
  </si>
  <si>
    <t>La actual sociedad ha registrado las siguientes marcas y patentes:
- IBS CMS, Internet Business Services, Ibs.es, Ibs.com y 14 derivados similares.</t>
  </si>
  <si>
    <t>La empresa tiene previsto la contratación de un seguro de responsabilidad para el local de ubicación de sus instalaciones.</t>
  </si>
  <si>
    <t>Solicitud de licencia para despacho profesional. Estado: en tramitación</t>
  </si>
  <si>
    <t>MESES</t>
  </si>
  <si>
    <t>Mes 1</t>
  </si>
  <si>
    <t>Mes 2</t>
  </si>
  <si>
    <t>Mes 3</t>
  </si>
  <si>
    <t>Mes 4</t>
  </si>
  <si>
    <t>Mes 5</t>
  </si>
  <si>
    <t>Mes 6</t>
  </si>
  <si>
    <t>Mes 7</t>
  </si>
  <si>
    <t>Mes 8</t>
  </si>
  <si>
    <t>Mes 9</t>
  </si>
  <si>
    <t>Mes 10</t>
  </si>
  <si>
    <t>Mes 11</t>
  </si>
  <si>
    <t>Mes 12</t>
  </si>
  <si>
    <t>Previsión tres primeros años</t>
  </si>
  <si>
    <t>Año 1</t>
  </si>
  <si>
    <t>Año 2</t>
  </si>
  <si>
    <t>Año 3</t>
  </si>
  <si>
    <t>Compras</t>
  </si>
  <si>
    <t>Incremento anual previsto ventas (%)</t>
  </si>
  <si>
    <t>Incremento anual previsto compras (%)</t>
  </si>
  <si>
    <t>INVERSIÓN</t>
  </si>
  <si>
    <t>INICIAL</t>
  </si>
  <si>
    <t>FINANCIACIÓN</t>
  </si>
  <si>
    <t>ACTIVO FIJO</t>
  </si>
  <si>
    <t>RECURSOS PROPIOS</t>
  </si>
  <si>
    <t>Capital</t>
  </si>
  <si>
    <t>Inmovilizado Inmaterial</t>
  </si>
  <si>
    <t>IVA</t>
  </si>
  <si>
    <t>EXIGIBLE A L/P</t>
  </si>
  <si>
    <t>Patentes y marcas</t>
  </si>
  <si>
    <t>Préstamos a l/p</t>
  </si>
  <si>
    <t>Derechos de traspaso</t>
  </si>
  <si>
    <t>Aplicaciones informáticas</t>
  </si>
  <si>
    <t>Leasing</t>
  </si>
  <si>
    <t>Inmovilizado Material</t>
  </si>
  <si>
    <t>TOTAL Largo Plazo</t>
  </si>
  <si>
    <t>Terrenos</t>
  </si>
  <si>
    <t>Construcciones</t>
  </si>
  <si>
    <t>EXIGIBLE A C/P</t>
  </si>
  <si>
    <t>Maquinaria</t>
  </si>
  <si>
    <t>Préstamos a c/p</t>
  </si>
  <si>
    <t>Herramientas y útiles</t>
  </si>
  <si>
    <t>Mobiliario</t>
  </si>
  <si>
    <t>Equipos informáticos</t>
  </si>
  <si>
    <t>Elementos de transporte</t>
  </si>
  <si>
    <t>Otros</t>
  </si>
  <si>
    <t>TOTAL Corto Plazo</t>
  </si>
  <si>
    <t>Inmovilizado Financiero</t>
  </si>
  <si>
    <t>Fianzas</t>
  </si>
  <si>
    <t>TOTAL FINANCIACIÓN</t>
  </si>
  <si>
    <t>TOTAL ACTIVO FIJO</t>
  </si>
  <si>
    <t>ACTIVO CIRCULANTE</t>
  </si>
  <si>
    <t>Existencias</t>
  </si>
  <si>
    <t>Deudores</t>
  </si>
  <si>
    <t>Clientes</t>
  </si>
  <si>
    <t>Administraciones públicas</t>
  </si>
  <si>
    <t>Hacienda deudora por IVA</t>
  </si>
  <si>
    <t>Tesoreria</t>
  </si>
  <si>
    <t>TOTAL ACTIVO CIRCULANTE</t>
  </si>
  <si>
    <t>TOTAL INVERSIONES</t>
  </si>
  <si>
    <t>Prestamo</t>
  </si>
  <si>
    <t>Plazo (años)</t>
  </si>
  <si>
    <t>Tipo de interes (TAE)</t>
  </si>
  <si>
    <t>Año1 (*)</t>
  </si>
  <si>
    <t>Año 2 (*)</t>
  </si>
  <si>
    <t>Año 3 (*)</t>
  </si>
  <si>
    <t>Principal</t>
  </si>
  <si>
    <t>Intereses</t>
  </si>
  <si>
    <t>TOTAL</t>
  </si>
  <si>
    <t>Años</t>
  </si>
  <si>
    <t>Amort. Anual</t>
  </si>
  <si>
    <t>Año3</t>
  </si>
  <si>
    <t>TOTAL AMORTIZACIÓN</t>
  </si>
  <si>
    <t>(*)</t>
  </si>
  <si>
    <t>Cuota calculada mediante tabla de amortización de préstamo</t>
  </si>
  <si>
    <t>CONCEPTOS</t>
  </si>
  <si>
    <t>AÑO 2</t>
  </si>
  <si>
    <t>AÑO 3</t>
  </si>
  <si>
    <t>VENTAS (A)</t>
  </si>
  <si>
    <t>COSTES VARIABLES (B)</t>
  </si>
  <si>
    <t>Consumo materias primas o productos</t>
  </si>
  <si>
    <t>Mano de obra directa</t>
  </si>
  <si>
    <t>Otros gastos generales de fabricación o de prestación de servicios</t>
  </si>
  <si>
    <t>MARGEN BRUTO (C = A – B)</t>
  </si>
  <si>
    <t>COSTES FIJOS (D): (sin incluir intereses)</t>
  </si>
  <si>
    <t>Arrendamientos</t>
  </si>
  <si>
    <t>Comunicación</t>
  </si>
  <si>
    <t>Transportes</t>
  </si>
  <si>
    <t>Servicios de profesionales independientes</t>
  </si>
  <si>
    <t>Material oficina</t>
  </si>
  <si>
    <t>Reparaciones y conservación</t>
  </si>
  <si>
    <t>Suministros</t>
  </si>
  <si>
    <t>Mano de obra indirecta (salarios + S.S.)</t>
  </si>
  <si>
    <t>Tributos</t>
  </si>
  <si>
    <t>Amortizaciones</t>
  </si>
  <si>
    <t>Otros gastos</t>
  </si>
  <si>
    <t>Incremento previsto costes variables (%)</t>
  </si>
  <si>
    <t>Incremento previsto costes fijos (%)</t>
  </si>
  <si>
    <t>Impuesto de sociedades</t>
  </si>
  <si>
    <t>HOJA 1</t>
  </si>
  <si>
    <t>HOJA 2</t>
  </si>
  <si>
    <t>HOJA 3</t>
  </si>
  <si>
    <t>HOJA 4</t>
  </si>
  <si>
    <t>HOJA 5</t>
  </si>
  <si>
    <t>HOJA 6</t>
  </si>
  <si>
    <t>HOJA 7</t>
  </si>
  <si>
    <t>CONCEPTO</t>
  </si>
  <si>
    <t>Mes 13</t>
  </si>
  <si>
    <t>Mes 14</t>
  </si>
  <si>
    <t>Mes 15</t>
  </si>
  <si>
    <t>Mes 16</t>
  </si>
  <si>
    <t>Mes 17</t>
  </si>
  <si>
    <t>Mes 18</t>
  </si>
  <si>
    <t>Mes 19</t>
  </si>
  <si>
    <t>Mes 20</t>
  </si>
  <si>
    <t>Mes 21</t>
  </si>
  <si>
    <t>Mes 22</t>
  </si>
  <si>
    <t>Mes 23</t>
  </si>
  <si>
    <t>Mes 24</t>
  </si>
  <si>
    <t>Mes 25</t>
  </si>
  <si>
    <t>Mes 26</t>
  </si>
  <si>
    <t>Mes 27</t>
  </si>
  <si>
    <t>Mes 28</t>
  </si>
  <si>
    <t>Mes 29</t>
  </si>
  <si>
    <t>Mes 30</t>
  </si>
  <si>
    <t>Mes 31</t>
  </si>
  <si>
    <t>Mes 32</t>
  </si>
  <si>
    <t>Mes 33</t>
  </si>
  <si>
    <t>Mes 34</t>
  </si>
  <si>
    <t>Mes 35</t>
  </si>
  <si>
    <t>Mes 36</t>
  </si>
  <si>
    <t>Total año 1</t>
  </si>
  <si>
    <t>Total año 2</t>
  </si>
  <si>
    <t>Total año 3</t>
  </si>
  <si>
    <t>Coste de las ventas</t>
  </si>
  <si>
    <t>Por compras</t>
  </si>
  <si>
    <t>Margen bruto</t>
  </si>
  <si>
    <t>M. obra indirecta (salarios + S.S.)</t>
  </si>
  <si>
    <t>Serv. Profesionales</t>
  </si>
  <si>
    <t>Reparac. y conserv.</t>
  </si>
  <si>
    <t>Total gastos gener.</t>
  </si>
  <si>
    <t>BAIT</t>
  </si>
  <si>
    <t>Intereses deuda Lp.</t>
  </si>
  <si>
    <t>BAT</t>
  </si>
  <si>
    <t>Impuesto Sociedades</t>
  </si>
  <si>
    <t>BDT</t>
  </si>
  <si>
    <t>PEF-6</t>
  </si>
  <si>
    <t>Superred.</t>
  </si>
  <si>
    <t>Reducido</t>
  </si>
  <si>
    <t>General</t>
  </si>
  <si>
    <t>IVA REPERCUTIDO</t>
  </si>
  <si>
    <t>TIPO IVA</t>
  </si>
  <si>
    <t>IVA TRES PRIMEROS AÑOS</t>
  </si>
  <si>
    <t>Ventas Totales</t>
  </si>
  <si>
    <t>Ventas totales</t>
  </si>
  <si>
    <t>IVA Repercutido</t>
  </si>
  <si>
    <t>Otros Costes</t>
  </si>
  <si>
    <t>Compras+costes</t>
  </si>
  <si>
    <t>Ventas IVA red.</t>
  </si>
  <si>
    <t>Ventas IVA gen.</t>
  </si>
  <si>
    <t>IVA Sop. Compr.</t>
  </si>
  <si>
    <t>IVA Sop. Inv.</t>
  </si>
  <si>
    <t>IVA SOPORTADO</t>
  </si>
  <si>
    <t>IVA Sop. TOTAL</t>
  </si>
  <si>
    <t>IVA a Liquidar</t>
  </si>
  <si>
    <t>Nota: Se supone que los tipos de IVA repercutido y soportado de los años 2 y 3 son proporcionales a los del año 1.</t>
  </si>
  <si>
    <t>IVA Soportado</t>
  </si>
  <si>
    <t>SALDO INICIAL</t>
  </si>
  <si>
    <t>IVA Repercutido Sr.</t>
  </si>
  <si>
    <t>IVA Repercutido Rd.</t>
  </si>
  <si>
    <t>IVA Repercutido Gen.</t>
  </si>
  <si>
    <t>Total IVA Repercutido</t>
  </si>
  <si>
    <t>Cobros ventas</t>
  </si>
  <si>
    <t>S.INICIAL + COBROS</t>
  </si>
  <si>
    <t>Pagos</t>
  </si>
  <si>
    <t>Año anterior</t>
  </si>
  <si>
    <t>Por gastos generales</t>
  </si>
  <si>
    <t>Mano obra indirecta</t>
  </si>
  <si>
    <t>Pagos por inversiones</t>
  </si>
  <si>
    <t>Devolución ptmo. Cp.</t>
  </si>
  <si>
    <t>Devolución ptmo. Lp.</t>
  </si>
  <si>
    <t>Por Impuesto Socied.</t>
  </si>
  <si>
    <t>Hac. Deudora IVA</t>
  </si>
  <si>
    <t>IVA Soportado Sr.</t>
  </si>
  <si>
    <t>IVA Soportado Rd.</t>
  </si>
  <si>
    <t>IVA Soportado Gen.</t>
  </si>
  <si>
    <t>Total IVA Soportado</t>
  </si>
  <si>
    <t>IVA Rep-Sop</t>
  </si>
  <si>
    <t>IVA a pagar</t>
  </si>
  <si>
    <t>Total Pagos</t>
  </si>
  <si>
    <t>SALDO FINAL</t>
  </si>
  <si>
    <t>ACTIVO</t>
  </si>
  <si>
    <t>Amortización Acumulada</t>
  </si>
  <si>
    <t>TOTAL ACTIVO</t>
  </si>
  <si>
    <t>PASIVO</t>
  </si>
  <si>
    <t xml:space="preserve">RECURSOS PERMANENTES </t>
  </si>
  <si>
    <t>Recursos propios</t>
  </si>
  <si>
    <t>Pérdidas y Ganancias más Reservas</t>
  </si>
  <si>
    <t>Exigible a  L/P</t>
  </si>
  <si>
    <t>Proveedores inmovilizado</t>
  </si>
  <si>
    <t>Acreedores leasing l/p</t>
  </si>
  <si>
    <t>Otras deudas a l/p (Aportación socios)</t>
  </si>
  <si>
    <t>Exigible a  C/P</t>
  </si>
  <si>
    <t xml:space="preserve">Proveedores  </t>
  </si>
  <si>
    <t>Acreedores leasing c/p</t>
  </si>
  <si>
    <t>Administraciones Públicas</t>
  </si>
  <si>
    <t>Otras deudas a corto plazo</t>
  </si>
  <si>
    <t>TOTAL PASIVO</t>
  </si>
  <si>
    <t>TOTAL PASIVO CORREGIDO</t>
  </si>
  <si>
    <t>LIQUIDEZ</t>
  </si>
  <si>
    <t>AC/DEUDAS CORTO PLAZO</t>
  </si>
  <si>
    <t>AC</t>
  </si>
  <si>
    <r>
      <t>D</t>
    </r>
    <r>
      <rPr>
        <vertAlign val="subscript"/>
        <sz val="10"/>
        <color indexed="9"/>
        <rFont val="Arial"/>
        <family val="2"/>
      </rPr>
      <t xml:space="preserve"> C/P</t>
    </r>
  </si>
  <si>
    <t>RATIO</t>
  </si>
  <si>
    <t>FONDO DE MANIOBRA</t>
  </si>
  <si>
    <t>AC-EXIGIBLE CORTO PLAZO</t>
  </si>
  <si>
    <t>EXIGIBLEC/P</t>
  </si>
  <si>
    <t>TESORERIA</t>
  </si>
  <si>
    <t>(REALIZABLE+DISPONIBLE)/EXIGIBLE CORTO PLAZO</t>
  </si>
  <si>
    <t>R+D</t>
  </si>
  <si>
    <t>ENDEUDAMIENTO</t>
  </si>
  <si>
    <t>(EXIGIBLE C/P+EXIGIBLE L/P) / TOTAL PASIVO</t>
  </si>
  <si>
    <r>
      <t>E</t>
    </r>
    <r>
      <rPr>
        <vertAlign val="subscript"/>
        <sz val="10"/>
        <color indexed="9"/>
        <rFont val="Arial"/>
        <family val="2"/>
      </rPr>
      <t>C/P+</t>
    </r>
    <r>
      <rPr>
        <sz val="10"/>
        <color indexed="9"/>
        <rFont val="Arial"/>
        <family val="2"/>
      </rPr>
      <t>E</t>
    </r>
    <r>
      <rPr>
        <vertAlign val="subscript"/>
        <sz val="10"/>
        <color indexed="9"/>
        <rFont val="Arial"/>
        <family val="2"/>
      </rPr>
      <t>L/P</t>
    </r>
  </si>
  <si>
    <t>PT</t>
  </si>
  <si>
    <t>Debe estar entre 0,4 y 0,7</t>
  </si>
  <si>
    <t>RENTABILIDAD ECONÓMICA</t>
  </si>
  <si>
    <t>BENEFICIO ANTES DE IMPUESTOS*100/ACTIVO TOTAL</t>
  </si>
  <si>
    <t>AT</t>
  </si>
  <si>
    <t>RENTABILIDAD FINANCIERA</t>
  </si>
  <si>
    <t>BENEFICIO DESPUÉS DE IMPUESTOS *100/RECURSOS PROPIOS</t>
  </si>
  <si>
    <t>RP</t>
  </si>
  <si>
    <t>PUNTO MUERTO</t>
  </si>
  <si>
    <t>INGRESOS TOTALES=COSTES TOTALES</t>
  </si>
  <si>
    <t>IT</t>
  </si>
  <si>
    <t>CT</t>
  </si>
  <si>
    <t>PM</t>
  </si>
  <si>
    <t>CAPACIDAD DEVOLUCIÓN PRESTAMOS</t>
  </si>
  <si>
    <t>(BENEFICIO NETO+AMORTIZACIONES)/ (EC/P+EL/P)</t>
  </si>
  <si>
    <t>BN+A</t>
  </si>
  <si>
    <t>EC/P+EL/P</t>
  </si>
  <si>
    <t>RATIOS</t>
  </si>
  <si>
    <t>CASH FLOW</t>
  </si>
  <si>
    <t>RESULTADO DEL EJERCICIO + AMORTIZACIONES + PROVISIONES</t>
  </si>
  <si>
    <t>RDO1</t>
  </si>
  <si>
    <t>A+P (1)</t>
  </si>
  <si>
    <t>RDO2</t>
  </si>
  <si>
    <t>A+P (2)</t>
  </si>
  <si>
    <t>CF</t>
  </si>
  <si>
    <t>Capital inicial:</t>
  </si>
  <si>
    <t>Tipo de interés nominal:</t>
  </si>
  <si>
    <t>Plazo en años (máximo 10 años):</t>
  </si>
  <si>
    <t>Periodos de pago/año:</t>
  </si>
  <si>
    <t>Prepagable (1) o pospagable (0)</t>
  </si>
  <si>
    <t>Periodos de pago</t>
  </si>
  <si>
    <t xml:space="preserve">Cuota </t>
  </si>
  <si>
    <t>Amortización del principal</t>
  </si>
  <si>
    <t>Amortización acumulada del principal</t>
  </si>
  <si>
    <t>Capital 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</si>
</sst>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_€_-;\-* #,##0\ _€_-;_-* &quot;-&quot;\ _€_-;_-@_-"/>
    <numFmt numFmtId="165" formatCode="0.0%"/>
    <numFmt numFmtId="166" formatCode="#,##0.00_ ;\-#,##0.00\ "/>
  </numFmts>
  <fonts count="29">
    <font>
      <sz val="10"/>
      <name val="Arial"/>
    </font>
    <font>
      <sz val="10"/>
      <name val="Arial"/>
    </font>
    <font>
      <sz val="8"/>
      <name val="Arial"/>
      <family val="2"/>
    </font>
    <font>
      <b/>
      <sz val="14"/>
      <name val="Arial"/>
      <family val="2"/>
    </font>
    <font>
      <b/>
      <sz val="10"/>
      <color indexed="9"/>
      <name val="Arial"/>
      <family val="2"/>
    </font>
    <font>
      <sz val="10"/>
      <color indexed="9"/>
      <name val="Arial"/>
      <family val="2"/>
    </font>
    <font>
      <sz val="10"/>
      <name val="Arial"/>
      <family val="2"/>
    </font>
    <font>
      <b/>
      <sz val="18"/>
      <name val="Arial"/>
      <family val="2"/>
    </font>
    <font>
      <b/>
      <sz val="10"/>
      <name val="Arial"/>
      <family val="2"/>
    </font>
    <font>
      <sz val="10"/>
      <color indexed="12"/>
      <name val="Arial"/>
      <family val="2"/>
    </font>
    <font>
      <b/>
      <sz val="10"/>
      <color indexed="10"/>
      <name val="Arial"/>
      <family val="2"/>
    </font>
    <font>
      <sz val="10"/>
      <color indexed="48"/>
      <name val="Arial"/>
      <family val="2"/>
    </font>
    <font>
      <b/>
      <sz val="10"/>
      <color indexed="12"/>
      <name val="Arial"/>
      <family val="2"/>
    </font>
    <font>
      <vertAlign val="subscript"/>
      <sz val="10"/>
      <color indexed="9"/>
      <name val="Arial"/>
      <family val="2"/>
    </font>
    <font>
      <b/>
      <sz val="8"/>
      <color indexed="9"/>
      <name val="Arial"/>
      <family val="2"/>
    </font>
    <font>
      <sz val="8"/>
      <color indexed="9"/>
      <name val="Arial"/>
      <family val="2"/>
    </font>
    <font>
      <b/>
      <sz val="14"/>
      <color indexed="9"/>
      <name val="Museo 700"/>
      <family val="3"/>
    </font>
    <font>
      <sz val="10"/>
      <color indexed="9"/>
      <name val="Museo 300"/>
      <family val="3"/>
    </font>
    <font>
      <b/>
      <sz val="18"/>
      <color indexed="9"/>
      <name val="Museo 700"/>
      <family val="3"/>
    </font>
    <font>
      <b/>
      <sz val="10"/>
      <color indexed="9"/>
      <name val="Museo 700"/>
      <family val="3"/>
    </font>
    <font>
      <sz val="10"/>
      <color indexed="9"/>
      <name val="Museo 700"/>
      <family val="3"/>
    </font>
    <font>
      <i/>
      <sz val="10"/>
      <name val="Arial"/>
      <family val="2"/>
    </font>
    <font>
      <b/>
      <sz val="8"/>
      <name val="Arial"/>
      <family val="2"/>
    </font>
    <font>
      <sz val="14"/>
      <name val="Arial"/>
      <family val="2"/>
    </font>
    <font>
      <sz val="6"/>
      <name val="Arial"/>
      <family val="2"/>
    </font>
    <font>
      <b/>
      <sz val="18"/>
      <color indexed="9"/>
      <name val="Arial"/>
      <family val="2"/>
    </font>
    <font>
      <b/>
      <sz val="14"/>
      <color indexed="9"/>
      <name val="Arial"/>
      <family val="2"/>
    </font>
    <font>
      <b/>
      <sz val="16"/>
      <color indexed="9"/>
      <name val="Arial"/>
      <family val="2"/>
    </font>
    <font>
      <b/>
      <sz val="9"/>
      <name val="Arial"/>
      <family val="2"/>
    </font>
  </fonts>
  <fills count="14">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23"/>
        <bgColor indexed="64"/>
      </patternFill>
    </fill>
    <fill>
      <patternFill patternType="solid">
        <fgColor indexed="50"/>
        <bgColor indexed="64"/>
      </patternFill>
    </fill>
    <fill>
      <patternFill patternType="solid">
        <fgColor indexed="54"/>
        <bgColor indexed="64"/>
      </patternFill>
    </fill>
    <fill>
      <patternFill patternType="solid">
        <fgColor indexed="29"/>
        <bgColor indexed="64"/>
      </patternFill>
    </fill>
    <fill>
      <patternFill patternType="solid">
        <fgColor indexed="45"/>
        <bgColor indexed="64"/>
      </patternFill>
    </fill>
    <fill>
      <patternFill patternType="solid">
        <fgColor indexed="25"/>
        <bgColor indexed="64"/>
      </patternFill>
    </fill>
    <fill>
      <patternFill patternType="solid">
        <fgColor indexed="43"/>
        <bgColor indexed="64"/>
      </patternFill>
    </fill>
    <fill>
      <patternFill patternType="gray0625">
        <fgColor indexed="26"/>
        <bgColor indexed="26"/>
      </patternFill>
    </fill>
    <fill>
      <patternFill patternType="solid">
        <fgColor indexed="5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11">
    <xf numFmtId="0" fontId="0" fillId="0" borderId="0" xfId="0"/>
    <xf numFmtId="0" fontId="3" fillId="0" borderId="0" xfId="0" applyFont="1"/>
    <xf numFmtId="4" fontId="0" fillId="0" borderId="0" xfId="0" applyNumberFormat="1"/>
    <xf numFmtId="4" fontId="4" fillId="0" borderId="0" xfId="0" applyNumberFormat="1" applyFont="1" applyAlignment="1">
      <alignment wrapText="1"/>
    </xf>
    <xf numFmtId="4" fontId="0" fillId="0" borderId="0" xfId="0" applyNumberFormat="1" applyAlignment="1">
      <alignment wrapText="1"/>
    </xf>
    <xf numFmtId="1" fontId="0" fillId="0" borderId="0" xfId="0" applyNumberFormat="1"/>
    <xf numFmtId="0" fontId="1" fillId="0" borderId="0" xfId="0" applyFont="1"/>
    <xf numFmtId="3" fontId="0" fillId="0" borderId="0" xfId="0" applyNumberFormat="1"/>
    <xf numFmtId="0" fontId="5" fillId="0" borderId="0" xfId="0" applyFont="1"/>
    <xf numFmtId="0" fontId="4" fillId="0" borderId="0" xfId="0" applyFont="1" applyAlignment="1">
      <alignment wrapText="1"/>
    </xf>
    <xf numFmtId="3" fontId="1" fillId="2" borderId="0" xfId="0" applyNumberFormat="1" applyFont="1" applyFill="1" applyAlignment="1">
      <alignment wrapText="1"/>
    </xf>
    <xf numFmtId="3" fontId="4" fillId="2" borderId="0" xfId="0" applyNumberFormat="1" applyFont="1" applyFill="1" applyAlignment="1">
      <alignment wrapText="1"/>
    </xf>
    <xf numFmtId="3" fontId="9" fillId="0" borderId="0" xfId="0" applyNumberFormat="1" applyFont="1" applyAlignment="1">
      <alignment wrapText="1"/>
    </xf>
    <xf numFmtId="3" fontId="1" fillId="0" borderId="0" xfId="0" applyNumberFormat="1" applyFont="1" applyAlignment="1">
      <alignment wrapText="1"/>
    </xf>
    <xf numFmtId="3" fontId="0" fillId="0" borderId="0" xfId="0" applyNumberFormat="1" applyAlignment="1">
      <alignment wrapText="1"/>
    </xf>
    <xf numFmtId="3" fontId="1" fillId="0" borderId="0" xfId="0" applyNumberFormat="1" applyFont="1"/>
    <xf numFmtId="3" fontId="4" fillId="0" borderId="0" xfId="0" applyNumberFormat="1" applyFont="1" applyAlignment="1">
      <alignment wrapText="1"/>
    </xf>
    <xf numFmtId="4" fontId="4" fillId="2" borderId="0" xfId="0" applyNumberFormat="1" applyFont="1" applyFill="1" applyAlignment="1">
      <alignment wrapText="1"/>
    </xf>
    <xf numFmtId="0" fontId="7" fillId="0" borderId="0" xfId="0" applyFont="1" applyAlignment="1">
      <alignment horizontal="center" vertical="center"/>
    </xf>
    <xf numFmtId="4" fontId="4" fillId="2" borderId="0" xfId="0" applyNumberFormat="1" applyFont="1" applyFill="1" applyAlignment="1">
      <alignment horizontal="center" wrapText="1"/>
    </xf>
    <xf numFmtId="0" fontId="4" fillId="2" borderId="0" xfId="0" applyFont="1" applyFill="1" applyAlignment="1">
      <alignment horizontal="center" wrapText="1"/>
    </xf>
    <xf numFmtId="0" fontId="4" fillId="0" borderId="0" xfId="0" applyFont="1" applyAlignment="1">
      <alignment horizontal="left" wrapText="1"/>
    </xf>
    <xf numFmtId="1" fontId="4" fillId="0" borderId="0" xfId="0" applyNumberFormat="1" applyFont="1" applyAlignment="1">
      <alignment horizontal="left" wrapText="1"/>
    </xf>
    <xf numFmtId="4" fontId="4" fillId="2" borderId="0" xfId="0" applyNumberFormat="1" applyFont="1" applyFill="1"/>
    <xf numFmtId="4" fontId="8" fillId="0" borderId="1" xfId="0" applyNumberFormat="1" applyFont="1" applyBorder="1"/>
    <xf numFmtId="4" fontId="4" fillId="0" borderId="0" xfId="0" applyNumberFormat="1" applyFont="1" applyAlignment="1">
      <alignment horizontal="center" wrapText="1"/>
    </xf>
    <xf numFmtId="4" fontId="0" fillId="0" borderId="1" xfId="0" applyNumberFormat="1" applyBorder="1"/>
    <xf numFmtId="3" fontId="6" fillId="0" borderId="0" xfId="0" applyNumberFormat="1" applyFont="1" applyAlignment="1">
      <alignment horizontal="left" wrapText="1"/>
    </xf>
    <xf numFmtId="3" fontId="4" fillId="2" borderId="0" xfId="0" applyNumberFormat="1" applyFont="1" applyFill="1" applyAlignment="1">
      <alignment horizontal="center" wrapText="1"/>
    </xf>
    <xf numFmtId="3" fontId="4" fillId="0" borderId="0" xfId="0" applyNumberFormat="1" applyFont="1" applyAlignment="1">
      <alignment horizontal="center" wrapText="1"/>
    </xf>
    <xf numFmtId="0" fontId="7" fillId="0" borderId="0" xfId="0" applyFont="1" applyAlignment="1">
      <alignment vertical="center"/>
    </xf>
    <xf numFmtId="4" fontId="11" fillId="0" borderId="0" xfId="0" applyNumberFormat="1" applyFont="1" applyAlignment="1">
      <alignment horizontal="left" wrapText="1"/>
    </xf>
    <xf numFmtId="0" fontId="4" fillId="0" borderId="0" xfId="0" applyFont="1" applyAlignment="1">
      <alignment horizontal="center" wrapText="1"/>
    </xf>
    <xf numFmtId="4" fontId="0" fillId="0" borderId="2" xfId="0" applyNumberFormat="1" applyBorder="1"/>
    <xf numFmtId="4" fontId="0" fillId="0" borderId="1" xfId="0" applyNumberFormat="1" applyBorder="1" applyAlignment="1">
      <alignment horizontal="right"/>
    </xf>
    <xf numFmtId="0" fontId="4" fillId="2" borderId="0" xfId="0" applyFont="1" applyFill="1" applyAlignment="1">
      <alignment horizontal="center" vertical="center" wrapText="1"/>
    </xf>
    <xf numFmtId="3" fontId="6" fillId="0" borderId="0" xfId="0" applyNumberFormat="1" applyFont="1"/>
    <xf numFmtId="0" fontId="4" fillId="2" borderId="0" xfId="0" applyFont="1" applyFill="1" applyAlignment="1">
      <alignment horizontal="center"/>
    </xf>
    <xf numFmtId="4" fontId="8" fillId="0" borderId="0" xfId="0" applyNumberFormat="1" applyFont="1"/>
    <xf numFmtId="3" fontId="4" fillId="2" borderId="0" xfId="0" applyNumberFormat="1" applyFont="1" applyFill="1" applyAlignment="1">
      <alignment horizontal="center" vertical="center" wrapText="1"/>
    </xf>
    <xf numFmtId="3" fontId="0" fillId="0" borderId="1" xfId="0" applyNumberFormat="1" applyBorder="1"/>
    <xf numFmtId="0" fontId="3" fillId="0" borderId="0" xfId="0" applyFont="1" applyAlignment="1">
      <alignment horizontal="left"/>
    </xf>
    <xf numFmtId="2" fontId="5" fillId="0" borderId="0" xfId="0" applyNumberFormat="1" applyFont="1"/>
    <xf numFmtId="1" fontId="5" fillId="0" borderId="0" xfId="0" applyNumberFormat="1" applyFont="1"/>
    <xf numFmtId="1" fontId="4" fillId="0" borderId="0" xfId="0" applyNumberFormat="1" applyFont="1" applyAlignment="1">
      <alignment wrapText="1"/>
    </xf>
    <xf numFmtId="0" fontId="8" fillId="0" borderId="0" xfId="0" applyFont="1"/>
    <xf numFmtId="4" fontId="5" fillId="0" borderId="0" xfId="0" applyNumberFormat="1" applyFont="1"/>
    <xf numFmtId="1" fontId="4" fillId="0" borderId="0" xfId="0" applyNumberFormat="1" applyFont="1" applyAlignment="1">
      <alignment horizontal="center" wrapText="1"/>
    </xf>
    <xf numFmtId="0" fontId="2" fillId="0" borderId="0" xfId="0" applyFont="1" applyAlignment="1">
      <alignment wrapText="1"/>
    </xf>
    <xf numFmtId="1" fontId="2" fillId="0" borderId="0" xfId="0" applyNumberFormat="1" applyFont="1" applyAlignment="1">
      <alignment wrapText="1"/>
    </xf>
    <xf numFmtId="1" fontId="8" fillId="0" borderId="0" xfId="0" applyNumberFormat="1" applyFont="1" applyAlignment="1">
      <alignment wrapText="1"/>
    </xf>
    <xf numFmtId="0" fontId="0" fillId="0" borderId="0" xfId="0" applyAlignment="1">
      <alignment horizontal="center"/>
    </xf>
    <xf numFmtId="0" fontId="3" fillId="0" borderId="0" xfId="0" applyFont="1" applyAlignment="1">
      <alignment vertical="center"/>
    </xf>
    <xf numFmtId="0" fontId="0" fillId="0" borderId="0" xfId="0" applyAlignment="1">
      <alignment vertical="top" wrapText="1"/>
    </xf>
    <xf numFmtId="4" fontId="6" fillId="0" borderId="0" xfId="0" applyNumberFormat="1" applyFont="1" applyAlignment="1">
      <alignment horizontal="center"/>
    </xf>
    <xf numFmtId="4" fontId="21" fillId="0" borderId="1" xfId="0" applyNumberFormat="1" applyFont="1" applyBorder="1"/>
    <xf numFmtId="165" fontId="6" fillId="0" borderId="0" xfId="0" applyNumberFormat="1" applyFont="1" applyAlignment="1">
      <alignment horizontal="center"/>
    </xf>
    <xf numFmtId="4" fontId="6" fillId="0" borderId="0" xfId="0" applyNumberFormat="1" applyFont="1" applyAlignment="1">
      <alignment horizontal="left"/>
    </xf>
    <xf numFmtId="4" fontId="21" fillId="0" borderId="0" xfId="0" applyNumberFormat="1" applyFont="1"/>
    <xf numFmtId="0" fontId="6" fillId="0" borderId="1" xfId="0" applyFont="1" applyBorder="1" applyAlignment="1">
      <alignment horizontal="center"/>
    </xf>
    <xf numFmtId="4" fontId="6" fillId="0" borderId="1" xfId="0" applyNumberFormat="1" applyFont="1" applyBorder="1"/>
    <xf numFmtId="0" fontId="6" fillId="0" borderId="0" xfId="0" applyFont="1"/>
    <xf numFmtId="164" fontId="6" fillId="0" borderId="0" xfId="1" applyFont="1" applyAlignment="1">
      <alignment horizontal="center"/>
    </xf>
    <xf numFmtId="9" fontId="6" fillId="0" borderId="0" xfId="0" applyNumberFormat="1" applyFont="1" applyAlignment="1">
      <alignment horizontal="center"/>
    </xf>
    <xf numFmtId="0" fontId="6" fillId="0" borderId="0" xfId="0" applyFont="1" applyAlignment="1">
      <alignment horizontal="center"/>
    </xf>
    <xf numFmtId="0" fontId="6" fillId="0" borderId="1" xfId="0" applyFont="1" applyBorder="1" applyAlignment="1">
      <alignment horizontal="center" vertical="center"/>
    </xf>
    <xf numFmtId="3" fontId="6" fillId="0" borderId="1" xfId="0" applyNumberFormat="1" applyFont="1" applyBorder="1" applyAlignment="1">
      <alignment horizontal="center"/>
    </xf>
    <xf numFmtId="4" fontId="8" fillId="0" borderId="0" xfId="0" applyNumberFormat="1" applyFont="1" applyAlignment="1">
      <alignment wrapText="1"/>
    </xf>
    <xf numFmtId="4" fontId="1" fillId="0" borderId="1" xfId="0" applyNumberFormat="1" applyFont="1" applyBorder="1" applyAlignment="1">
      <alignment wrapText="1"/>
    </xf>
    <xf numFmtId="4" fontId="1" fillId="0" borderId="1" xfId="0" applyNumberFormat="1" applyFont="1" applyBorder="1"/>
    <xf numFmtId="3" fontId="0" fillId="3" borderId="1" xfId="0" applyNumberFormat="1" applyFill="1" applyBorder="1"/>
    <xf numFmtId="4" fontId="0" fillId="3" borderId="1" xfId="0" applyNumberFormat="1" applyFill="1" applyBorder="1"/>
    <xf numFmtId="0" fontId="23" fillId="0" borderId="0" xfId="0" applyFont="1" applyAlignment="1">
      <alignment horizontal="justify"/>
    </xf>
    <xf numFmtId="0" fontId="0" fillId="0" borderId="3" xfId="0" applyBorder="1"/>
    <xf numFmtId="3" fontId="6" fillId="0" borderId="0" xfId="0" applyNumberFormat="1" applyFont="1" applyAlignment="1">
      <alignment horizontal="center"/>
    </xf>
    <xf numFmtId="4" fontId="6" fillId="0" borderId="1" xfId="0" applyNumberFormat="1" applyFont="1" applyBorder="1" applyAlignment="1">
      <alignment horizontal="right" vertical="center" wrapText="1"/>
    </xf>
    <xf numFmtId="4" fontId="6" fillId="0" borderId="1" xfId="1" applyNumberFormat="1" applyFont="1" applyBorder="1" applyAlignment="1">
      <alignment horizontal="right"/>
    </xf>
    <xf numFmtId="4" fontId="6" fillId="0" borderId="1" xfId="1" applyNumberFormat="1" applyFont="1" applyFill="1" applyBorder="1" applyAlignment="1">
      <alignment horizontal="right"/>
    </xf>
    <xf numFmtId="4" fontId="0" fillId="0" borderId="0" xfId="0" applyNumberFormat="1" applyAlignment="1">
      <alignment horizontal="right"/>
    </xf>
    <xf numFmtId="166" fontId="6" fillId="0" borderId="0" xfId="1" applyNumberFormat="1" applyFont="1" applyBorder="1" applyAlignment="1">
      <alignment horizontal="center"/>
    </xf>
    <xf numFmtId="0" fontId="24" fillId="0" borderId="0" xfId="0" applyFont="1"/>
    <xf numFmtId="0" fontId="16" fillId="0" borderId="0" xfId="0" applyFont="1"/>
    <xf numFmtId="0" fontId="17" fillId="0" borderId="0" xfId="0" applyFont="1"/>
    <xf numFmtId="0" fontId="19" fillId="0" borderId="0" xfId="0" applyFont="1" applyAlignment="1">
      <alignment horizontal="left"/>
    </xf>
    <xf numFmtId="0" fontId="19" fillId="0" borderId="0" xfId="0" applyFont="1"/>
    <xf numFmtId="0" fontId="4" fillId="0" borderId="0" xfId="0" applyFont="1" applyAlignment="1">
      <alignment horizontal="left"/>
    </xf>
    <xf numFmtId="0" fontId="6" fillId="4" borderId="1" xfId="0" applyFont="1" applyFill="1" applyBorder="1" applyAlignment="1" applyProtection="1">
      <alignment vertical="top"/>
      <protection locked="0"/>
    </xf>
    <xf numFmtId="0" fontId="26" fillId="0" borderId="0" xfId="0" applyFont="1"/>
    <xf numFmtId="0" fontId="26" fillId="0" borderId="0" xfId="0" applyFont="1" applyAlignment="1">
      <alignment horizontal="left"/>
    </xf>
    <xf numFmtId="4" fontId="0" fillId="4" borderId="1" xfId="0" applyNumberFormat="1" applyFill="1" applyBorder="1" applyProtection="1">
      <protection locked="0"/>
    </xf>
    <xf numFmtId="0" fontId="10" fillId="0" borderId="0" xfId="0" applyFont="1"/>
    <xf numFmtId="0" fontId="4" fillId="0" borderId="0" xfId="0" applyFont="1" applyAlignment="1">
      <alignment horizontal="center"/>
    </xf>
    <xf numFmtId="0" fontId="6" fillId="4" borderId="1" xfId="0" applyFont="1" applyFill="1" applyBorder="1" applyAlignment="1" applyProtection="1">
      <alignment horizontal="center"/>
      <protection locked="0"/>
    </xf>
    <xf numFmtId="0" fontId="20" fillId="0" borderId="0" xfId="0" applyFont="1"/>
    <xf numFmtId="0" fontId="16" fillId="0" borderId="0" xfId="0" applyFont="1" applyAlignment="1">
      <alignment horizontal="left"/>
    </xf>
    <xf numFmtId="0" fontId="0" fillId="0" borderId="0" xfId="0" applyAlignment="1">
      <alignment vertical="top"/>
    </xf>
    <xf numFmtId="0" fontId="4" fillId="0" borderId="0" xfId="0" applyFont="1"/>
    <xf numFmtId="0" fontId="6" fillId="0" borderId="0" xfId="0" applyFont="1" applyAlignment="1">
      <alignment vertical="top"/>
    </xf>
    <xf numFmtId="49" fontId="4" fillId="0" borderId="0" xfId="0" applyNumberFormat="1" applyFont="1" applyAlignment="1">
      <alignment horizontal="left" vertical="top"/>
    </xf>
    <xf numFmtId="49" fontId="6" fillId="0" borderId="0" xfId="0" applyNumberFormat="1" applyFont="1" applyAlignment="1">
      <alignment vertical="top"/>
    </xf>
    <xf numFmtId="0" fontId="4" fillId="6" borderId="0" xfId="0" applyFont="1" applyFill="1" applyAlignment="1">
      <alignment horizontal="center" vertical="top"/>
    </xf>
    <xf numFmtId="0" fontId="4" fillId="6" borderId="0" xfId="0" applyFont="1" applyFill="1"/>
    <xf numFmtId="0" fontId="8" fillId="0" borderId="0" xfId="0" applyFont="1" applyAlignment="1">
      <alignment horizontal="center"/>
    </xf>
    <xf numFmtId="4" fontId="6" fillId="4" borderId="1" xfId="0" applyNumberFormat="1" applyFont="1" applyFill="1" applyBorder="1" applyProtection="1">
      <protection locked="0"/>
    </xf>
    <xf numFmtId="16" fontId="6" fillId="4" borderId="1" xfId="0" applyNumberFormat="1" applyFont="1" applyFill="1" applyBorder="1" applyProtection="1">
      <protection locked="0"/>
    </xf>
    <xf numFmtId="0" fontId="4" fillId="7" borderId="0" xfId="0" applyFont="1" applyFill="1" applyAlignment="1">
      <alignment horizontal="left"/>
    </xf>
    <xf numFmtId="0" fontId="4" fillId="7" borderId="0" xfId="0" applyFont="1" applyFill="1" applyAlignment="1">
      <alignment horizontal="center"/>
    </xf>
    <xf numFmtId="4" fontId="6" fillId="0" borderId="0" xfId="0" applyNumberFormat="1" applyFont="1"/>
    <xf numFmtId="0" fontId="6" fillId="4" borderId="1" xfId="0" applyFont="1" applyFill="1" applyBorder="1" applyProtection="1">
      <protection locked="0"/>
    </xf>
    <xf numFmtId="4" fontId="0" fillId="0" borderId="4" xfId="0" applyNumberFormat="1" applyBorder="1"/>
    <xf numFmtId="10" fontId="0" fillId="4" borderId="0" xfId="0" applyNumberFormat="1" applyFill="1" applyProtection="1">
      <protection locked="0"/>
    </xf>
    <xf numFmtId="0" fontId="12" fillId="0" borderId="0" xfId="0" applyFont="1" applyAlignment="1">
      <alignment wrapText="1"/>
    </xf>
    <xf numFmtId="1" fontId="0" fillId="0" borderId="0" xfId="0" applyNumberFormat="1" applyAlignment="1">
      <alignment wrapText="1"/>
    </xf>
    <xf numFmtId="1" fontId="0" fillId="0" borderId="0" xfId="0" applyNumberFormat="1" applyAlignment="1">
      <alignment horizontal="left" wrapText="1"/>
    </xf>
    <xf numFmtId="1" fontId="12" fillId="0" borderId="0" xfId="0" applyNumberFormat="1" applyFont="1" applyAlignment="1">
      <alignment wrapText="1"/>
    </xf>
    <xf numFmtId="0" fontId="4" fillId="2" borderId="0" xfId="0" applyFont="1" applyFill="1" applyAlignment="1">
      <alignment wrapText="1"/>
    </xf>
    <xf numFmtId="1" fontId="1" fillId="0" borderId="0" xfId="0" applyNumberFormat="1" applyFont="1" applyAlignment="1">
      <alignment wrapText="1"/>
    </xf>
    <xf numFmtId="3" fontId="6" fillId="4" borderId="1" xfId="0" applyNumberFormat="1" applyFont="1" applyFill="1" applyBorder="1" applyAlignment="1" applyProtection="1">
      <alignment horizontal="center"/>
      <protection locked="0"/>
    </xf>
    <xf numFmtId="3" fontId="0" fillId="4" borderId="1" xfId="0" applyNumberFormat="1" applyFill="1" applyBorder="1" applyProtection="1">
      <protection locked="0"/>
    </xf>
    <xf numFmtId="3" fontId="4" fillId="0" borderId="0" xfId="0" applyNumberFormat="1" applyFont="1" applyAlignment="1">
      <alignment horizontal="left" wrapText="1"/>
    </xf>
    <xf numFmtId="4" fontId="10" fillId="0" borderId="0" xfId="0" applyNumberFormat="1" applyFont="1" applyAlignment="1">
      <alignment horizontal="center"/>
    </xf>
    <xf numFmtId="3" fontId="0" fillId="0" borderId="0" xfId="0" applyNumberFormat="1" applyAlignment="1">
      <alignment horizontal="left" wrapText="1"/>
    </xf>
    <xf numFmtId="3" fontId="5" fillId="0" borderId="0" xfId="0" applyNumberFormat="1" applyFont="1"/>
    <xf numFmtId="3" fontId="5" fillId="0" borderId="0" xfId="0" applyNumberFormat="1" applyFont="1" applyAlignment="1">
      <alignment horizontal="center"/>
    </xf>
    <xf numFmtId="3" fontId="5" fillId="2" borderId="0" xfId="0" applyNumberFormat="1" applyFont="1" applyFill="1"/>
    <xf numFmtId="4" fontId="4" fillId="2" borderId="0" xfId="0" applyNumberFormat="1" applyFont="1" applyFill="1" applyAlignment="1">
      <alignment horizontal="center"/>
    </xf>
    <xf numFmtId="4" fontId="4" fillId="0" borderId="0" xfId="0" applyNumberFormat="1" applyFont="1" applyAlignment="1">
      <alignment horizontal="center"/>
    </xf>
    <xf numFmtId="4" fontId="4" fillId="0" borderId="0" xfId="0" applyNumberFormat="1" applyFont="1"/>
    <xf numFmtId="4" fontId="6" fillId="0" borderId="0" xfId="0" applyNumberFormat="1" applyFont="1" applyAlignment="1">
      <alignment horizontal="center" wrapText="1"/>
    </xf>
    <xf numFmtId="165" fontId="4" fillId="0" borderId="0" xfId="0" applyNumberFormat="1" applyFont="1" applyAlignment="1">
      <alignment horizontal="center"/>
    </xf>
    <xf numFmtId="4" fontId="8" fillId="0" borderId="0" xfId="0" applyNumberFormat="1" applyFont="1" applyAlignment="1">
      <alignment horizontal="center" wrapText="1"/>
    </xf>
    <xf numFmtId="9" fontId="0" fillId="0" borderId="0" xfId="0" applyNumberFormat="1"/>
    <xf numFmtId="3" fontId="0" fillId="0" borderId="3" xfId="0" applyNumberFormat="1" applyBorder="1"/>
    <xf numFmtId="9" fontId="0" fillId="4" borderId="0" xfId="0" applyNumberFormat="1" applyFill="1" applyProtection="1">
      <protection locked="0"/>
    </xf>
    <xf numFmtId="4" fontId="8" fillId="0" borderId="1" xfId="0" applyNumberFormat="1" applyFont="1" applyBorder="1" applyAlignment="1">
      <alignment horizontal="right"/>
    </xf>
    <xf numFmtId="4" fontId="4" fillId="2" borderId="0" xfId="0" applyNumberFormat="1" applyFont="1" applyFill="1" applyAlignment="1">
      <alignment horizontal="right" wrapText="1"/>
    </xf>
    <xf numFmtId="0" fontId="8" fillId="0" borderId="0" xfId="0" applyFont="1" applyAlignment="1">
      <alignment horizontal="center" vertical="center"/>
    </xf>
    <xf numFmtId="0" fontId="4" fillId="2" borderId="0" xfId="0" applyFont="1" applyFill="1" applyAlignment="1">
      <alignment horizontal="left"/>
    </xf>
    <xf numFmtId="0" fontId="4" fillId="2" borderId="5" xfId="0" applyFont="1" applyFill="1" applyBorder="1" applyAlignment="1">
      <alignment horizontal="left"/>
    </xf>
    <xf numFmtId="0" fontId="4" fillId="8" borderId="0" xfId="0" applyFont="1" applyFill="1"/>
    <xf numFmtId="10" fontId="4" fillId="8" borderId="5" xfId="0" applyNumberFormat="1" applyFont="1" applyFill="1" applyBorder="1"/>
    <xf numFmtId="0" fontId="4" fillId="9" borderId="0" xfId="0" applyFont="1" applyFill="1"/>
    <xf numFmtId="10" fontId="4" fillId="9" borderId="5" xfId="0" applyNumberFormat="1" applyFont="1" applyFill="1" applyBorder="1"/>
    <xf numFmtId="0" fontId="4" fillId="10" borderId="0" xfId="0" applyFont="1" applyFill="1"/>
    <xf numFmtId="10" fontId="4" fillId="10" borderId="5" xfId="0" applyNumberFormat="1" applyFont="1" applyFill="1" applyBorder="1"/>
    <xf numFmtId="0" fontId="4" fillId="2" borderId="0" xfId="0" applyFont="1" applyFill="1"/>
    <xf numFmtId="2" fontId="0" fillId="0" borderId="0" xfId="0" applyNumberFormat="1" applyAlignment="1">
      <alignment horizontal="center"/>
    </xf>
    <xf numFmtId="3" fontId="5" fillId="2" borderId="0" xfId="0" applyNumberFormat="1" applyFont="1" applyFill="1" applyAlignment="1">
      <alignment horizontal="center"/>
    </xf>
    <xf numFmtId="0" fontId="5" fillId="2" borderId="0" xfId="0" applyFont="1" applyFill="1" applyAlignment="1">
      <alignment horizontal="center"/>
    </xf>
    <xf numFmtId="2" fontId="5" fillId="2" borderId="0" xfId="0" applyNumberFormat="1" applyFont="1" applyFill="1" applyAlignment="1">
      <alignment horizontal="center"/>
    </xf>
    <xf numFmtId="4" fontId="0" fillId="0" borderId="0" xfId="0" applyNumberFormat="1" applyAlignment="1">
      <alignment horizontal="center"/>
    </xf>
    <xf numFmtId="0" fontId="2" fillId="0" borderId="0" xfId="0" applyFont="1"/>
    <xf numFmtId="0" fontId="5" fillId="0" borderId="0" xfId="0" applyFont="1" applyAlignment="1">
      <alignment horizontal="center"/>
    </xf>
    <xf numFmtId="4" fontId="0" fillId="0" borderId="0" xfId="0" applyNumberFormat="1" applyAlignment="1">
      <alignment horizontal="center" vertical="center"/>
    </xf>
    <xf numFmtId="2" fontId="0" fillId="0" borderId="0" xfId="0" applyNumberFormat="1" applyAlignment="1">
      <alignment horizontal="center" vertical="center"/>
    </xf>
    <xf numFmtId="0" fontId="5" fillId="2" borderId="0" xfId="0" applyFont="1" applyFill="1" applyAlignment="1">
      <alignment horizontal="center" vertical="center" wrapText="1"/>
    </xf>
    <xf numFmtId="2" fontId="5" fillId="2" borderId="0" xfId="0" applyNumberFormat="1" applyFont="1" applyFill="1" applyAlignment="1">
      <alignment horizontal="center" vertical="center" wrapText="1"/>
    </xf>
    <xf numFmtId="4" fontId="0" fillId="0" borderId="0" xfId="0" applyNumberFormat="1" applyAlignment="1">
      <alignment horizontal="center" vertical="center" wrapText="1"/>
    </xf>
    <xf numFmtId="2" fontId="0" fillId="0" borderId="0" xfId="0" applyNumberFormat="1" applyAlignment="1">
      <alignment horizontal="center" vertical="center" wrapText="1"/>
    </xf>
    <xf numFmtId="4" fontId="5" fillId="2" borderId="0" xfId="0" applyNumberFormat="1" applyFont="1" applyFill="1" applyAlignment="1">
      <alignment horizontal="center"/>
    </xf>
    <xf numFmtId="0" fontId="6" fillId="11" borderId="1" xfId="0" applyFont="1" applyFill="1" applyBorder="1" applyAlignment="1" applyProtection="1">
      <alignment horizontal="center"/>
      <protection locked="0"/>
    </xf>
    <xf numFmtId="1" fontId="6" fillId="11" borderId="1" xfId="0" applyNumberFormat="1" applyFont="1" applyFill="1" applyBorder="1" applyAlignment="1" applyProtection="1">
      <alignment horizontal="center"/>
      <protection locked="0"/>
    </xf>
    <xf numFmtId="0" fontId="24" fillId="0" borderId="6" xfId="0" applyFont="1" applyBorder="1"/>
    <xf numFmtId="0" fontId="5" fillId="0" borderId="0" xfId="0" applyFont="1" applyAlignment="1">
      <alignment horizontal="left"/>
    </xf>
    <xf numFmtId="0" fontId="5" fillId="5" borderId="1" xfId="0" applyFont="1" applyFill="1" applyBorder="1" applyAlignment="1">
      <alignment horizontal="center" vertical="center" wrapText="1"/>
    </xf>
    <xf numFmtId="0" fontId="6" fillId="12" borderId="0" xfId="0" applyFont="1" applyFill="1" applyAlignment="1" applyProtection="1">
      <alignment horizontal="left" vertical="top" wrapText="1"/>
      <protection locked="0"/>
    </xf>
    <xf numFmtId="0" fontId="24" fillId="0" borderId="6" xfId="0" applyFont="1" applyBorder="1" applyAlignment="1">
      <alignment horizontal="center"/>
    </xf>
    <xf numFmtId="0" fontId="19" fillId="0" borderId="0" xfId="0" applyFont="1" applyAlignment="1">
      <alignment horizontal="left"/>
    </xf>
    <xf numFmtId="0" fontId="16" fillId="0" borderId="0" xfId="0" applyFont="1" applyAlignment="1">
      <alignment horizontal="center" vertical="center"/>
    </xf>
    <xf numFmtId="0" fontId="8" fillId="12" borderId="0" xfId="0" applyFont="1" applyFill="1" applyAlignment="1" applyProtection="1">
      <alignment horizontal="left" vertical="top" wrapText="1"/>
      <protection locked="0"/>
    </xf>
    <xf numFmtId="0" fontId="4" fillId="0" borderId="0" xfId="0" applyFont="1" applyAlignment="1">
      <alignment horizontal="left"/>
    </xf>
    <xf numFmtId="0" fontId="18" fillId="0" borderId="0" xfId="0" applyFont="1" applyAlignment="1">
      <alignment horizontal="center" vertical="center"/>
    </xf>
    <xf numFmtId="0" fontId="26" fillId="0" borderId="0" xfId="0" applyFont="1" applyAlignment="1">
      <alignment horizontal="center" vertical="center"/>
    </xf>
    <xf numFmtId="0" fontId="25" fillId="0" borderId="0" xfId="0" applyFont="1" applyAlignment="1">
      <alignment horizontal="center" vertical="center"/>
    </xf>
    <xf numFmtId="0" fontId="6" fillId="4" borderId="1" xfId="0" applyFont="1" applyFill="1" applyBorder="1" applyAlignment="1" applyProtection="1">
      <alignment horizontal="center" vertical="top"/>
      <protection locked="0"/>
    </xf>
    <xf numFmtId="0" fontId="4" fillId="6" borderId="0" xfId="0" applyFont="1" applyFill="1" applyAlignment="1">
      <alignment horizontal="left" vertical="top"/>
    </xf>
    <xf numFmtId="4" fontId="6" fillId="0" borderId="0" xfId="0" applyNumberFormat="1" applyFont="1" applyAlignment="1">
      <alignment horizontal="center"/>
    </xf>
    <xf numFmtId="0" fontId="6" fillId="0" borderId="0" xfId="0" applyFont="1" applyAlignment="1">
      <alignment horizontal="center"/>
    </xf>
    <xf numFmtId="4" fontId="8" fillId="0" borderId="1" xfId="0" applyNumberFormat="1" applyFont="1" applyBorder="1" applyAlignment="1">
      <alignment horizontal="center"/>
    </xf>
    <xf numFmtId="0" fontId="8" fillId="0" borderId="1" xfId="0" applyFont="1" applyBorder="1" applyAlignment="1">
      <alignment horizontal="center"/>
    </xf>
    <xf numFmtId="4" fontId="0" fillId="0" borderId="0" xfId="0" applyNumberFormat="1" applyAlignment="1">
      <alignment horizontal="center"/>
    </xf>
    <xf numFmtId="0" fontId="0" fillId="0" borderId="0" xfId="0" applyAlignment="1">
      <alignment horizontal="center"/>
    </xf>
    <xf numFmtId="0" fontId="4" fillId="6" borderId="0" xfId="0" applyFont="1" applyFill="1" applyAlignment="1">
      <alignment horizontal="left"/>
    </xf>
    <xf numFmtId="49" fontId="4" fillId="6" borderId="0" xfId="0" applyNumberFormat="1" applyFont="1" applyFill="1" applyAlignment="1">
      <alignment horizontal="left" vertical="top"/>
    </xf>
    <xf numFmtId="0" fontId="4" fillId="6" borderId="0" xfId="0" applyFont="1" applyFill="1" applyAlignment="1">
      <alignment horizontal="center"/>
    </xf>
    <xf numFmtId="0" fontId="4" fillId="0" borderId="0" xfId="0" applyFont="1" applyAlignment="1">
      <alignment horizontal="center"/>
    </xf>
    <xf numFmtId="4" fontId="0" fillId="4" borderId="1" xfId="0" applyNumberFormat="1" applyFill="1" applyBorder="1" applyAlignment="1" applyProtection="1">
      <alignment horizontal="center"/>
      <protection locked="0"/>
    </xf>
    <xf numFmtId="4" fontId="1" fillId="0" borderId="0" xfId="0" applyNumberFormat="1" applyFont="1" applyAlignment="1">
      <alignment horizontal="center"/>
    </xf>
    <xf numFmtId="4" fontId="1" fillId="4" borderId="1" xfId="0" applyNumberFormat="1" applyFont="1" applyFill="1" applyBorder="1" applyAlignment="1" applyProtection="1">
      <alignment horizontal="center"/>
      <protection locked="0"/>
    </xf>
    <xf numFmtId="0" fontId="8" fillId="0" borderId="8"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0" fillId="4" borderId="1" xfId="0" applyFill="1" applyBorder="1" applyAlignment="1" applyProtection="1">
      <alignment horizontal="center"/>
      <protection locked="0"/>
    </xf>
    <xf numFmtId="0" fontId="4" fillId="6" borderId="0" xfId="0" applyFont="1" applyFill="1" applyAlignment="1">
      <alignment horizontal="center" vertical="center" wrapText="1"/>
    </xf>
    <xf numFmtId="0" fontId="16" fillId="0" borderId="0" xfId="0" applyFont="1" applyAlignment="1">
      <alignment horizontal="left"/>
    </xf>
    <xf numFmtId="0" fontId="0" fillId="4" borderId="0" xfId="0" applyFill="1" applyAlignment="1" applyProtection="1">
      <alignment horizontal="left" vertical="top" wrapText="1"/>
      <protection locked="0"/>
    </xf>
    <xf numFmtId="0" fontId="4" fillId="6" borderId="3" xfId="0" applyFont="1" applyFill="1" applyBorder="1" applyAlignment="1">
      <alignment horizontal="center" vertical="top"/>
    </xf>
    <xf numFmtId="0" fontId="6" fillId="4" borderId="4" xfId="0" applyFont="1" applyFill="1" applyBorder="1" applyAlignment="1" applyProtection="1">
      <alignment horizontal="center" vertical="top"/>
      <protection locked="0"/>
    </xf>
    <xf numFmtId="0" fontId="6" fillId="4" borderId="7" xfId="0" applyFont="1" applyFill="1" applyBorder="1" applyAlignment="1" applyProtection="1">
      <alignment horizontal="center" vertical="top"/>
      <protection locked="0"/>
    </xf>
    <xf numFmtId="0" fontId="6" fillId="4" borderId="0" xfId="0" applyFont="1" applyFill="1" applyAlignment="1" applyProtection="1">
      <alignment horizontal="left" vertical="top" wrapText="1"/>
      <protection locked="0"/>
    </xf>
    <xf numFmtId="0" fontId="4" fillId="6" borderId="0" xfId="0" applyFont="1" applyFill="1" applyAlignment="1">
      <alignment horizontal="center" vertical="top"/>
    </xf>
    <xf numFmtId="0" fontId="8" fillId="12" borderId="0" xfId="0" applyFont="1" applyFill="1" applyAlignment="1" applyProtection="1">
      <alignment horizontal="center" vertical="top" wrapText="1"/>
      <protection locked="0"/>
    </xf>
    <xf numFmtId="0" fontId="4" fillId="6" borderId="5" xfId="0" applyFont="1" applyFill="1" applyBorder="1" applyAlignment="1">
      <alignment horizontal="left"/>
    </xf>
    <xf numFmtId="49" fontId="4" fillId="0" borderId="0" xfId="0" applyNumberFormat="1" applyFont="1" applyAlignment="1">
      <alignment horizontal="left" vertical="top"/>
    </xf>
    <xf numFmtId="0" fontId="6" fillId="0" borderId="0" xfId="0" applyFont="1" applyAlignment="1" applyProtection="1">
      <alignment vertical="top"/>
      <protection locked="0"/>
    </xf>
    <xf numFmtId="0" fontId="0" fillId="4" borderId="0" xfId="0" applyFill="1" applyAlignment="1" applyProtection="1">
      <alignment horizontal="left" vertical="top"/>
      <protection locked="0"/>
    </xf>
    <xf numFmtId="14" fontId="0" fillId="4" borderId="0" xfId="0" applyNumberFormat="1" applyFill="1" applyAlignment="1" applyProtection="1">
      <alignment horizontal="center"/>
      <protection locked="0"/>
    </xf>
    <xf numFmtId="0" fontId="4" fillId="13" borderId="0" xfId="0" applyFont="1" applyFill="1" applyAlignment="1">
      <alignment horizontal="left"/>
    </xf>
    <xf numFmtId="0" fontId="6" fillId="4" borderId="1" xfId="0" applyFont="1" applyFill="1" applyBorder="1" applyAlignment="1" applyProtection="1">
      <alignment horizontal="center"/>
      <protection locked="0"/>
    </xf>
    <xf numFmtId="0" fontId="8" fillId="0" borderId="3" xfId="0" applyFont="1" applyBorder="1" applyAlignment="1">
      <alignment horizontal="center"/>
    </xf>
    <xf numFmtId="0" fontId="6" fillId="4" borderId="0" xfId="0" applyFont="1" applyFill="1" applyAlignment="1" applyProtection="1">
      <alignment horizontal="left" vertical="top"/>
      <protection locked="0"/>
    </xf>
    <xf numFmtId="20" fontId="6" fillId="4" borderId="1" xfId="0" applyNumberFormat="1"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11"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8" fillId="4" borderId="0" xfId="0" applyFont="1" applyFill="1" applyAlignment="1" applyProtection="1">
      <alignment horizontal="center"/>
      <protection locked="0"/>
    </xf>
    <xf numFmtId="0" fontId="4" fillId="4" borderId="0" xfId="0" applyFont="1" applyFill="1" applyAlignment="1" applyProtection="1">
      <alignment horizontal="center"/>
      <protection locked="0"/>
    </xf>
    <xf numFmtId="0" fontId="0" fillId="0" borderId="0" xfId="0" applyAlignment="1" applyProtection="1">
      <alignment horizontal="left" vertical="top"/>
      <protection locked="0"/>
    </xf>
    <xf numFmtId="0" fontId="8" fillId="0" borderId="0" xfId="0" applyFont="1" applyAlignment="1">
      <alignment horizontal="center"/>
    </xf>
    <xf numFmtId="0" fontId="6" fillId="4" borderId="0" xfId="0" applyFont="1" applyFill="1" applyAlignment="1" applyProtection="1">
      <alignment horizontal="center"/>
      <protection locked="0"/>
    </xf>
    <xf numFmtId="16" fontId="6" fillId="4" borderId="1" xfId="0" applyNumberFormat="1" applyFont="1" applyFill="1" applyBorder="1" applyAlignment="1" applyProtection="1">
      <alignment horizontal="center"/>
      <protection locked="0"/>
    </xf>
    <xf numFmtId="0" fontId="6" fillId="4" borderId="0" xfId="0" applyFont="1" applyFill="1" applyAlignment="1" applyProtection="1">
      <alignment horizontal="left"/>
      <protection locked="0"/>
    </xf>
    <xf numFmtId="0" fontId="4" fillId="7" borderId="3" xfId="0" applyFont="1" applyFill="1" applyBorder="1" applyAlignment="1">
      <alignment horizontal="center"/>
    </xf>
    <xf numFmtId="0" fontId="4" fillId="7" borderId="0" xfId="0" applyFont="1" applyFill="1" applyAlignment="1">
      <alignment horizontal="left"/>
    </xf>
    <xf numFmtId="0" fontId="4" fillId="7" borderId="5" xfId="0" applyFont="1" applyFill="1" applyBorder="1" applyAlignment="1">
      <alignment horizontal="left"/>
    </xf>
    <xf numFmtId="0" fontId="26" fillId="0" borderId="0" xfId="0" applyFont="1" applyAlignment="1">
      <alignment horizontal="left"/>
    </xf>
    <xf numFmtId="0" fontId="6"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left"/>
    </xf>
    <xf numFmtId="4" fontId="0" fillId="0" borderId="0" xfId="0" applyNumberFormat="1" applyAlignment="1">
      <alignment horizontal="left" wrapText="1"/>
    </xf>
    <xf numFmtId="1" fontId="4" fillId="2" borderId="0" xfId="0" applyNumberFormat="1" applyFont="1" applyFill="1" applyAlignment="1">
      <alignment horizontal="left" wrapText="1"/>
    </xf>
    <xf numFmtId="0" fontId="4" fillId="2" borderId="0" xfId="0" applyFont="1" applyFill="1" applyAlignment="1">
      <alignment horizontal="left" wrapText="1"/>
    </xf>
    <xf numFmtId="0" fontId="4" fillId="0" borderId="0" xfId="0" applyFont="1" applyAlignment="1">
      <alignment horizontal="left" wrapText="1"/>
    </xf>
    <xf numFmtId="0" fontId="8" fillId="0" borderId="0" xfId="0" applyFont="1" applyAlignment="1">
      <alignment vertical="top" wrapText="1"/>
    </xf>
    <xf numFmtId="0" fontId="4" fillId="2" borderId="0" xfId="0" applyFont="1" applyFill="1" applyAlignment="1">
      <alignment horizontal="center"/>
    </xf>
    <xf numFmtId="1" fontId="0" fillId="0" borderId="0" xfId="0" applyNumberFormat="1" applyAlignment="1">
      <alignment horizontal="left" wrapText="1"/>
    </xf>
    <xf numFmtId="1" fontId="6" fillId="0" borderId="0" xfId="0" applyNumberFormat="1" applyFont="1" applyAlignment="1">
      <alignment horizontal="left" wrapText="1"/>
    </xf>
    <xf numFmtId="1" fontId="0" fillId="0" borderId="5" xfId="0" applyNumberFormat="1" applyBorder="1" applyAlignment="1">
      <alignment horizontal="left" wrapText="1"/>
    </xf>
    <xf numFmtId="0" fontId="4" fillId="2" borderId="0" xfId="0" applyFont="1" applyFill="1" applyAlignment="1">
      <alignment horizontal="left" vertical="center" wrapText="1"/>
    </xf>
    <xf numFmtId="0" fontId="4" fillId="2" borderId="5" xfId="0" applyFont="1" applyFill="1" applyBorder="1" applyAlignment="1">
      <alignment horizontal="left" wrapText="1"/>
    </xf>
    <xf numFmtId="4" fontId="4" fillId="2" borderId="0" xfId="0" applyNumberFormat="1" applyFont="1" applyFill="1" applyAlignment="1">
      <alignment horizontal="center"/>
    </xf>
    <xf numFmtId="4" fontId="4" fillId="2" borderId="0" xfId="0" applyNumberFormat="1" applyFont="1" applyFill="1" applyAlignment="1">
      <alignment horizontal="left"/>
    </xf>
    <xf numFmtId="165" fontId="6" fillId="4" borderId="1" xfId="0" applyNumberFormat="1" applyFont="1" applyFill="1" applyBorder="1" applyAlignment="1" applyProtection="1">
      <alignment horizontal="center"/>
      <protection locked="0"/>
    </xf>
    <xf numFmtId="3" fontId="4" fillId="2" borderId="0" xfId="0" applyNumberFormat="1" applyFont="1" applyFill="1" applyAlignment="1">
      <alignment horizontal="center" wrapText="1"/>
    </xf>
    <xf numFmtId="0" fontId="26" fillId="2" borderId="0" xfId="0" applyFont="1" applyFill="1" applyAlignment="1">
      <alignment horizontal="left"/>
    </xf>
    <xf numFmtId="3" fontId="4" fillId="2" borderId="0" xfId="0" applyNumberFormat="1" applyFont="1" applyFill="1" applyAlignment="1">
      <alignment horizontal="left" wrapText="1"/>
    </xf>
    <xf numFmtId="3" fontId="4" fillId="0" borderId="0" xfId="0" applyNumberFormat="1" applyFont="1" applyAlignment="1">
      <alignment horizontal="left" wrapText="1"/>
    </xf>
    <xf numFmtId="3" fontId="0" fillId="0" borderId="0" xfId="0" applyNumberFormat="1" applyAlignment="1">
      <alignment horizontal="left" wrapText="1"/>
    </xf>
    <xf numFmtId="3" fontId="0" fillId="0" borderId="5" xfId="0" applyNumberFormat="1" applyBorder="1" applyAlignment="1">
      <alignment horizontal="left" wrapText="1"/>
    </xf>
    <xf numFmtId="3" fontId="0" fillId="0" borderId="0" xfId="0" applyNumberFormat="1" applyAlignment="1">
      <alignment horizontal="left"/>
    </xf>
    <xf numFmtId="1" fontId="2" fillId="0" borderId="0" xfId="0" applyNumberFormat="1" applyFont="1" applyAlignment="1">
      <alignment horizontal="center" wrapText="1"/>
    </xf>
    <xf numFmtId="1" fontId="2" fillId="0" borderId="5" xfId="0" applyNumberFormat="1" applyFont="1" applyBorder="1" applyAlignment="1">
      <alignment horizontal="center" wrapText="1"/>
    </xf>
    <xf numFmtId="1" fontId="22" fillId="0" borderId="0" xfId="0" applyNumberFormat="1" applyFont="1" applyAlignment="1">
      <alignment horizontal="left" wrapText="1"/>
    </xf>
    <xf numFmtId="1" fontId="22" fillId="0" borderId="5" xfId="0" applyNumberFormat="1" applyFont="1" applyBorder="1" applyAlignment="1">
      <alignment horizontal="left" wrapText="1"/>
    </xf>
    <xf numFmtId="1" fontId="2" fillId="0" borderId="0" xfId="0" applyNumberFormat="1" applyFont="1" applyAlignment="1">
      <alignment horizontal="left" wrapText="1"/>
    </xf>
    <xf numFmtId="1" fontId="2" fillId="0" borderId="5" xfId="0" applyNumberFormat="1" applyFont="1" applyBorder="1" applyAlignment="1">
      <alignment horizontal="left" wrapText="1"/>
    </xf>
    <xf numFmtId="0" fontId="22" fillId="0" borderId="0" xfId="0" applyFont="1" applyAlignment="1">
      <alignment horizontal="left" wrapText="1"/>
    </xf>
    <xf numFmtId="0" fontId="22" fillId="0" borderId="5" xfId="0" applyFont="1" applyBorder="1" applyAlignment="1">
      <alignment horizontal="left" wrapText="1"/>
    </xf>
    <xf numFmtId="0" fontId="2" fillId="0" borderId="0" xfId="0" applyFont="1" applyAlignment="1">
      <alignment horizontal="left" wrapText="1"/>
    </xf>
    <xf numFmtId="0" fontId="2" fillId="0" borderId="5" xfId="0" applyFont="1" applyBorder="1" applyAlignment="1">
      <alignment horizontal="left" wrapText="1"/>
    </xf>
    <xf numFmtId="0" fontId="4" fillId="2" borderId="0" xfId="0" applyFont="1" applyFill="1" applyAlignment="1">
      <alignment horizontal="center" vertical="center"/>
    </xf>
    <xf numFmtId="4" fontId="6" fillId="0" borderId="4" xfId="0" applyNumberFormat="1" applyFont="1" applyBorder="1" applyAlignment="1">
      <alignment horizontal="center"/>
    </xf>
    <xf numFmtId="4" fontId="6" fillId="0" borderId="11" xfId="0" applyNumberFormat="1" applyFont="1" applyBorder="1" applyAlignment="1">
      <alignment horizontal="center"/>
    </xf>
    <xf numFmtId="4" fontId="6" fillId="0" borderId="7" xfId="0" applyNumberFormat="1" applyFont="1" applyBorder="1" applyAlignment="1">
      <alignment horizontal="center"/>
    </xf>
    <xf numFmtId="4" fontId="1" fillId="0" borderId="4" xfId="0" applyNumberFormat="1" applyFont="1" applyBorder="1" applyAlignment="1">
      <alignment horizontal="center"/>
    </xf>
    <xf numFmtId="4" fontId="1" fillId="0" borderId="7" xfId="0" applyNumberFormat="1" applyFont="1" applyBorder="1" applyAlignment="1">
      <alignment horizontal="center"/>
    </xf>
    <xf numFmtId="4" fontId="1" fillId="0" borderId="1" xfId="0" applyNumberFormat="1" applyFont="1" applyBorder="1" applyAlignment="1">
      <alignment horizontal="center"/>
    </xf>
    <xf numFmtId="4" fontId="1" fillId="4" borderId="4" xfId="0" applyNumberFormat="1" applyFont="1" applyFill="1" applyBorder="1" applyAlignment="1" applyProtection="1">
      <alignment horizontal="center"/>
      <protection locked="0"/>
    </xf>
    <xf numFmtId="4" fontId="1" fillId="4" borderId="7" xfId="0" applyNumberFormat="1" applyFont="1" applyFill="1" applyBorder="1" applyAlignment="1" applyProtection="1">
      <alignment horizontal="center"/>
      <protection locked="0"/>
    </xf>
    <xf numFmtId="0" fontId="4" fillId="9" borderId="0" xfId="0" applyFont="1" applyFill="1" applyAlignment="1">
      <alignment horizontal="left"/>
    </xf>
    <xf numFmtId="0" fontId="4" fillId="9" borderId="5" xfId="0" applyFont="1" applyFill="1" applyBorder="1" applyAlignment="1">
      <alignment horizontal="left"/>
    </xf>
    <xf numFmtId="0" fontId="4" fillId="8" borderId="0" xfId="0" applyFont="1" applyFill="1" applyAlignment="1">
      <alignment horizontal="left"/>
    </xf>
    <xf numFmtId="0" fontId="4" fillId="8" borderId="5" xfId="0" applyFont="1" applyFill="1" applyBorder="1" applyAlignment="1">
      <alignment horizontal="left"/>
    </xf>
    <xf numFmtId="0" fontId="4" fillId="2" borderId="0" xfId="0" applyFont="1" applyFill="1" applyAlignment="1">
      <alignment horizontal="left"/>
    </xf>
    <xf numFmtId="0" fontId="4" fillId="2" borderId="5" xfId="0" applyFont="1" applyFill="1" applyBorder="1" applyAlignment="1">
      <alignment horizontal="left"/>
    </xf>
    <xf numFmtId="49" fontId="4" fillId="2" borderId="0" xfId="0" applyNumberFormat="1" applyFont="1" applyFill="1" applyAlignment="1">
      <alignment horizontal="left" vertical="top"/>
    </xf>
    <xf numFmtId="10" fontId="0" fillId="4" borderId="0" xfId="0" applyNumberFormat="1" applyFill="1" applyAlignment="1" applyProtection="1">
      <alignment horizontal="center"/>
      <protection locked="0"/>
    </xf>
    <xf numFmtId="0" fontId="4" fillId="10" borderId="0" xfId="0" applyFont="1" applyFill="1" applyAlignment="1">
      <alignment horizontal="left"/>
    </xf>
    <xf numFmtId="0" fontId="4" fillId="10" borderId="5" xfId="0" applyFont="1" applyFill="1" applyBorder="1" applyAlignment="1">
      <alignment horizontal="left"/>
    </xf>
    <xf numFmtId="4" fontId="0" fillId="0" borderId="4" xfId="0" applyNumberFormat="1" applyBorder="1" applyAlignment="1">
      <alignment horizontal="center"/>
    </xf>
    <xf numFmtId="4" fontId="0" fillId="0" borderId="11" xfId="0" applyNumberFormat="1" applyBorder="1" applyAlignment="1">
      <alignment horizontal="center"/>
    </xf>
    <xf numFmtId="4" fontId="0" fillId="0" borderId="7" xfId="0" applyNumberFormat="1" applyBorder="1" applyAlignment="1">
      <alignment horizontal="center"/>
    </xf>
    <xf numFmtId="0" fontId="0" fillId="0" borderId="0" xfId="0" applyAlignment="1">
      <alignment horizontal="left" vertical="top" wrapText="1"/>
    </xf>
    <xf numFmtId="4" fontId="8" fillId="0" borderId="4" xfId="0" applyNumberFormat="1" applyFont="1" applyBorder="1" applyAlignment="1">
      <alignment horizontal="center"/>
    </xf>
    <xf numFmtId="4" fontId="8" fillId="0" borderId="11" xfId="0" applyNumberFormat="1" applyFont="1" applyBorder="1" applyAlignment="1">
      <alignment horizontal="center"/>
    </xf>
    <xf numFmtId="4" fontId="8" fillId="0" borderId="7" xfId="0" applyNumberFormat="1" applyFont="1" applyBorder="1" applyAlignment="1">
      <alignment horizontal="center"/>
    </xf>
    <xf numFmtId="4" fontId="0" fillId="4" borderId="4" xfId="0" applyNumberFormat="1" applyFill="1" applyBorder="1" applyAlignment="1" applyProtection="1">
      <alignment horizontal="center"/>
      <protection locked="0"/>
    </xf>
    <xf numFmtId="4" fontId="0" fillId="4" borderId="11" xfId="0" applyNumberFormat="1" applyFill="1" applyBorder="1" applyAlignment="1" applyProtection="1">
      <alignment horizontal="center"/>
      <protection locked="0"/>
    </xf>
    <xf numFmtId="4" fontId="0" fillId="4" borderId="7" xfId="0" applyNumberFormat="1" applyFill="1" applyBorder="1" applyAlignment="1" applyProtection="1">
      <alignment horizontal="center"/>
      <protection locked="0"/>
    </xf>
    <xf numFmtId="0" fontId="0" fillId="10" borderId="0" xfId="0" applyFill="1" applyAlignment="1">
      <alignment horizontal="center"/>
    </xf>
    <xf numFmtId="0" fontId="4" fillId="2" borderId="3" xfId="0" applyFont="1" applyFill="1" applyBorder="1" applyAlignment="1">
      <alignment horizontal="center"/>
    </xf>
    <xf numFmtId="0" fontId="28" fillId="0" borderId="0" xfId="0" applyFont="1" applyAlignment="1">
      <alignment vertical="top" wrapText="1"/>
    </xf>
    <xf numFmtId="0" fontId="0" fillId="8" borderId="0" xfId="0" applyFill="1" applyAlignment="1">
      <alignment horizontal="center"/>
    </xf>
    <xf numFmtId="10" fontId="0" fillId="0" borderId="0" xfId="0" applyNumberFormat="1" applyAlignment="1">
      <alignment horizontal="center"/>
    </xf>
    <xf numFmtId="0" fontId="0" fillId="9" borderId="0" xfId="0" applyFill="1" applyAlignment="1">
      <alignment horizontal="center"/>
    </xf>
    <xf numFmtId="0" fontId="2" fillId="8" borderId="0" xfId="0" applyFont="1" applyFill="1" applyAlignment="1">
      <alignment horizontal="left" wrapText="1"/>
    </xf>
    <xf numFmtId="0" fontId="2" fillId="8" borderId="5" xfId="0" applyFont="1" applyFill="1" applyBorder="1" applyAlignment="1">
      <alignment horizontal="left" wrapText="1"/>
    </xf>
    <xf numFmtId="0" fontId="2" fillId="9" borderId="0" xfId="0" applyFont="1" applyFill="1" applyAlignment="1">
      <alignment horizontal="left" wrapText="1"/>
    </xf>
    <xf numFmtId="0" fontId="2" fillId="9" borderId="5" xfId="0" applyFont="1" applyFill="1" applyBorder="1" applyAlignment="1">
      <alignment horizontal="left" wrapText="1"/>
    </xf>
    <xf numFmtId="0" fontId="2" fillId="10" borderId="0" xfId="0" applyFont="1" applyFill="1" applyAlignment="1">
      <alignment horizontal="left" wrapText="1"/>
    </xf>
    <xf numFmtId="0" fontId="2" fillId="10" borderId="5" xfId="0" applyFont="1" applyFill="1" applyBorder="1" applyAlignment="1">
      <alignment horizontal="left" wrapText="1"/>
    </xf>
    <xf numFmtId="1" fontId="14" fillId="2" borderId="0" xfId="0" applyNumberFormat="1" applyFont="1" applyFill="1" applyAlignment="1">
      <alignment horizontal="left" wrapText="1"/>
    </xf>
    <xf numFmtId="0" fontId="11" fillId="0" borderId="0" xfId="0" applyFont="1" applyAlignment="1">
      <alignment horizontal="left" wrapText="1"/>
    </xf>
    <xf numFmtId="3" fontId="8" fillId="0" borderId="0" xfId="0" applyNumberFormat="1" applyFont="1" applyAlignment="1">
      <alignment horizontal="left" wrapText="1"/>
    </xf>
    <xf numFmtId="3" fontId="6" fillId="0" borderId="0" xfId="0" applyNumberFormat="1" applyFont="1" applyAlignment="1">
      <alignment horizontal="left" wrapText="1"/>
    </xf>
    <xf numFmtId="0" fontId="15" fillId="2" borderId="0" xfId="0" applyFont="1" applyFill="1" applyAlignment="1">
      <alignment horizontal="center" vertical="center" wrapText="1"/>
    </xf>
    <xf numFmtId="0" fontId="5" fillId="8" borderId="0" xfId="0" applyFont="1" applyFill="1" applyAlignment="1">
      <alignment horizontal="center"/>
    </xf>
    <xf numFmtId="0" fontId="15" fillId="2" borderId="0" xfId="0" applyFont="1" applyFill="1" applyAlignment="1">
      <alignment horizontal="center" vertical="center"/>
    </xf>
    <xf numFmtId="0" fontId="5" fillId="5" borderId="0" xfId="0" applyFont="1" applyFill="1" applyAlignment="1">
      <alignment horizontal="left"/>
    </xf>
    <xf numFmtId="0" fontId="27" fillId="0" borderId="0" xfId="0" applyFont="1" applyAlignment="1">
      <alignment horizontal="center"/>
    </xf>
    <xf numFmtId="0" fontId="6" fillId="0" borderId="0" xfId="0" applyFont="1" applyAlignment="1" applyProtection="1">
      <protection locked="0"/>
    </xf>
  </cellXfs>
  <cellStyles count="2">
    <cellStyle name="Millares [0]" xfId="1" builtinId="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31.png"/><Relationship Id="rId13" Type="http://schemas.openxmlformats.org/officeDocument/2006/relationships/image" Target="../media/image36.png"/><Relationship Id="rId18" Type="http://schemas.openxmlformats.org/officeDocument/2006/relationships/image" Target="../media/image41.png"/><Relationship Id="rId3" Type="http://schemas.openxmlformats.org/officeDocument/2006/relationships/image" Target="../media/image26.emf"/><Relationship Id="rId21" Type="http://schemas.openxmlformats.org/officeDocument/2006/relationships/image" Target="../media/image44.png"/><Relationship Id="rId7" Type="http://schemas.openxmlformats.org/officeDocument/2006/relationships/image" Target="../media/image30.png"/><Relationship Id="rId12" Type="http://schemas.openxmlformats.org/officeDocument/2006/relationships/image" Target="../media/image35.png"/><Relationship Id="rId17" Type="http://schemas.openxmlformats.org/officeDocument/2006/relationships/image" Target="../media/image40.png"/><Relationship Id="rId25" Type="http://schemas.openxmlformats.org/officeDocument/2006/relationships/image" Target="file:///C:\Users\JRV014\Desktop\LogoME_horizontal_2ineas.png" TargetMode="External"/><Relationship Id="rId2" Type="http://schemas.openxmlformats.org/officeDocument/2006/relationships/image" Target="../media/image3.png"/><Relationship Id="rId16" Type="http://schemas.openxmlformats.org/officeDocument/2006/relationships/image" Target="../media/image39.png"/><Relationship Id="rId20" Type="http://schemas.openxmlformats.org/officeDocument/2006/relationships/image" Target="../media/image43.png"/><Relationship Id="rId1" Type="http://schemas.openxmlformats.org/officeDocument/2006/relationships/image" Target="../media/image1.png"/><Relationship Id="rId6" Type="http://schemas.openxmlformats.org/officeDocument/2006/relationships/image" Target="../media/image29.png"/><Relationship Id="rId11" Type="http://schemas.openxmlformats.org/officeDocument/2006/relationships/image" Target="../media/image34.png"/><Relationship Id="rId24" Type="http://schemas.openxmlformats.org/officeDocument/2006/relationships/image" Target="../media/image47.png"/><Relationship Id="rId5" Type="http://schemas.openxmlformats.org/officeDocument/2006/relationships/image" Target="../media/image28.png"/><Relationship Id="rId15" Type="http://schemas.openxmlformats.org/officeDocument/2006/relationships/image" Target="../media/image38.png"/><Relationship Id="rId23" Type="http://schemas.openxmlformats.org/officeDocument/2006/relationships/image" Target="../media/image46.png"/><Relationship Id="rId10" Type="http://schemas.openxmlformats.org/officeDocument/2006/relationships/image" Target="../media/image33.png"/><Relationship Id="rId19" Type="http://schemas.openxmlformats.org/officeDocument/2006/relationships/image" Target="../media/image42.png"/><Relationship Id="rId4" Type="http://schemas.openxmlformats.org/officeDocument/2006/relationships/image" Target="../media/image27.png"/><Relationship Id="rId9" Type="http://schemas.openxmlformats.org/officeDocument/2006/relationships/image" Target="../media/image32.png"/><Relationship Id="rId14" Type="http://schemas.openxmlformats.org/officeDocument/2006/relationships/image" Target="../media/image37.png"/><Relationship Id="rId22" Type="http://schemas.openxmlformats.org/officeDocument/2006/relationships/image" Target="../media/image45.png"/></Relationships>
</file>

<file path=xl/drawings/_rels/drawing3.xml.rels><?xml version="1.0" encoding="UTF-8" standalone="yes"?>
<Relationships xmlns="http://schemas.openxmlformats.org/package/2006/relationships"><Relationship Id="rId8" Type="http://schemas.openxmlformats.org/officeDocument/2006/relationships/image" Target="../media/image53.png"/><Relationship Id="rId13" Type="http://schemas.openxmlformats.org/officeDocument/2006/relationships/image" Target="../media/image58.png"/><Relationship Id="rId3" Type="http://schemas.openxmlformats.org/officeDocument/2006/relationships/image" Target="../media/image48.png"/><Relationship Id="rId7" Type="http://schemas.openxmlformats.org/officeDocument/2006/relationships/image" Target="../media/image52.png"/><Relationship Id="rId12" Type="http://schemas.openxmlformats.org/officeDocument/2006/relationships/image" Target="../media/image57.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51.png"/><Relationship Id="rId11" Type="http://schemas.openxmlformats.org/officeDocument/2006/relationships/image" Target="../media/image56.png"/><Relationship Id="rId5" Type="http://schemas.openxmlformats.org/officeDocument/2006/relationships/image" Target="../media/image50.png"/><Relationship Id="rId15" Type="http://schemas.openxmlformats.org/officeDocument/2006/relationships/image" Target="../media/image60.png"/><Relationship Id="rId10" Type="http://schemas.openxmlformats.org/officeDocument/2006/relationships/image" Target="../media/image55.png"/><Relationship Id="rId4" Type="http://schemas.openxmlformats.org/officeDocument/2006/relationships/image" Target="../media/image49.png"/><Relationship Id="rId9" Type="http://schemas.openxmlformats.org/officeDocument/2006/relationships/image" Target="../media/image54.png"/><Relationship Id="rId14" Type="http://schemas.openxmlformats.org/officeDocument/2006/relationships/image" Target="../media/image59.png"/></Relationships>
</file>

<file path=xl/drawings/_rels/drawing4.xml.rels><?xml version="1.0" encoding="UTF-8" standalone="yes"?>
<Relationships xmlns="http://schemas.openxmlformats.org/package/2006/relationships"><Relationship Id="rId8" Type="http://schemas.openxmlformats.org/officeDocument/2006/relationships/image" Target="../media/image66.png"/><Relationship Id="rId13" Type="http://schemas.openxmlformats.org/officeDocument/2006/relationships/image" Target="../media/image71.png"/><Relationship Id="rId3" Type="http://schemas.openxmlformats.org/officeDocument/2006/relationships/image" Target="../media/image61.png"/><Relationship Id="rId7" Type="http://schemas.openxmlformats.org/officeDocument/2006/relationships/image" Target="../media/image65.png"/><Relationship Id="rId12" Type="http://schemas.openxmlformats.org/officeDocument/2006/relationships/image" Target="../media/image70.png"/><Relationship Id="rId2" Type="http://schemas.openxmlformats.org/officeDocument/2006/relationships/image" Target="../media/image3.png"/><Relationship Id="rId16" Type="http://schemas.openxmlformats.org/officeDocument/2006/relationships/image" Target="../media/image73.png"/><Relationship Id="rId1" Type="http://schemas.openxmlformats.org/officeDocument/2006/relationships/image" Target="../media/image1.png"/><Relationship Id="rId6" Type="http://schemas.openxmlformats.org/officeDocument/2006/relationships/image" Target="../media/image64.png"/><Relationship Id="rId11" Type="http://schemas.openxmlformats.org/officeDocument/2006/relationships/image" Target="../media/image69.png"/><Relationship Id="rId5" Type="http://schemas.openxmlformats.org/officeDocument/2006/relationships/image" Target="../media/image63.png"/><Relationship Id="rId15" Type="http://schemas.openxmlformats.org/officeDocument/2006/relationships/image" Target="../media/image58.png"/><Relationship Id="rId10" Type="http://schemas.openxmlformats.org/officeDocument/2006/relationships/image" Target="../media/image68.png"/><Relationship Id="rId4" Type="http://schemas.openxmlformats.org/officeDocument/2006/relationships/image" Target="../media/image62.png"/><Relationship Id="rId9" Type="http://schemas.openxmlformats.org/officeDocument/2006/relationships/image" Target="../media/image67.png"/><Relationship Id="rId14" Type="http://schemas.openxmlformats.org/officeDocument/2006/relationships/image" Target="../media/image72.png"/></Relationships>
</file>

<file path=xl/drawings/_rels/drawing5.xml.rels><?xml version="1.0" encoding="UTF-8" standalone="yes"?>
<Relationships xmlns="http://schemas.openxmlformats.org/package/2006/relationships"><Relationship Id="rId8" Type="http://schemas.openxmlformats.org/officeDocument/2006/relationships/image" Target="../media/image79.png"/><Relationship Id="rId13" Type="http://schemas.openxmlformats.org/officeDocument/2006/relationships/image" Target="../media/image84.png"/><Relationship Id="rId18" Type="http://schemas.openxmlformats.org/officeDocument/2006/relationships/image" Target="../media/image59.png"/><Relationship Id="rId3" Type="http://schemas.openxmlformats.org/officeDocument/2006/relationships/image" Target="../media/image74.png"/><Relationship Id="rId7" Type="http://schemas.openxmlformats.org/officeDocument/2006/relationships/image" Target="../media/image78.png"/><Relationship Id="rId12" Type="http://schemas.openxmlformats.org/officeDocument/2006/relationships/image" Target="../media/image83.png"/><Relationship Id="rId17" Type="http://schemas.openxmlformats.org/officeDocument/2006/relationships/image" Target="../media/image88.png"/><Relationship Id="rId2" Type="http://schemas.openxmlformats.org/officeDocument/2006/relationships/image" Target="../media/image3.png"/><Relationship Id="rId16" Type="http://schemas.openxmlformats.org/officeDocument/2006/relationships/image" Target="../media/image87.png"/><Relationship Id="rId1" Type="http://schemas.openxmlformats.org/officeDocument/2006/relationships/image" Target="../media/image1.png"/><Relationship Id="rId6" Type="http://schemas.openxmlformats.org/officeDocument/2006/relationships/image" Target="../media/image77.png"/><Relationship Id="rId11" Type="http://schemas.openxmlformats.org/officeDocument/2006/relationships/image" Target="../media/image82.png"/><Relationship Id="rId5" Type="http://schemas.openxmlformats.org/officeDocument/2006/relationships/image" Target="../media/image76.png"/><Relationship Id="rId15" Type="http://schemas.openxmlformats.org/officeDocument/2006/relationships/image" Target="../media/image86.png"/><Relationship Id="rId10" Type="http://schemas.openxmlformats.org/officeDocument/2006/relationships/image" Target="../media/image81.png"/><Relationship Id="rId4" Type="http://schemas.openxmlformats.org/officeDocument/2006/relationships/image" Target="../media/image75.png"/><Relationship Id="rId9" Type="http://schemas.openxmlformats.org/officeDocument/2006/relationships/image" Target="../media/image80.png"/><Relationship Id="rId14" Type="http://schemas.openxmlformats.org/officeDocument/2006/relationships/image" Target="../media/image85.png"/></Relationships>
</file>

<file path=xl/drawings/_rels/drawing6.xml.rels><?xml version="1.0" encoding="UTF-8" standalone="yes"?>
<Relationships xmlns="http://schemas.openxmlformats.org/package/2006/relationships"><Relationship Id="rId3" Type="http://schemas.openxmlformats.org/officeDocument/2006/relationships/image" Target="../media/image89.png"/><Relationship Id="rId7" Type="http://schemas.openxmlformats.org/officeDocument/2006/relationships/image" Target="../media/image93.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92.png"/><Relationship Id="rId5" Type="http://schemas.openxmlformats.org/officeDocument/2006/relationships/image" Target="../media/image91.png"/><Relationship Id="rId4" Type="http://schemas.openxmlformats.org/officeDocument/2006/relationships/image" Target="../media/image90.png"/></Relationships>
</file>

<file path=xl/drawings/_rels/drawing7.xml.rels><?xml version="1.0" encoding="UTF-8" standalone="yes"?>
<Relationships xmlns="http://schemas.openxmlformats.org/package/2006/relationships"><Relationship Id="rId8" Type="http://schemas.openxmlformats.org/officeDocument/2006/relationships/image" Target="../media/image91.png"/><Relationship Id="rId3" Type="http://schemas.openxmlformats.org/officeDocument/2006/relationships/image" Target="../media/image3.png"/><Relationship Id="rId7" Type="http://schemas.openxmlformats.org/officeDocument/2006/relationships/image" Target="../media/image98.png"/><Relationship Id="rId2" Type="http://schemas.openxmlformats.org/officeDocument/2006/relationships/image" Target="../media/image1.png"/><Relationship Id="rId1" Type="http://schemas.openxmlformats.org/officeDocument/2006/relationships/image" Target="../media/image94.emf"/><Relationship Id="rId6" Type="http://schemas.openxmlformats.org/officeDocument/2006/relationships/image" Target="../media/image97.png"/><Relationship Id="rId11" Type="http://schemas.openxmlformats.org/officeDocument/2006/relationships/image" Target="../media/image101.png"/><Relationship Id="rId5" Type="http://schemas.openxmlformats.org/officeDocument/2006/relationships/image" Target="../media/image96.png"/><Relationship Id="rId10" Type="http://schemas.openxmlformats.org/officeDocument/2006/relationships/image" Target="../media/image100.png"/><Relationship Id="rId4" Type="http://schemas.openxmlformats.org/officeDocument/2006/relationships/image" Target="../media/image95.png"/><Relationship Id="rId9" Type="http://schemas.openxmlformats.org/officeDocument/2006/relationships/image" Target="../media/image9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02.png"/><Relationship Id="rId7" Type="http://schemas.openxmlformats.org/officeDocument/2006/relationships/image" Target="../media/image104.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99.png"/><Relationship Id="rId5" Type="http://schemas.openxmlformats.org/officeDocument/2006/relationships/image" Target="../media/image91.png"/><Relationship Id="rId4" Type="http://schemas.openxmlformats.org/officeDocument/2006/relationships/image" Target="../media/image103.png"/></Relationships>
</file>

<file path=xl/drawings/_rels/drawing9.xml.rels><?xml version="1.0" encoding="UTF-8" standalone="yes"?>
<Relationships xmlns="http://schemas.openxmlformats.org/package/2006/relationships"><Relationship Id="rId3" Type="http://schemas.openxmlformats.org/officeDocument/2006/relationships/image" Target="../media/image105.png"/><Relationship Id="rId7" Type="http://schemas.openxmlformats.org/officeDocument/2006/relationships/image" Target="../media/image93.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99.png"/><Relationship Id="rId5" Type="http://schemas.openxmlformats.org/officeDocument/2006/relationships/image" Target="../media/image91.png"/><Relationship Id="rId4" Type="http://schemas.openxmlformats.org/officeDocument/2006/relationships/image" Target="../media/image10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09.png"/><Relationship Id="rId3" Type="http://schemas.openxmlformats.org/officeDocument/2006/relationships/image" Target="../media/image3.png"/><Relationship Id="rId7" Type="http://schemas.openxmlformats.org/officeDocument/2006/relationships/image" Target="../media/image88.png"/><Relationship Id="rId2" Type="http://schemas.openxmlformats.org/officeDocument/2006/relationships/image" Target="../media/image1.png"/><Relationship Id="rId1" Type="http://schemas.openxmlformats.org/officeDocument/2006/relationships/image" Target="../media/image107.png"/><Relationship Id="rId6" Type="http://schemas.openxmlformats.org/officeDocument/2006/relationships/image" Target="../media/image59.png"/><Relationship Id="rId5" Type="http://schemas.openxmlformats.org/officeDocument/2006/relationships/image" Target="../media/image108.png"/><Relationship Id="rId10" Type="http://schemas.openxmlformats.org/officeDocument/2006/relationships/image" Target="../media/image111.png"/><Relationship Id="rId4" Type="http://schemas.openxmlformats.org/officeDocument/2006/relationships/image" Target="../media/image91.png"/><Relationship Id="rId9" Type="http://schemas.openxmlformats.org/officeDocument/2006/relationships/image" Target="../media/image110.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14.png"/><Relationship Id="rId3" Type="http://schemas.openxmlformats.org/officeDocument/2006/relationships/image" Target="../media/image3.png"/><Relationship Id="rId7" Type="http://schemas.openxmlformats.org/officeDocument/2006/relationships/image" Target="../media/image104.png"/><Relationship Id="rId2" Type="http://schemas.openxmlformats.org/officeDocument/2006/relationships/image" Target="../media/image1.png"/><Relationship Id="rId1" Type="http://schemas.openxmlformats.org/officeDocument/2006/relationships/image" Target="../media/image112.png"/><Relationship Id="rId6" Type="http://schemas.openxmlformats.org/officeDocument/2006/relationships/image" Target="../media/image108.png"/><Relationship Id="rId5" Type="http://schemas.openxmlformats.org/officeDocument/2006/relationships/image" Target="../media/image113.png"/><Relationship Id="rId10" Type="http://schemas.openxmlformats.org/officeDocument/2006/relationships/image" Target="../media/image115.png"/><Relationship Id="rId4" Type="http://schemas.openxmlformats.org/officeDocument/2006/relationships/image" Target="../media/image91.png"/><Relationship Id="rId9" Type="http://schemas.openxmlformats.org/officeDocument/2006/relationships/image" Target="../media/image11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116.png"/><Relationship Id="rId6" Type="http://schemas.openxmlformats.org/officeDocument/2006/relationships/image" Target="../media/image117.png"/><Relationship Id="rId5" Type="http://schemas.openxmlformats.org/officeDocument/2006/relationships/image" Target="../media/image108.png"/><Relationship Id="rId4" Type="http://schemas.openxmlformats.org/officeDocument/2006/relationships/image" Target="../media/image9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118.png"/><Relationship Id="rId6" Type="http://schemas.openxmlformats.org/officeDocument/2006/relationships/image" Target="../media/image93.png"/><Relationship Id="rId5" Type="http://schemas.openxmlformats.org/officeDocument/2006/relationships/image" Target="../media/image119.png"/><Relationship Id="rId4" Type="http://schemas.openxmlformats.org/officeDocument/2006/relationships/image" Target="../media/image9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120.png"/><Relationship Id="rId6" Type="http://schemas.openxmlformats.org/officeDocument/2006/relationships/image" Target="../media/image121.png"/><Relationship Id="rId5" Type="http://schemas.openxmlformats.org/officeDocument/2006/relationships/image" Target="../media/image119.png"/><Relationship Id="rId4" Type="http://schemas.openxmlformats.org/officeDocument/2006/relationships/image" Target="../media/image9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2.png"/></Relationships>
</file>

<file path=xl/drawings/drawing1.xml><?xml version="1.0" encoding="utf-8"?>
<xdr:wsDr xmlns:xdr="http://schemas.openxmlformats.org/drawingml/2006/spreadsheetDrawing" xmlns:a="http://schemas.openxmlformats.org/drawingml/2006/main">
  <xdr:twoCellAnchor editAs="oneCell">
    <xdr:from>
      <xdr:col>2</xdr:col>
      <xdr:colOff>685800</xdr:colOff>
      <xdr:row>0</xdr:row>
      <xdr:rowOff>0</xdr:rowOff>
    </xdr:from>
    <xdr:to>
      <xdr:col>9</xdr:col>
      <xdr:colOff>0</xdr:colOff>
      <xdr:row>2</xdr:row>
      <xdr:rowOff>76200</xdr:rowOff>
    </xdr:to>
    <xdr:pic>
      <xdr:nvPicPr>
        <xdr:cNvPr id="29961" name="Picture 69" descr="ImagingService">
          <a:extLst>
            <a:ext uri="{FF2B5EF4-FFF2-40B4-BE49-F238E27FC236}">
              <a16:creationId xmlns:a16="http://schemas.microsoft.com/office/drawing/2014/main" id="{6364F279-2EA2-6B83-1A92-9F8EBB941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1295400" y="0"/>
          <a:ext cx="480822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xdr:row>
      <xdr:rowOff>182880</xdr:rowOff>
    </xdr:from>
    <xdr:to>
      <xdr:col>4</xdr:col>
      <xdr:colOff>0</xdr:colOff>
      <xdr:row>13</xdr:row>
      <xdr:rowOff>0</xdr:rowOff>
    </xdr:to>
    <xdr:pic>
      <xdr:nvPicPr>
        <xdr:cNvPr id="29962" name="Picture 37" descr="ImagingService">
          <a:extLst>
            <a:ext uri="{FF2B5EF4-FFF2-40B4-BE49-F238E27FC236}">
              <a16:creationId xmlns:a16="http://schemas.microsoft.com/office/drawing/2014/main" id="{F69E8F96-B109-3170-AB97-5E8B1281C9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74333" r="74120" b="10667"/>
        <a:stretch>
          <a:fillRect/>
        </a:stretch>
      </xdr:blipFill>
      <xdr:spPr bwMode="auto">
        <a:xfrm>
          <a:off x="289560" y="2080260"/>
          <a:ext cx="188976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685800</xdr:colOff>
      <xdr:row>2</xdr:row>
      <xdr:rowOff>45720</xdr:rowOff>
    </xdr:to>
    <xdr:pic>
      <xdr:nvPicPr>
        <xdr:cNvPr id="29963" name="Picture 8">
          <a:extLst>
            <a:ext uri="{FF2B5EF4-FFF2-40B4-BE49-F238E27FC236}">
              <a16:creationId xmlns:a16="http://schemas.microsoft.com/office/drawing/2014/main" id="{335E3FAC-75B4-505D-F1AD-A6FC627CA34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89560" y="0"/>
          <a:ext cx="100584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2</xdr:row>
      <xdr:rowOff>45720</xdr:rowOff>
    </xdr:from>
    <xdr:to>
      <xdr:col>4</xdr:col>
      <xdr:colOff>0</xdr:colOff>
      <xdr:row>4</xdr:row>
      <xdr:rowOff>0</xdr:rowOff>
    </xdr:to>
    <xdr:pic>
      <xdr:nvPicPr>
        <xdr:cNvPr id="29964" name="Picture 29" descr="ImagingService">
          <a:extLst>
            <a:ext uri="{FF2B5EF4-FFF2-40B4-BE49-F238E27FC236}">
              <a16:creationId xmlns:a16="http://schemas.microsoft.com/office/drawing/2014/main" id="{B211CD49-1E29-34E5-51FA-9B04897B132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999" r="60434" b="66667"/>
        <a:stretch>
          <a:fillRect/>
        </a:stretch>
      </xdr:blipFill>
      <xdr:spPr bwMode="auto">
        <a:xfrm>
          <a:off x="289560" y="434340"/>
          <a:ext cx="18897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106680</xdr:rowOff>
    </xdr:from>
    <xdr:to>
      <xdr:col>4</xdr:col>
      <xdr:colOff>760095</xdr:colOff>
      <xdr:row>6</xdr:row>
      <xdr:rowOff>0</xdr:rowOff>
    </xdr:to>
    <xdr:pic>
      <xdr:nvPicPr>
        <xdr:cNvPr id="29965" name="Picture 31" descr="ImagingService">
          <a:extLst>
            <a:ext uri="{FF2B5EF4-FFF2-40B4-BE49-F238E27FC236}">
              <a16:creationId xmlns:a16="http://schemas.microsoft.com/office/drawing/2014/main" id="{431E4F55-FD67-35DA-D2FD-53164D2468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6000" r="29810" b="65334"/>
        <a:stretch>
          <a:fillRect/>
        </a:stretch>
      </xdr:blipFill>
      <xdr:spPr bwMode="auto">
        <a:xfrm>
          <a:off x="289560" y="899160"/>
          <a:ext cx="2674620" cy="236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xdr:row>
      <xdr:rowOff>0</xdr:rowOff>
    </xdr:from>
    <xdr:to>
      <xdr:col>4</xdr:col>
      <xdr:colOff>76200</xdr:colOff>
      <xdr:row>10</xdr:row>
      <xdr:rowOff>129540</xdr:rowOff>
    </xdr:to>
    <xdr:pic>
      <xdr:nvPicPr>
        <xdr:cNvPr id="29966" name="Picture 33" descr="ImagingService">
          <a:extLst>
            <a:ext uri="{FF2B5EF4-FFF2-40B4-BE49-F238E27FC236}">
              <a16:creationId xmlns:a16="http://schemas.microsoft.com/office/drawing/2014/main" id="{718CCD33-336D-45AA-A833-87C052A075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15999" r="41599" b="65668"/>
        <a:stretch>
          <a:fillRect/>
        </a:stretch>
      </xdr:blipFill>
      <xdr:spPr bwMode="auto">
        <a:xfrm>
          <a:off x="289560" y="1706880"/>
          <a:ext cx="19659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xdr:row>
      <xdr:rowOff>373380</xdr:rowOff>
    </xdr:from>
    <xdr:to>
      <xdr:col>3</xdr:col>
      <xdr:colOff>693420</xdr:colOff>
      <xdr:row>12</xdr:row>
      <xdr:rowOff>0</xdr:rowOff>
    </xdr:to>
    <xdr:pic>
      <xdr:nvPicPr>
        <xdr:cNvPr id="29967" name="Picture 35" descr="ImagingService">
          <a:extLst>
            <a:ext uri="{FF2B5EF4-FFF2-40B4-BE49-F238E27FC236}">
              <a16:creationId xmlns:a16="http://schemas.microsoft.com/office/drawing/2014/main" id="{EBE50891-92E2-033A-BB73-C323C04B2B9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15666" r="45935" b="65001"/>
        <a:stretch>
          <a:fillRect/>
        </a:stretch>
      </xdr:blipFill>
      <xdr:spPr bwMode="auto">
        <a:xfrm>
          <a:off x="609600" y="2087880"/>
          <a:ext cx="14782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xdr:colOff>
      <xdr:row>11</xdr:row>
      <xdr:rowOff>327660</xdr:rowOff>
    </xdr:from>
    <xdr:to>
      <xdr:col>3</xdr:col>
      <xdr:colOff>0</xdr:colOff>
      <xdr:row>13</xdr:row>
      <xdr:rowOff>0</xdr:rowOff>
    </xdr:to>
    <xdr:pic>
      <xdr:nvPicPr>
        <xdr:cNvPr id="29968" name="Picture 36" descr="ImagingService">
          <a:extLst>
            <a:ext uri="{FF2B5EF4-FFF2-40B4-BE49-F238E27FC236}">
              <a16:creationId xmlns:a16="http://schemas.microsoft.com/office/drawing/2014/main" id="{273A4E8F-39F5-2A3F-2DDD-2B87BAE4CBE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t="15666" r="66531" b="64667"/>
        <a:stretch>
          <a:fillRect/>
        </a:stretch>
      </xdr:blipFill>
      <xdr:spPr bwMode="auto">
        <a:xfrm>
          <a:off x="609600" y="2247900"/>
          <a:ext cx="7848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190500</xdr:colOff>
      <xdr:row>11</xdr:row>
      <xdr:rowOff>83820</xdr:rowOff>
    </xdr:from>
    <xdr:to>
      <xdr:col>2</xdr:col>
      <xdr:colOff>0</xdr:colOff>
      <xdr:row>13</xdr:row>
      <xdr:rowOff>1905</xdr:rowOff>
    </xdr:to>
    <xdr:pic>
      <xdr:nvPicPr>
        <xdr:cNvPr id="29969" name="Picture 38" descr="ImagingService">
          <a:extLst>
            <a:ext uri="{FF2B5EF4-FFF2-40B4-BE49-F238E27FC236}">
              <a16:creationId xmlns:a16="http://schemas.microsoft.com/office/drawing/2014/main" id="{E935ED4F-5562-FED3-EAFA-CBF8680DDD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5569" r="95258" b="67667"/>
        <a:stretch>
          <a:fillRect/>
        </a:stretch>
      </xdr:blipFill>
      <xdr:spPr bwMode="auto">
        <a:xfrm>
          <a:off x="480060" y="2171700"/>
          <a:ext cx="129540" cy="236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19</xdr:row>
      <xdr:rowOff>129540</xdr:rowOff>
    </xdr:from>
    <xdr:to>
      <xdr:col>4</xdr:col>
      <xdr:colOff>0</xdr:colOff>
      <xdr:row>22</xdr:row>
      <xdr:rowOff>0</xdr:rowOff>
    </xdr:to>
    <xdr:pic>
      <xdr:nvPicPr>
        <xdr:cNvPr id="29970" name="Picture 40" descr="ImagingService">
          <a:extLst>
            <a:ext uri="{FF2B5EF4-FFF2-40B4-BE49-F238E27FC236}">
              <a16:creationId xmlns:a16="http://schemas.microsoft.com/office/drawing/2014/main" id="{DB0B3DA9-380B-998F-6075-52CCF38131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74333" r="74120" b="10667"/>
        <a:stretch>
          <a:fillRect/>
        </a:stretch>
      </xdr:blipFill>
      <xdr:spPr bwMode="auto">
        <a:xfrm>
          <a:off x="289560" y="3535680"/>
          <a:ext cx="18897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xdr:colOff>
      <xdr:row>20</xdr:row>
      <xdr:rowOff>0</xdr:rowOff>
    </xdr:from>
    <xdr:to>
      <xdr:col>3</xdr:col>
      <xdr:colOff>693420</xdr:colOff>
      <xdr:row>21</xdr:row>
      <xdr:rowOff>0</xdr:rowOff>
    </xdr:to>
    <xdr:pic>
      <xdr:nvPicPr>
        <xdr:cNvPr id="29971" name="Picture 41" descr="ImagingService">
          <a:extLst>
            <a:ext uri="{FF2B5EF4-FFF2-40B4-BE49-F238E27FC236}">
              <a16:creationId xmlns:a16="http://schemas.microsoft.com/office/drawing/2014/main" id="{A528C11B-277E-730F-77C9-F56085296E6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15666" r="45935" b="65001"/>
        <a:stretch>
          <a:fillRect/>
        </a:stretch>
      </xdr:blipFill>
      <xdr:spPr bwMode="auto">
        <a:xfrm>
          <a:off x="609600" y="3573780"/>
          <a:ext cx="14782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xdr:colOff>
      <xdr:row>20</xdr:row>
      <xdr:rowOff>342900</xdr:rowOff>
    </xdr:from>
    <xdr:to>
      <xdr:col>3</xdr:col>
      <xdr:colOff>0</xdr:colOff>
      <xdr:row>22</xdr:row>
      <xdr:rowOff>0</xdr:rowOff>
    </xdr:to>
    <xdr:pic>
      <xdr:nvPicPr>
        <xdr:cNvPr id="29972" name="Picture 42" descr="ImagingService">
          <a:extLst>
            <a:ext uri="{FF2B5EF4-FFF2-40B4-BE49-F238E27FC236}">
              <a16:creationId xmlns:a16="http://schemas.microsoft.com/office/drawing/2014/main" id="{0FA3B27E-2DEE-23DB-54D0-C13A023D914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t="15666" r="66531" b="64667"/>
        <a:stretch>
          <a:fillRect/>
        </a:stretch>
      </xdr:blipFill>
      <xdr:spPr bwMode="auto">
        <a:xfrm>
          <a:off x="609600" y="3733800"/>
          <a:ext cx="7848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152400</xdr:colOff>
      <xdr:row>20</xdr:row>
      <xdr:rowOff>7620</xdr:rowOff>
    </xdr:from>
    <xdr:to>
      <xdr:col>2</xdr:col>
      <xdr:colOff>0</xdr:colOff>
      <xdr:row>21</xdr:row>
      <xdr:rowOff>144780</xdr:rowOff>
    </xdr:to>
    <xdr:pic>
      <xdr:nvPicPr>
        <xdr:cNvPr id="29973" name="Picture 45" descr="ImagingService">
          <a:extLst>
            <a:ext uri="{FF2B5EF4-FFF2-40B4-BE49-F238E27FC236}">
              <a16:creationId xmlns:a16="http://schemas.microsoft.com/office/drawing/2014/main" id="{57D084FC-81E7-2E37-639D-D3A670D685E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t="14999" r="94580" b="68668"/>
        <a:stretch>
          <a:fillRect/>
        </a:stretch>
      </xdr:blipFill>
      <xdr:spPr bwMode="auto">
        <a:xfrm>
          <a:off x="441960" y="3581400"/>
          <a:ext cx="16764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28</xdr:row>
      <xdr:rowOff>129540</xdr:rowOff>
    </xdr:from>
    <xdr:to>
      <xdr:col>4</xdr:col>
      <xdr:colOff>0</xdr:colOff>
      <xdr:row>30</xdr:row>
      <xdr:rowOff>160020</xdr:rowOff>
    </xdr:to>
    <xdr:pic>
      <xdr:nvPicPr>
        <xdr:cNvPr id="29974" name="Picture 46" descr="ImagingService">
          <a:extLst>
            <a:ext uri="{FF2B5EF4-FFF2-40B4-BE49-F238E27FC236}">
              <a16:creationId xmlns:a16="http://schemas.microsoft.com/office/drawing/2014/main" id="{C937E2E7-90DB-49B7-B533-1B7B0C61DC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74333" r="74120" b="10667"/>
        <a:stretch>
          <a:fillRect/>
        </a:stretch>
      </xdr:blipFill>
      <xdr:spPr bwMode="auto">
        <a:xfrm>
          <a:off x="289560" y="5021580"/>
          <a:ext cx="18897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xdr:colOff>
      <xdr:row>29</xdr:row>
      <xdr:rowOff>7620</xdr:rowOff>
    </xdr:from>
    <xdr:to>
      <xdr:col>3</xdr:col>
      <xdr:colOff>716280</xdr:colOff>
      <xdr:row>30</xdr:row>
      <xdr:rowOff>0</xdr:rowOff>
    </xdr:to>
    <xdr:pic>
      <xdr:nvPicPr>
        <xdr:cNvPr id="29975" name="Picture 47" descr="ImagingService">
          <a:extLst>
            <a:ext uri="{FF2B5EF4-FFF2-40B4-BE49-F238E27FC236}">
              <a16:creationId xmlns:a16="http://schemas.microsoft.com/office/drawing/2014/main" id="{AE483AD1-73CD-BAB2-26CB-5904252B882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t="15666" r="45935" b="65001"/>
        <a:stretch>
          <a:fillRect/>
        </a:stretch>
      </xdr:blipFill>
      <xdr:spPr bwMode="auto">
        <a:xfrm>
          <a:off x="617220" y="5067300"/>
          <a:ext cx="149352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xdr:colOff>
      <xdr:row>30</xdr:row>
      <xdr:rowOff>0</xdr:rowOff>
    </xdr:from>
    <xdr:to>
      <xdr:col>3</xdr:col>
      <xdr:colOff>0</xdr:colOff>
      <xdr:row>30</xdr:row>
      <xdr:rowOff>160020</xdr:rowOff>
    </xdr:to>
    <xdr:pic>
      <xdr:nvPicPr>
        <xdr:cNvPr id="29976" name="Picture 48" descr="ImagingService">
          <a:extLst>
            <a:ext uri="{FF2B5EF4-FFF2-40B4-BE49-F238E27FC236}">
              <a16:creationId xmlns:a16="http://schemas.microsoft.com/office/drawing/2014/main" id="{79E77223-B5DF-1585-952E-517E890F0442}"/>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t="15666" r="66531" b="64667"/>
        <a:stretch>
          <a:fillRect/>
        </a:stretch>
      </xdr:blipFill>
      <xdr:spPr bwMode="auto">
        <a:xfrm>
          <a:off x="617220" y="5219700"/>
          <a:ext cx="77724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29</xdr:row>
      <xdr:rowOff>53340</xdr:rowOff>
    </xdr:from>
    <xdr:to>
      <xdr:col>2</xdr:col>
      <xdr:colOff>0</xdr:colOff>
      <xdr:row>30</xdr:row>
      <xdr:rowOff>158115</xdr:rowOff>
    </xdr:to>
    <xdr:pic>
      <xdr:nvPicPr>
        <xdr:cNvPr id="29977" name="Picture 50" descr="ImagingService">
          <a:extLst>
            <a:ext uri="{FF2B5EF4-FFF2-40B4-BE49-F238E27FC236}">
              <a16:creationId xmlns:a16="http://schemas.microsoft.com/office/drawing/2014/main" id="{8762F84B-7A0D-DBCD-04A6-B1A5511878B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t="16000" r="94444" b="68666"/>
        <a:stretch>
          <a:fillRect/>
        </a:stretch>
      </xdr:blipFill>
      <xdr:spPr bwMode="auto">
        <a:xfrm>
          <a:off x="518160" y="5113020"/>
          <a:ext cx="9144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37</xdr:row>
      <xdr:rowOff>129540</xdr:rowOff>
    </xdr:from>
    <xdr:to>
      <xdr:col>4</xdr:col>
      <xdr:colOff>0</xdr:colOff>
      <xdr:row>40</xdr:row>
      <xdr:rowOff>0</xdr:rowOff>
    </xdr:to>
    <xdr:pic>
      <xdr:nvPicPr>
        <xdr:cNvPr id="29978" name="Picture 51" descr="ImagingService">
          <a:extLst>
            <a:ext uri="{FF2B5EF4-FFF2-40B4-BE49-F238E27FC236}">
              <a16:creationId xmlns:a16="http://schemas.microsoft.com/office/drawing/2014/main" id="{98D9E17D-9FC8-87DE-797F-27B2A53E6A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74333" r="74120" b="10667"/>
        <a:stretch>
          <a:fillRect/>
        </a:stretch>
      </xdr:blipFill>
      <xdr:spPr bwMode="auto">
        <a:xfrm>
          <a:off x="289560" y="6507480"/>
          <a:ext cx="18897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45720</xdr:colOff>
      <xdr:row>38</xdr:row>
      <xdr:rowOff>7620</xdr:rowOff>
    </xdr:from>
    <xdr:to>
      <xdr:col>3</xdr:col>
      <xdr:colOff>754380</xdr:colOff>
      <xdr:row>39</xdr:row>
      <xdr:rowOff>0</xdr:rowOff>
    </xdr:to>
    <xdr:pic>
      <xdr:nvPicPr>
        <xdr:cNvPr id="29979" name="Picture 52" descr="ImagingService">
          <a:extLst>
            <a:ext uri="{FF2B5EF4-FFF2-40B4-BE49-F238E27FC236}">
              <a16:creationId xmlns:a16="http://schemas.microsoft.com/office/drawing/2014/main" id="{EDC1E0E2-FB95-01C3-BCC3-3AEC84C6487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t="15666" r="45935" b="65001"/>
        <a:stretch>
          <a:fillRect/>
        </a:stretch>
      </xdr:blipFill>
      <xdr:spPr bwMode="auto">
        <a:xfrm>
          <a:off x="655320" y="6553200"/>
          <a:ext cx="149352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45720</xdr:colOff>
      <xdr:row>39</xdr:row>
      <xdr:rowOff>0</xdr:rowOff>
    </xdr:from>
    <xdr:to>
      <xdr:col>3</xdr:col>
      <xdr:colOff>0</xdr:colOff>
      <xdr:row>40</xdr:row>
      <xdr:rowOff>0</xdr:rowOff>
    </xdr:to>
    <xdr:pic>
      <xdr:nvPicPr>
        <xdr:cNvPr id="29980" name="Picture 53" descr="ImagingService">
          <a:extLst>
            <a:ext uri="{FF2B5EF4-FFF2-40B4-BE49-F238E27FC236}">
              <a16:creationId xmlns:a16="http://schemas.microsoft.com/office/drawing/2014/main" id="{30CE5D83-4F9F-314F-BD22-DE153D27529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t="15666" r="66531" b="64667"/>
        <a:stretch>
          <a:fillRect/>
        </a:stretch>
      </xdr:blipFill>
      <xdr:spPr bwMode="auto">
        <a:xfrm>
          <a:off x="655320" y="6705600"/>
          <a:ext cx="73914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251460</xdr:colOff>
      <xdr:row>38</xdr:row>
      <xdr:rowOff>99060</xdr:rowOff>
    </xdr:from>
    <xdr:to>
      <xdr:col>2</xdr:col>
      <xdr:colOff>0</xdr:colOff>
      <xdr:row>40</xdr:row>
      <xdr:rowOff>1905</xdr:rowOff>
    </xdr:to>
    <xdr:pic>
      <xdr:nvPicPr>
        <xdr:cNvPr id="29981" name="Picture 56" descr="ImagingService">
          <a:extLst>
            <a:ext uri="{FF2B5EF4-FFF2-40B4-BE49-F238E27FC236}">
              <a16:creationId xmlns:a16="http://schemas.microsoft.com/office/drawing/2014/main" id="{273BA182-BC7B-27B6-D6B1-90B9CCA7312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l="-136" t="17000" r="94716" b="68001"/>
        <a:stretch>
          <a:fillRect/>
        </a:stretch>
      </xdr:blipFill>
      <xdr:spPr bwMode="auto">
        <a:xfrm>
          <a:off x="541020" y="6644640"/>
          <a:ext cx="6858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46</xdr:row>
      <xdr:rowOff>129540</xdr:rowOff>
    </xdr:from>
    <xdr:to>
      <xdr:col>4</xdr:col>
      <xdr:colOff>0</xdr:colOff>
      <xdr:row>49</xdr:row>
      <xdr:rowOff>0</xdr:rowOff>
    </xdr:to>
    <xdr:pic>
      <xdr:nvPicPr>
        <xdr:cNvPr id="29982" name="Picture 57" descr="ImagingService">
          <a:extLst>
            <a:ext uri="{FF2B5EF4-FFF2-40B4-BE49-F238E27FC236}">
              <a16:creationId xmlns:a16="http://schemas.microsoft.com/office/drawing/2014/main" id="{5E07797A-48F2-0E42-F93E-19495E5E1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74333" r="74120" b="10667"/>
        <a:stretch>
          <a:fillRect/>
        </a:stretch>
      </xdr:blipFill>
      <xdr:spPr bwMode="auto">
        <a:xfrm>
          <a:off x="289560" y="7993380"/>
          <a:ext cx="18897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47</xdr:row>
      <xdr:rowOff>38100</xdr:rowOff>
    </xdr:from>
    <xdr:to>
      <xdr:col>3</xdr:col>
      <xdr:colOff>758190</xdr:colOff>
      <xdr:row>48</xdr:row>
      <xdr:rowOff>15240</xdr:rowOff>
    </xdr:to>
    <xdr:pic>
      <xdr:nvPicPr>
        <xdr:cNvPr id="29983" name="Picture 58" descr="ImagingService">
          <a:extLst>
            <a:ext uri="{FF2B5EF4-FFF2-40B4-BE49-F238E27FC236}">
              <a16:creationId xmlns:a16="http://schemas.microsoft.com/office/drawing/2014/main" id="{5289E71F-2AD2-D2F7-509B-3CEE6EA31004}"/>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t="15666" r="45935" b="65001"/>
        <a:stretch>
          <a:fillRect/>
        </a:stretch>
      </xdr:blipFill>
      <xdr:spPr bwMode="auto">
        <a:xfrm>
          <a:off x="685800" y="8069580"/>
          <a:ext cx="148590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48</xdr:row>
      <xdr:rowOff>7620</xdr:rowOff>
    </xdr:from>
    <xdr:to>
      <xdr:col>3</xdr:col>
      <xdr:colOff>0</xdr:colOff>
      <xdr:row>49</xdr:row>
      <xdr:rowOff>0</xdr:rowOff>
    </xdr:to>
    <xdr:pic>
      <xdr:nvPicPr>
        <xdr:cNvPr id="29984" name="Picture 59" descr="ImagingService">
          <a:extLst>
            <a:ext uri="{FF2B5EF4-FFF2-40B4-BE49-F238E27FC236}">
              <a16:creationId xmlns:a16="http://schemas.microsoft.com/office/drawing/2014/main" id="{34AD4424-4D30-9BCB-60D0-8A0D1F42B756}"/>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t="15666" r="66531" b="64667"/>
        <a:stretch>
          <a:fillRect/>
        </a:stretch>
      </xdr:blipFill>
      <xdr:spPr bwMode="auto">
        <a:xfrm>
          <a:off x="685800" y="8199120"/>
          <a:ext cx="70866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47</xdr:row>
      <xdr:rowOff>83820</xdr:rowOff>
    </xdr:from>
    <xdr:to>
      <xdr:col>2</xdr:col>
      <xdr:colOff>0</xdr:colOff>
      <xdr:row>49</xdr:row>
      <xdr:rowOff>0</xdr:rowOff>
    </xdr:to>
    <xdr:pic>
      <xdr:nvPicPr>
        <xdr:cNvPr id="29985" name="Picture 62" descr="ImagingService">
          <a:extLst>
            <a:ext uri="{FF2B5EF4-FFF2-40B4-BE49-F238E27FC236}">
              <a16:creationId xmlns:a16="http://schemas.microsoft.com/office/drawing/2014/main" id="{946E1E70-DEF0-D851-3946-1B3E71297C8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t="14999" r="94986" b="68001"/>
        <a:stretch>
          <a:fillRect/>
        </a:stretch>
      </xdr:blipFill>
      <xdr:spPr bwMode="auto">
        <a:xfrm>
          <a:off x="518160" y="8115300"/>
          <a:ext cx="91440" cy="236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4</xdr:row>
      <xdr:rowOff>152400</xdr:rowOff>
    </xdr:from>
    <xdr:to>
      <xdr:col>13</xdr:col>
      <xdr:colOff>0</xdr:colOff>
      <xdr:row>6</xdr:row>
      <xdr:rowOff>0</xdr:rowOff>
    </xdr:to>
    <xdr:pic>
      <xdr:nvPicPr>
        <xdr:cNvPr id="29986" name="Picture 63" descr="ImagingService">
          <a:extLst>
            <a:ext uri="{FF2B5EF4-FFF2-40B4-BE49-F238E27FC236}">
              <a16:creationId xmlns:a16="http://schemas.microsoft.com/office/drawing/2014/main" id="{B1E10ED2-A9CE-7A9A-BBDB-C7A144C4FBEB}"/>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t="16000" r="46071" b="67000"/>
        <a:stretch>
          <a:fillRect/>
        </a:stretch>
      </xdr:blipFill>
      <xdr:spPr bwMode="auto">
        <a:xfrm>
          <a:off x="6393180" y="944880"/>
          <a:ext cx="188976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29</xdr:row>
      <xdr:rowOff>7620</xdr:rowOff>
    </xdr:from>
    <xdr:to>
      <xdr:col>14</xdr:col>
      <xdr:colOff>358140</xdr:colOff>
      <xdr:row>30</xdr:row>
      <xdr:rowOff>160020</xdr:rowOff>
    </xdr:to>
    <xdr:pic>
      <xdr:nvPicPr>
        <xdr:cNvPr id="29987" name="Picture 65" descr="ImagingService">
          <a:extLst>
            <a:ext uri="{FF2B5EF4-FFF2-40B4-BE49-F238E27FC236}">
              <a16:creationId xmlns:a16="http://schemas.microsoft.com/office/drawing/2014/main" id="{3C8DBED3-AA89-2775-C387-3219C70EB81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t="14667" r="25610" b="67000"/>
        <a:stretch>
          <a:fillRect/>
        </a:stretch>
      </xdr:blipFill>
      <xdr:spPr bwMode="auto">
        <a:xfrm>
          <a:off x="6393180" y="5067300"/>
          <a:ext cx="303276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632460</xdr:colOff>
      <xdr:row>0</xdr:row>
      <xdr:rowOff>0</xdr:rowOff>
    </xdr:from>
    <xdr:to>
      <xdr:col>17</xdr:col>
      <xdr:colOff>758190</xdr:colOff>
      <xdr:row>2</xdr:row>
      <xdr:rowOff>68580</xdr:rowOff>
    </xdr:to>
    <xdr:pic>
      <xdr:nvPicPr>
        <xdr:cNvPr id="29988" name="Picture 72" descr="ImagingService">
          <a:extLst>
            <a:ext uri="{FF2B5EF4-FFF2-40B4-BE49-F238E27FC236}">
              <a16:creationId xmlns:a16="http://schemas.microsoft.com/office/drawing/2014/main" id="{4797B0BB-9A02-6B9F-DB14-6937DF338B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7345680" y="0"/>
          <a:ext cx="486156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0</xdr:row>
      <xdr:rowOff>0</xdr:rowOff>
    </xdr:from>
    <xdr:to>
      <xdr:col>11</xdr:col>
      <xdr:colOff>685800</xdr:colOff>
      <xdr:row>2</xdr:row>
      <xdr:rowOff>45720</xdr:rowOff>
    </xdr:to>
    <xdr:pic>
      <xdr:nvPicPr>
        <xdr:cNvPr id="29989" name="Picture 73">
          <a:extLst>
            <a:ext uri="{FF2B5EF4-FFF2-40B4-BE49-F238E27FC236}">
              <a16:creationId xmlns:a16="http://schemas.microsoft.com/office/drawing/2014/main" id="{15B3BAE3-6DC5-B5A2-0E02-A9ACD2085A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6393180" y="0"/>
          <a:ext cx="100584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10</xdr:col>
      <xdr:colOff>0</xdr:colOff>
      <xdr:row>2</xdr:row>
      <xdr:rowOff>45720</xdr:rowOff>
    </xdr:from>
    <xdr:to>
      <xdr:col>13</xdr:col>
      <xdr:colOff>0</xdr:colOff>
      <xdr:row>4</xdr:row>
      <xdr:rowOff>0</xdr:rowOff>
    </xdr:to>
    <xdr:pic>
      <xdr:nvPicPr>
        <xdr:cNvPr id="29990" name="Picture 81" descr="ImagingService">
          <a:extLst>
            <a:ext uri="{FF2B5EF4-FFF2-40B4-BE49-F238E27FC236}">
              <a16:creationId xmlns:a16="http://schemas.microsoft.com/office/drawing/2014/main" id="{44B3F8FA-6D67-34F5-836E-EF760CB1D8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999" r="60434" b="66667"/>
        <a:stretch>
          <a:fillRect/>
        </a:stretch>
      </xdr:blipFill>
      <xdr:spPr bwMode="auto">
        <a:xfrm>
          <a:off x="6393180" y="434340"/>
          <a:ext cx="18897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1165860</xdr:colOff>
      <xdr:row>0</xdr:row>
      <xdr:rowOff>312420</xdr:rowOff>
    </xdr:from>
    <xdr:to>
      <xdr:col>17</xdr:col>
      <xdr:colOff>758190</xdr:colOff>
      <xdr:row>3</xdr:row>
      <xdr:rowOff>30480</xdr:rowOff>
    </xdr:to>
    <xdr:pic>
      <xdr:nvPicPr>
        <xdr:cNvPr id="29991" name="Picture 83" descr="ImagingService">
          <a:extLst>
            <a:ext uri="{FF2B5EF4-FFF2-40B4-BE49-F238E27FC236}">
              <a16:creationId xmlns:a16="http://schemas.microsoft.com/office/drawing/2014/main" id="{D56953EB-90A6-7535-4BCB-7CBD929280BE}"/>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l="136" t="12936" r="86719" b="66000"/>
        <a:stretch>
          <a:fillRect/>
        </a:stretch>
      </xdr:blipFill>
      <xdr:spPr bwMode="auto">
        <a:xfrm>
          <a:off x="11422380" y="228600"/>
          <a:ext cx="78486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1394460</xdr:colOff>
      <xdr:row>0</xdr:row>
      <xdr:rowOff>327660</xdr:rowOff>
    </xdr:from>
    <xdr:to>
      <xdr:col>9</xdr:col>
      <xdr:colOff>0</xdr:colOff>
      <xdr:row>3</xdr:row>
      <xdr:rowOff>22860</xdr:rowOff>
    </xdr:to>
    <xdr:pic>
      <xdr:nvPicPr>
        <xdr:cNvPr id="29992" name="Picture 82" descr="ImagingService">
          <a:extLst>
            <a:ext uri="{FF2B5EF4-FFF2-40B4-BE49-F238E27FC236}">
              <a16:creationId xmlns:a16="http://schemas.microsoft.com/office/drawing/2014/main" id="{6144634F-8300-1DB5-28D5-D88E2BDAFAD1}"/>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l="-406" t="12666" r="86314" b="65886"/>
        <a:stretch>
          <a:fillRect/>
        </a:stretch>
      </xdr:blipFill>
      <xdr:spPr bwMode="auto">
        <a:xfrm>
          <a:off x="5318760" y="228600"/>
          <a:ext cx="78486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1089660</xdr:colOff>
      <xdr:row>55</xdr:row>
      <xdr:rowOff>243840</xdr:rowOff>
    </xdr:from>
    <xdr:to>
      <xdr:col>9</xdr:col>
      <xdr:colOff>3810</xdr:colOff>
      <xdr:row>60</xdr:row>
      <xdr:rowOff>53340</xdr:rowOff>
    </xdr:to>
    <xdr:pic>
      <xdr:nvPicPr>
        <xdr:cNvPr id="29993" name="1 Imagen">
          <a:extLst>
            <a:ext uri="{FF2B5EF4-FFF2-40B4-BE49-F238E27FC236}">
              <a16:creationId xmlns:a16="http://schemas.microsoft.com/office/drawing/2014/main" id="{7CDEFC2F-A42E-13C1-C760-860E476B9F15}"/>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533900" y="9517380"/>
          <a:ext cx="156972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1104900</xdr:colOff>
      <xdr:row>55</xdr:row>
      <xdr:rowOff>243840</xdr:rowOff>
    </xdr:from>
    <xdr:to>
      <xdr:col>17</xdr:col>
      <xdr:colOff>760095</xdr:colOff>
      <xdr:row>60</xdr:row>
      <xdr:rowOff>30480</xdr:rowOff>
    </xdr:to>
    <xdr:pic>
      <xdr:nvPicPr>
        <xdr:cNvPr id="29994" name="1 Imagen">
          <a:extLst>
            <a:ext uri="{FF2B5EF4-FFF2-40B4-BE49-F238E27FC236}">
              <a16:creationId xmlns:a16="http://schemas.microsoft.com/office/drawing/2014/main" id="{5A6AEDD6-D800-2ACF-01DF-AC7210719664}"/>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0637520" y="9517380"/>
          <a:ext cx="1569720" cy="701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37</xdr:col>
      <xdr:colOff>0</xdr:colOff>
      <xdr:row>0</xdr:row>
      <xdr:rowOff>0</xdr:rowOff>
    </xdr:from>
    <xdr:to>
      <xdr:col>45</xdr:col>
      <xdr:colOff>0</xdr:colOff>
      <xdr:row>2</xdr:row>
      <xdr:rowOff>45720</xdr:rowOff>
    </xdr:to>
    <xdr:grpSp>
      <xdr:nvGrpSpPr>
        <xdr:cNvPr id="31043" name="Group 41">
          <a:extLst>
            <a:ext uri="{FF2B5EF4-FFF2-40B4-BE49-F238E27FC236}">
              <a16:creationId xmlns:a16="http://schemas.microsoft.com/office/drawing/2014/main" id="{B6D98590-3BD7-2DC8-D5EB-D77947A5C6C7}"/>
            </a:ext>
          </a:extLst>
        </xdr:cNvPr>
        <xdr:cNvGrpSpPr>
          <a:grpSpLocks/>
        </xdr:cNvGrpSpPr>
      </xdr:nvGrpSpPr>
      <xdr:grpSpPr bwMode="auto">
        <a:xfrm>
          <a:off x="24164925" y="0"/>
          <a:ext cx="5648325" cy="436245"/>
          <a:chOff x="2538" y="0"/>
          <a:chExt cx="592" cy="44"/>
        </a:xfrm>
      </xdr:grpSpPr>
      <xdr:pic>
        <xdr:nvPicPr>
          <xdr:cNvPr id="31105" name="Picture 37" descr="ImagingService">
            <a:extLst>
              <a:ext uri="{FF2B5EF4-FFF2-40B4-BE49-F238E27FC236}">
                <a16:creationId xmlns:a16="http://schemas.microsoft.com/office/drawing/2014/main" id="{B169DF31-7DDD-A1B1-8742-61DFBE94EA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106" name="Picture 38">
            <a:extLst>
              <a:ext uri="{FF2B5EF4-FFF2-40B4-BE49-F238E27FC236}">
                <a16:creationId xmlns:a16="http://schemas.microsoft.com/office/drawing/2014/main" id="{146E583E-1720-BB11-7C30-48AC6C971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47</xdr:col>
      <xdr:colOff>1089660</xdr:colOff>
      <xdr:row>14</xdr:row>
      <xdr:rowOff>76200</xdr:rowOff>
    </xdr:from>
    <xdr:to>
      <xdr:col>53</xdr:col>
      <xdr:colOff>83820</xdr:colOff>
      <xdr:row>37</xdr:row>
      <xdr:rowOff>160020</xdr:rowOff>
    </xdr:to>
    <xdr:pic macro="Macro1">
      <xdr:nvPicPr>
        <xdr:cNvPr id="31044" name="Picture 5">
          <a:extLst>
            <a:ext uri="{FF2B5EF4-FFF2-40B4-BE49-F238E27FC236}">
              <a16:creationId xmlns:a16="http://schemas.microsoft.com/office/drawing/2014/main" id="{0CB929F4-E495-D362-9EB2-844C98913E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095440" y="2514600"/>
          <a:ext cx="4008120" cy="3916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oneCell">
    <xdr:from>
      <xdr:col>37</xdr:col>
      <xdr:colOff>0</xdr:colOff>
      <xdr:row>2</xdr:row>
      <xdr:rowOff>106680</xdr:rowOff>
    </xdr:from>
    <xdr:to>
      <xdr:col>40</xdr:col>
      <xdr:colOff>251460</xdr:colOff>
      <xdr:row>4</xdr:row>
      <xdr:rowOff>0</xdr:rowOff>
    </xdr:to>
    <xdr:pic>
      <xdr:nvPicPr>
        <xdr:cNvPr id="31045" name="Picture 36" descr="ImagingService">
          <a:extLst>
            <a:ext uri="{FF2B5EF4-FFF2-40B4-BE49-F238E27FC236}">
              <a16:creationId xmlns:a16="http://schemas.microsoft.com/office/drawing/2014/main" id="{BE14329D-EEF9-55CA-CAAE-379517F642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24856440" y="495300"/>
          <a:ext cx="214122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0</xdr:colOff>
      <xdr:row>4</xdr:row>
      <xdr:rowOff>289560</xdr:rowOff>
    </xdr:from>
    <xdr:to>
      <xdr:col>38</xdr:col>
      <xdr:colOff>760095</xdr:colOff>
      <xdr:row>6</xdr:row>
      <xdr:rowOff>0</xdr:rowOff>
    </xdr:to>
    <xdr:pic>
      <xdr:nvPicPr>
        <xdr:cNvPr id="31046" name="Picture 40">
          <a:extLst>
            <a:ext uri="{FF2B5EF4-FFF2-40B4-BE49-F238E27FC236}">
              <a16:creationId xmlns:a16="http://schemas.microsoft.com/office/drawing/2014/main" id="{5839016C-70A9-5BAD-D6E9-0AA0794087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6667" r="70732" b="69333"/>
        <a:stretch>
          <a:fillRect/>
        </a:stretch>
      </xdr:blipFill>
      <xdr:spPr bwMode="auto">
        <a:xfrm>
          <a:off x="24856440" y="967740"/>
          <a:ext cx="1104900" cy="1676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0</xdr:row>
      <xdr:rowOff>0</xdr:rowOff>
    </xdr:from>
    <xdr:to>
      <xdr:col>9</xdr:col>
      <xdr:colOff>0</xdr:colOff>
      <xdr:row>2</xdr:row>
      <xdr:rowOff>45720</xdr:rowOff>
    </xdr:to>
    <xdr:grpSp>
      <xdr:nvGrpSpPr>
        <xdr:cNvPr id="31047" name="Group 42">
          <a:extLst>
            <a:ext uri="{FF2B5EF4-FFF2-40B4-BE49-F238E27FC236}">
              <a16:creationId xmlns:a16="http://schemas.microsoft.com/office/drawing/2014/main" id="{3C4AB0D3-13A3-D1C9-E084-BE1B4438C988}"/>
            </a:ext>
          </a:extLst>
        </xdr:cNvPr>
        <xdr:cNvGrpSpPr>
          <a:grpSpLocks/>
        </xdr:cNvGrpSpPr>
      </xdr:nvGrpSpPr>
      <xdr:grpSpPr bwMode="auto">
        <a:xfrm>
          <a:off x="314325" y="0"/>
          <a:ext cx="5648325" cy="436245"/>
          <a:chOff x="2538" y="0"/>
          <a:chExt cx="592" cy="44"/>
        </a:xfrm>
      </xdr:grpSpPr>
      <xdr:pic>
        <xdr:nvPicPr>
          <xdr:cNvPr id="31103" name="Picture 43" descr="ImagingService">
            <a:extLst>
              <a:ext uri="{FF2B5EF4-FFF2-40B4-BE49-F238E27FC236}">
                <a16:creationId xmlns:a16="http://schemas.microsoft.com/office/drawing/2014/main" id="{26896F2F-666D-8E56-56E3-334BB0E4D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104" name="Picture 44">
            <a:extLst>
              <a:ext uri="{FF2B5EF4-FFF2-40B4-BE49-F238E27FC236}">
                <a16:creationId xmlns:a16="http://schemas.microsoft.com/office/drawing/2014/main" id="{04DDE93C-0F32-1EC2-FDAB-1AEE831ED1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0</xdr:colOff>
      <xdr:row>2</xdr:row>
      <xdr:rowOff>7620</xdr:rowOff>
    </xdr:from>
    <xdr:to>
      <xdr:col>4</xdr:col>
      <xdr:colOff>449580</xdr:colOff>
      <xdr:row>4</xdr:row>
      <xdr:rowOff>3810</xdr:rowOff>
    </xdr:to>
    <xdr:pic>
      <xdr:nvPicPr>
        <xdr:cNvPr id="31048" name="Picture 45" descr="ImagingService">
          <a:extLst>
            <a:ext uri="{FF2B5EF4-FFF2-40B4-BE49-F238E27FC236}">
              <a16:creationId xmlns:a16="http://schemas.microsoft.com/office/drawing/2014/main" id="{CDFB0855-268D-3407-9965-9A13FB14B75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320040" y="396240"/>
          <a:ext cx="233934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91440</xdr:rowOff>
    </xdr:from>
    <xdr:to>
      <xdr:col>6</xdr:col>
      <xdr:colOff>0</xdr:colOff>
      <xdr:row>5</xdr:row>
      <xdr:rowOff>158115</xdr:rowOff>
    </xdr:to>
    <xdr:pic>
      <xdr:nvPicPr>
        <xdr:cNvPr id="31049" name="Picture 48" descr="ImagingService">
          <a:extLst>
            <a:ext uri="{FF2B5EF4-FFF2-40B4-BE49-F238E27FC236}">
              <a16:creationId xmlns:a16="http://schemas.microsoft.com/office/drawing/2014/main" id="{62241428-E41F-E5C4-D748-C6AB3F039C3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14333" r="18156" b="65334"/>
        <a:stretch>
          <a:fillRect/>
        </a:stretch>
      </xdr:blipFill>
      <xdr:spPr bwMode="auto">
        <a:xfrm>
          <a:off x="320040" y="883920"/>
          <a:ext cx="345948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0</xdr:row>
      <xdr:rowOff>0</xdr:rowOff>
    </xdr:from>
    <xdr:to>
      <xdr:col>18</xdr:col>
      <xdr:colOff>0</xdr:colOff>
      <xdr:row>2</xdr:row>
      <xdr:rowOff>45720</xdr:rowOff>
    </xdr:to>
    <xdr:grpSp>
      <xdr:nvGrpSpPr>
        <xdr:cNvPr id="31050" name="Group 49">
          <a:extLst>
            <a:ext uri="{FF2B5EF4-FFF2-40B4-BE49-F238E27FC236}">
              <a16:creationId xmlns:a16="http://schemas.microsoft.com/office/drawing/2014/main" id="{08FABDEA-71A1-43ED-08CC-51B8DDE35C9D}"/>
            </a:ext>
          </a:extLst>
        </xdr:cNvPr>
        <xdr:cNvGrpSpPr>
          <a:grpSpLocks/>
        </xdr:cNvGrpSpPr>
      </xdr:nvGrpSpPr>
      <xdr:grpSpPr bwMode="auto">
        <a:xfrm>
          <a:off x="6276975" y="0"/>
          <a:ext cx="5648325" cy="436245"/>
          <a:chOff x="2538" y="0"/>
          <a:chExt cx="592" cy="44"/>
        </a:xfrm>
      </xdr:grpSpPr>
      <xdr:pic>
        <xdr:nvPicPr>
          <xdr:cNvPr id="31101" name="Picture 50" descr="ImagingService">
            <a:extLst>
              <a:ext uri="{FF2B5EF4-FFF2-40B4-BE49-F238E27FC236}">
                <a16:creationId xmlns:a16="http://schemas.microsoft.com/office/drawing/2014/main" id="{90CCE397-0C4B-E5A4-1DCA-9C62ED5E9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102" name="Picture 51">
            <a:extLst>
              <a:ext uri="{FF2B5EF4-FFF2-40B4-BE49-F238E27FC236}">
                <a16:creationId xmlns:a16="http://schemas.microsoft.com/office/drawing/2014/main" id="{E2C3DBC7-FC78-5D53-A7AE-373969D7D5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10</xdr:col>
      <xdr:colOff>0</xdr:colOff>
      <xdr:row>2</xdr:row>
      <xdr:rowOff>45720</xdr:rowOff>
    </xdr:from>
    <xdr:to>
      <xdr:col>13</xdr:col>
      <xdr:colOff>449580</xdr:colOff>
      <xdr:row>4</xdr:row>
      <xdr:rowOff>1905</xdr:rowOff>
    </xdr:to>
    <xdr:pic>
      <xdr:nvPicPr>
        <xdr:cNvPr id="31051" name="Picture 52" descr="ImagingService">
          <a:extLst>
            <a:ext uri="{FF2B5EF4-FFF2-40B4-BE49-F238E27FC236}">
              <a16:creationId xmlns:a16="http://schemas.microsoft.com/office/drawing/2014/main" id="{594181E0-84DF-98B1-E0AF-6F5C7768D67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6454140" y="434340"/>
          <a:ext cx="233934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4</xdr:row>
      <xdr:rowOff>152400</xdr:rowOff>
    </xdr:from>
    <xdr:to>
      <xdr:col>13</xdr:col>
      <xdr:colOff>670560</xdr:colOff>
      <xdr:row>5</xdr:row>
      <xdr:rowOff>158115</xdr:rowOff>
    </xdr:to>
    <xdr:pic>
      <xdr:nvPicPr>
        <xdr:cNvPr id="31052" name="Picture 53" descr="ImagingService">
          <a:extLst>
            <a:ext uri="{FF2B5EF4-FFF2-40B4-BE49-F238E27FC236}">
              <a16:creationId xmlns:a16="http://schemas.microsoft.com/office/drawing/2014/main" id="{08A049B8-411E-8D32-332A-A3BD08F1F30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t="15666" r="39566" b="66000"/>
        <a:stretch>
          <a:fillRect/>
        </a:stretch>
      </xdr:blipFill>
      <xdr:spPr bwMode="auto">
        <a:xfrm>
          <a:off x="6454140" y="944880"/>
          <a:ext cx="256032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29</xdr:row>
      <xdr:rowOff>167640</xdr:rowOff>
    </xdr:from>
    <xdr:to>
      <xdr:col>13</xdr:col>
      <xdr:colOff>0</xdr:colOff>
      <xdr:row>31</xdr:row>
      <xdr:rowOff>0</xdr:rowOff>
    </xdr:to>
    <xdr:pic>
      <xdr:nvPicPr>
        <xdr:cNvPr id="31053" name="Picture 54" descr="ImagingService">
          <a:extLst>
            <a:ext uri="{FF2B5EF4-FFF2-40B4-BE49-F238E27FC236}">
              <a16:creationId xmlns:a16="http://schemas.microsoft.com/office/drawing/2014/main" id="{8D70C88B-449A-571F-A236-DDA4A26FF59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t="15001" r="51627" b="67667"/>
        <a:stretch>
          <a:fillRect/>
        </a:stretch>
      </xdr:blipFill>
      <xdr:spPr bwMode="auto">
        <a:xfrm>
          <a:off x="6454140" y="5105400"/>
          <a:ext cx="18897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0</xdr:colOff>
      <xdr:row>0</xdr:row>
      <xdr:rowOff>0</xdr:rowOff>
    </xdr:from>
    <xdr:to>
      <xdr:col>27</xdr:col>
      <xdr:colOff>0</xdr:colOff>
      <xdr:row>2</xdr:row>
      <xdr:rowOff>45720</xdr:rowOff>
    </xdr:to>
    <xdr:grpSp>
      <xdr:nvGrpSpPr>
        <xdr:cNvPr id="31054" name="Group 55">
          <a:extLst>
            <a:ext uri="{FF2B5EF4-FFF2-40B4-BE49-F238E27FC236}">
              <a16:creationId xmlns:a16="http://schemas.microsoft.com/office/drawing/2014/main" id="{2D5D4D14-61C6-7FE3-560F-998807964824}"/>
            </a:ext>
          </a:extLst>
        </xdr:cNvPr>
        <xdr:cNvGrpSpPr>
          <a:grpSpLocks/>
        </xdr:cNvGrpSpPr>
      </xdr:nvGrpSpPr>
      <xdr:grpSpPr bwMode="auto">
        <a:xfrm>
          <a:off x="12239625" y="0"/>
          <a:ext cx="5648325" cy="436245"/>
          <a:chOff x="2538" y="0"/>
          <a:chExt cx="592" cy="44"/>
        </a:xfrm>
      </xdr:grpSpPr>
      <xdr:pic>
        <xdr:nvPicPr>
          <xdr:cNvPr id="31099" name="Picture 56" descr="ImagingService">
            <a:extLst>
              <a:ext uri="{FF2B5EF4-FFF2-40B4-BE49-F238E27FC236}">
                <a16:creationId xmlns:a16="http://schemas.microsoft.com/office/drawing/2014/main" id="{20771D6F-6C12-D614-2B45-14DD24950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100" name="Picture 57">
            <a:extLst>
              <a:ext uri="{FF2B5EF4-FFF2-40B4-BE49-F238E27FC236}">
                <a16:creationId xmlns:a16="http://schemas.microsoft.com/office/drawing/2014/main" id="{3E04801A-26BE-7617-BB68-9493EA6946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19</xdr:col>
      <xdr:colOff>0</xdr:colOff>
      <xdr:row>2</xdr:row>
      <xdr:rowOff>7620</xdr:rowOff>
    </xdr:from>
    <xdr:to>
      <xdr:col>22</xdr:col>
      <xdr:colOff>449580</xdr:colOff>
      <xdr:row>4</xdr:row>
      <xdr:rowOff>3810</xdr:rowOff>
    </xdr:to>
    <xdr:pic>
      <xdr:nvPicPr>
        <xdr:cNvPr id="31055" name="Picture 58" descr="ImagingService">
          <a:extLst>
            <a:ext uri="{FF2B5EF4-FFF2-40B4-BE49-F238E27FC236}">
              <a16:creationId xmlns:a16="http://schemas.microsoft.com/office/drawing/2014/main" id="{852EA0D9-D99C-689C-841C-B430F9FFA94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12588240" y="396240"/>
          <a:ext cx="233934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4</xdr:row>
      <xdr:rowOff>68580</xdr:rowOff>
    </xdr:from>
    <xdr:to>
      <xdr:col>22</xdr:col>
      <xdr:colOff>617220</xdr:colOff>
      <xdr:row>5</xdr:row>
      <xdr:rowOff>158115</xdr:rowOff>
    </xdr:to>
    <xdr:pic>
      <xdr:nvPicPr>
        <xdr:cNvPr id="31056" name="Picture 59" descr="ImagingService">
          <a:extLst>
            <a:ext uri="{FF2B5EF4-FFF2-40B4-BE49-F238E27FC236}">
              <a16:creationId xmlns:a16="http://schemas.microsoft.com/office/drawing/2014/main" id="{0B576A42-20FB-F04C-2EBB-22A1FCB488B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3000" r="35095" b="64000"/>
        <a:stretch>
          <a:fillRect/>
        </a:stretch>
      </xdr:blipFill>
      <xdr:spPr bwMode="auto">
        <a:xfrm>
          <a:off x="12588240" y="861060"/>
          <a:ext cx="250698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0</xdr:colOff>
      <xdr:row>0</xdr:row>
      <xdr:rowOff>0</xdr:rowOff>
    </xdr:from>
    <xdr:to>
      <xdr:col>36</xdr:col>
      <xdr:colOff>0</xdr:colOff>
      <xdr:row>2</xdr:row>
      <xdr:rowOff>45720</xdr:rowOff>
    </xdr:to>
    <xdr:grpSp>
      <xdr:nvGrpSpPr>
        <xdr:cNvPr id="31057" name="Group 60">
          <a:extLst>
            <a:ext uri="{FF2B5EF4-FFF2-40B4-BE49-F238E27FC236}">
              <a16:creationId xmlns:a16="http://schemas.microsoft.com/office/drawing/2014/main" id="{6F9C05A0-5CA9-7627-59FA-A9E1862061CA}"/>
            </a:ext>
          </a:extLst>
        </xdr:cNvPr>
        <xdr:cNvGrpSpPr>
          <a:grpSpLocks/>
        </xdr:cNvGrpSpPr>
      </xdr:nvGrpSpPr>
      <xdr:grpSpPr bwMode="auto">
        <a:xfrm>
          <a:off x="18202275" y="0"/>
          <a:ext cx="5648325" cy="436245"/>
          <a:chOff x="2538" y="0"/>
          <a:chExt cx="592" cy="44"/>
        </a:xfrm>
      </xdr:grpSpPr>
      <xdr:pic>
        <xdr:nvPicPr>
          <xdr:cNvPr id="31097" name="Picture 61" descr="ImagingService">
            <a:extLst>
              <a:ext uri="{FF2B5EF4-FFF2-40B4-BE49-F238E27FC236}">
                <a16:creationId xmlns:a16="http://schemas.microsoft.com/office/drawing/2014/main" id="{5D52B87E-12DB-E1F9-8D52-4520C2A583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098" name="Picture 62">
            <a:extLst>
              <a:ext uri="{FF2B5EF4-FFF2-40B4-BE49-F238E27FC236}">
                <a16:creationId xmlns:a16="http://schemas.microsoft.com/office/drawing/2014/main" id="{7A8FC04E-A5F5-9870-38FD-8B0CB8570F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37</xdr:col>
      <xdr:colOff>0</xdr:colOff>
      <xdr:row>2</xdr:row>
      <xdr:rowOff>45720</xdr:rowOff>
    </xdr:from>
    <xdr:to>
      <xdr:col>40</xdr:col>
      <xdr:colOff>251460</xdr:colOff>
      <xdr:row>4</xdr:row>
      <xdr:rowOff>3810</xdr:rowOff>
    </xdr:to>
    <xdr:pic>
      <xdr:nvPicPr>
        <xdr:cNvPr id="31058" name="Picture 63" descr="ImagingService">
          <a:extLst>
            <a:ext uri="{FF2B5EF4-FFF2-40B4-BE49-F238E27FC236}">
              <a16:creationId xmlns:a16="http://schemas.microsoft.com/office/drawing/2014/main" id="{786EB933-4A43-1BFA-92D9-8B973C5066C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24856440" y="434340"/>
          <a:ext cx="21412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0</xdr:colOff>
      <xdr:row>2</xdr:row>
      <xdr:rowOff>45720</xdr:rowOff>
    </xdr:from>
    <xdr:to>
      <xdr:col>31</xdr:col>
      <xdr:colOff>251460</xdr:colOff>
      <xdr:row>4</xdr:row>
      <xdr:rowOff>3810</xdr:rowOff>
    </xdr:to>
    <xdr:pic>
      <xdr:nvPicPr>
        <xdr:cNvPr id="31059" name="Picture 64" descr="ImagingService">
          <a:extLst>
            <a:ext uri="{FF2B5EF4-FFF2-40B4-BE49-F238E27FC236}">
              <a16:creationId xmlns:a16="http://schemas.microsoft.com/office/drawing/2014/main" id="{AC857909-3540-0E61-00FD-CD882EF9B9E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18722340" y="434340"/>
          <a:ext cx="21412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708660</xdr:colOff>
      <xdr:row>4</xdr:row>
      <xdr:rowOff>91440</xdr:rowOff>
    </xdr:from>
    <xdr:to>
      <xdr:col>32</xdr:col>
      <xdr:colOff>579120</xdr:colOff>
      <xdr:row>6</xdr:row>
      <xdr:rowOff>1905</xdr:rowOff>
    </xdr:to>
    <xdr:pic>
      <xdr:nvPicPr>
        <xdr:cNvPr id="31060" name="Picture 65" descr="ImagingService">
          <a:extLst>
            <a:ext uri="{FF2B5EF4-FFF2-40B4-BE49-F238E27FC236}">
              <a16:creationId xmlns:a16="http://schemas.microsoft.com/office/drawing/2014/main" id="{C36E309B-428B-F495-344B-3E77B6E75F4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t="14667" r="19647" b="66667"/>
        <a:stretch>
          <a:fillRect/>
        </a:stretch>
      </xdr:blipFill>
      <xdr:spPr bwMode="auto">
        <a:xfrm>
          <a:off x="18722340" y="883920"/>
          <a:ext cx="32537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0</xdr:colOff>
      <xdr:row>17</xdr:row>
      <xdr:rowOff>152400</xdr:rowOff>
    </xdr:from>
    <xdr:to>
      <xdr:col>39</xdr:col>
      <xdr:colOff>716280</xdr:colOff>
      <xdr:row>18</xdr:row>
      <xdr:rowOff>160020</xdr:rowOff>
    </xdr:to>
    <xdr:pic>
      <xdr:nvPicPr>
        <xdr:cNvPr id="31061" name="Picture 66" descr="ImagingService">
          <a:extLst>
            <a:ext uri="{FF2B5EF4-FFF2-40B4-BE49-F238E27FC236}">
              <a16:creationId xmlns:a16="http://schemas.microsoft.com/office/drawing/2014/main" id="{1AE62766-6E03-CCDE-4546-67ED22178DB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t="14000" r="58266" b="65334"/>
        <a:stretch>
          <a:fillRect/>
        </a:stretch>
      </xdr:blipFill>
      <xdr:spPr bwMode="auto">
        <a:xfrm>
          <a:off x="24856440" y="3093720"/>
          <a:ext cx="182118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0</xdr:colOff>
      <xdr:row>30</xdr:row>
      <xdr:rowOff>144780</xdr:rowOff>
    </xdr:from>
    <xdr:to>
      <xdr:col>40</xdr:col>
      <xdr:colOff>76200</xdr:colOff>
      <xdr:row>32</xdr:row>
      <xdr:rowOff>1905</xdr:rowOff>
    </xdr:to>
    <xdr:pic>
      <xdr:nvPicPr>
        <xdr:cNvPr id="31062" name="Picture 67" descr="ImagingService">
          <a:extLst>
            <a:ext uri="{FF2B5EF4-FFF2-40B4-BE49-F238E27FC236}">
              <a16:creationId xmlns:a16="http://schemas.microsoft.com/office/drawing/2014/main" id="{35634C5E-3571-A739-FA01-7F5138F22D6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t="14667" r="43361" b="65666"/>
        <a:stretch>
          <a:fillRect/>
        </a:stretch>
      </xdr:blipFill>
      <xdr:spPr bwMode="auto">
        <a:xfrm>
          <a:off x="24856440" y="5250180"/>
          <a:ext cx="196596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46</xdr:col>
      <xdr:colOff>0</xdr:colOff>
      <xdr:row>0</xdr:row>
      <xdr:rowOff>0</xdr:rowOff>
    </xdr:from>
    <xdr:to>
      <xdr:col>54</xdr:col>
      <xdr:colOff>0</xdr:colOff>
      <xdr:row>2</xdr:row>
      <xdr:rowOff>45720</xdr:rowOff>
    </xdr:to>
    <xdr:grpSp>
      <xdr:nvGrpSpPr>
        <xdr:cNvPr id="31063" name="Group 68">
          <a:extLst>
            <a:ext uri="{FF2B5EF4-FFF2-40B4-BE49-F238E27FC236}">
              <a16:creationId xmlns:a16="http://schemas.microsoft.com/office/drawing/2014/main" id="{5B479036-1603-4927-5B14-6536B93FDF38}"/>
            </a:ext>
          </a:extLst>
        </xdr:cNvPr>
        <xdr:cNvGrpSpPr>
          <a:grpSpLocks/>
        </xdr:cNvGrpSpPr>
      </xdr:nvGrpSpPr>
      <xdr:grpSpPr bwMode="auto">
        <a:xfrm>
          <a:off x="30127575" y="0"/>
          <a:ext cx="5648325" cy="436245"/>
          <a:chOff x="2538" y="0"/>
          <a:chExt cx="592" cy="44"/>
        </a:xfrm>
      </xdr:grpSpPr>
      <xdr:pic>
        <xdr:nvPicPr>
          <xdr:cNvPr id="31095" name="Picture 69" descr="ImagingService">
            <a:extLst>
              <a:ext uri="{FF2B5EF4-FFF2-40B4-BE49-F238E27FC236}">
                <a16:creationId xmlns:a16="http://schemas.microsoft.com/office/drawing/2014/main" id="{08F7E475-D49E-014E-1BC1-069544EB2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096" name="Picture 70">
            <a:extLst>
              <a:ext uri="{FF2B5EF4-FFF2-40B4-BE49-F238E27FC236}">
                <a16:creationId xmlns:a16="http://schemas.microsoft.com/office/drawing/2014/main" id="{925A8285-035C-E5D5-8A0B-C5C96C3C62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46</xdr:col>
      <xdr:colOff>0</xdr:colOff>
      <xdr:row>2</xdr:row>
      <xdr:rowOff>45720</xdr:rowOff>
    </xdr:from>
    <xdr:to>
      <xdr:col>49</xdr:col>
      <xdr:colOff>251460</xdr:colOff>
      <xdr:row>4</xdr:row>
      <xdr:rowOff>3810</xdr:rowOff>
    </xdr:to>
    <xdr:pic>
      <xdr:nvPicPr>
        <xdr:cNvPr id="31064" name="Picture 71" descr="ImagingService">
          <a:extLst>
            <a:ext uri="{FF2B5EF4-FFF2-40B4-BE49-F238E27FC236}">
              <a16:creationId xmlns:a16="http://schemas.microsoft.com/office/drawing/2014/main" id="{2A46406C-B150-EA83-354D-F75A162052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30990540" y="434340"/>
          <a:ext cx="21412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4</xdr:row>
      <xdr:rowOff>137160</xdr:rowOff>
    </xdr:from>
    <xdr:to>
      <xdr:col>48</xdr:col>
      <xdr:colOff>251460</xdr:colOff>
      <xdr:row>5</xdr:row>
      <xdr:rowOff>160020</xdr:rowOff>
    </xdr:to>
    <xdr:pic>
      <xdr:nvPicPr>
        <xdr:cNvPr id="31065" name="Picture 72" descr="ImagingService">
          <a:extLst>
            <a:ext uri="{FF2B5EF4-FFF2-40B4-BE49-F238E27FC236}">
              <a16:creationId xmlns:a16="http://schemas.microsoft.com/office/drawing/2014/main" id="{B902A23A-AD0D-ECA8-C7A0-1DB2676B333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t="14333" r="64227" b="68001"/>
        <a:stretch>
          <a:fillRect/>
        </a:stretch>
      </xdr:blipFill>
      <xdr:spPr bwMode="auto">
        <a:xfrm>
          <a:off x="30990540" y="929640"/>
          <a:ext cx="135636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55</xdr:col>
      <xdr:colOff>0</xdr:colOff>
      <xdr:row>0</xdr:row>
      <xdr:rowOff>0</xdr:rowOff>
    </xdr:from>
    <xdr:to>
      <xdr:col>63</xdr:col>
      <xdr:colOff>0</xdr:colOff>
      <xdr:row>2</xdr:row>
      <xdr:rowOff>45720</xdr:rowOff>
    </xdr:to>
    <xdr:grpSp>
      <xdr:nvGrpSpPr>
        <xdr:cNvPr id="31066" name="Group 73">
          <a:extLst>
            <a:ext uri="{FF2B5EF4-FFF2-40B4-BE49-F238E27FC236}">
              <a16:creationId xmlns:a16="http://schemas.microsoft.com/office/drawing/2014/main" id="{04BFBDEA-4279-4CBB-2A11-A5706C2E63F0}"/>
            </a:ext>
          </a:extLst>
        </xdr:cNvPr>
        <xdr:cNvGrpSpPr>
          <a:grpSpLocks/>
        </xdr:cNvGrpSpPr>
      </xdr:nvGrpSpPr>
      <xdr:grpSpPr bwMode="auto">
        <a:xfrm>
          <a:off x="36090225" y="0"/>
          <a:ext cx="5648325" cy="436245"/>
          <a:chOff x="2538" y="0"/>
          <a:chExt cx="592" cy="44"/>
        </a:xfrm>
      </xdr:grpSpPr>
      <xdr:pic>
        <xdr:nvPicPr>
          <xdr:cNvPr id="31093" name="Picture 74" descr="ImagingService">
            <a:extLst>
              <a:ext uri="{FF2B5EF4-FFF2-40B4-BE49-F238E27FC236}">
                <a16:creationId xmlns:a16="http://schemas.microsoft.com/office/drawing/2014/main" id="{13A4811C-3DA1-F179-F836-5F06430D4A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094" name="Picture 75">
            <a:extLst>
              <a:ext uri="{FF2B5EF4-FFF2-40B4-BE49-F238E27FC236}">
                <a16:creationId xmlns:a16="http://schemas.microsoft.com/office/drawing/2014/main" id="{489A68D1-382E-E26F-D3B9-0246F874FF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55</xdr:col>
      <xdr:colOff>0</xdr:colOff>
      <xdr:row>2</xdr:row>
      <xdr:rowOff>45720</xdr:rowOff>
    </xdr:from>
    <xdr:to>
      <xdr:col>58</xdr:col>
      <xdr:colOff>251460</xdr:colOff>
      <xdr:row>4</xdr:row>
      <xdr:rowOff>3810</xdr:rowOff>
    </xdr:to>
    <xdr:pic>
      <xdr:nvPicPr>
        <xdr:cNvPr id="31067" name="Picture 76" descr="ImagingService">
          <a:extLst>
            <a:ext uri="{FF2B5EF4-FFF2-40B4-BE49-F238E27FC236}">
              <a16:creationId xmlns:a16="http://schemas.microsoft.com/office/drawing/2014/main" id="{95EE26CF-689C-4DCA-683E-1D165E5181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37124640" y="434340"/>
          <a:ext cx="21412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64</xdr:col>
      <xdr:colOff>0</xdr:colOff>
      <xdr:row>0</xdr:row>
      <xdr:rowOff>0</xdr:rowOff>
    </xdr:from>
    <xdr:to>
      <xdr:col>78</xdr:col>
      <xdr:colOff>0</xdr:colOff>
      <xdr:row>2</xdr:row>
      <xdr:rowOff>45720</xdr:rowOff>
    </xdr:to>
    <xdr:grpSp>
      <xdr:nvGrpSpPr>
        <xdr:cNvPr id="31068" name="Group 77">
          <a:extLst>
            <a:ext uri="{FF2B5EF4-FFF2-40B4-BE49-F238E27FC236}">
              <a16:creationId xmlns:a16="http://schemas.microsoft.com/office/drawing/2014/main" id="{337E9957-A5F9-D0B3-32D5-891FDF3F05EB}"/>
            </a:ext>
          </a:extLst>
        </xdr:cNvPr>
        <xdr:cNvGrpSpPr>
          <a:grpSpLocks/>
        </xdr:cNvGrpSpPr>
      </xdr:nvGrpSpPr>
      <xdr:grpSpPr bwMode="auto">
        <a:xfrm>
          <a:off x="42052875" y="0"/>
          <a:ext cx="5648325" cy="436245"/>
          <a:chOff x="2538" y="0"/>
          <a:chExt cx="592" cy="44"/>
        </a:xfrm>
      </xdr:grpSpPr>
      <xdr:pic>
        <xdr:nvPicPr>
          <xdr:cNvPr id="31091" name="Picture 78" descr="ImagingService">
            <a:extLst>
              <a:ext uri="{FF2B5EF4-FFF2-40B4-BE49-F238E27FC236}">
                <a16:creationId xmlns:a16="http://schemas.microsoft.com/office/drawing/2014/main" id="{E2C77AA3-F360-692C-266D-083300C726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092" name="Picture 79">
            <a:extLst>
              <a:ext uri="{FF2B5EF4-FFF2-40B4-BE49-F238E27FC236}">
                <a16:creationId xmlns:a16="http://schemas.microsoft.com/office/drawing/2014/main" id="{36A52E75-09A7-09F8-2133-27AAB389B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64</xdr:col>
      <xdr:colOff>0</xdr:colOff>
      <xdr:row>2</xdr:row>
      <xdr:rowOff>45720</xdr:rowOff>
    </xdr:from>
    <xdr:to>
      <xdr:col>68</xdr:col>
      <xdr:colOff>259080</xdr:colOff>
      <xdr:row>4</xdr:row>
      <xdr:rowOff>3810</xdr:rowOff>
    </xdr:to>
    <xdr:pic>
      <xdr:nvPicPr>
        <xdr:cNvPr id="31069" name="Picture 80" descr="ImagingService">
          <a:extLst>
            <a:ext uri="{FF2B5EF4-FFF2-40B4-BE49-F238E27FC236}">
              <a16:creationId xmlns:a16="http://schemas.microsoft.com/office/drawing/2014/main" id="{A031FD80-F435-675D-DDD8-EA9E065BA7A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333" r="48645" b="65001"/>
        <a:stretch>
          <a:fillRect/>
        </a:stretch>
      </xdr:blipFill>
      <xdr:spPr bwMode="auto">
        <a:xfrm>
          <a:off x="43258740" y="434340"/>
          <a:ext cx="21412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55</xdr:col>
      <xdr:colOff>0</xdr:colOff>
      <xdr:row>4</xdr:row>
      <xdr:rowOff>7620</xdr:rowOff>
    </xdr:from>
    <xdr:to>
      <xdr:col>59</xdr:col>
      <xdr:colOff>297180</xdr:colOff>
      <xdr:row>6</xdr:row>
      <xdr:rowOff>3810</xdr:rowOff>
    </xdr:to>
    <xdr:pic>
      <xdr:nvPicPr>
        <xdr:cNvPr id="31070" name="Picture 81" descr="ImagingService">
          <a:extLst>
            <a:ext uri="{FF2B5EF4-FFF2-40B4-BE49-F238E27FC236}">
              <a16:creationId xmlns:a16="http://schemas.microsoft.com/office/drawing/2014/main" id="{14022E1C-C07F-F279-DA78-D4986FDFA39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t="14999" r="17615" b="66335"/>
        <a:stretch>
          <a:fillRect/>
        </a:stretch>
      </xdr:blipFill>
      <xdr:spPr bwMode="auto">
        <a:xfrm>
          <a:off x="37124640" y="800100"/>
          <a:ext cx="29718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55</xdr:col>
      <xdr:colOff>0</xdr:colOff>
      <xdr:row>5</xdr:row>
      <xdr:rowOff>358140</xdr:rowOff>
    </xdr:from>
    <xdr:to>
      <xdr:col>57</xdr:col>
      <xdr:colOff>3810</xdr:colOff>
      <xdr:row>7</xdr:row>
      <xdr:rowOff>0</xdr:rowOff>
    </xdr:to>
    <xdr:pic>
      <xdr:nvPicPr>
        <xdr:cNvPr id="31071" name="Picture 82" descr="ImagingService">
          <a:extLst>
            <a:ext uri="{FF2B5EF4-FFF2-40B4-BE49-F238E27FC236}">
              <a16:creationId xmlns:a16="http://schemas.microsoft.com/office/drawing/2014/main" id="{ACF331BC-A22F-AB2A-F983-6C4EC8F2D0C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t="17334" r="76965" b="66666"/>
        <a:stretch>
          <a:fillRect/>
        </a:stretch>
      </xdr:blipFill>
      <xdr:spPr bwMode="auto">
        <a:xfrm>
          <a:off x="37124640" y="1135380"/>
          <a:ext cx="110490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55</xdr:col>
      <xdr:colOff>0</xdr:colOff>
      <xdr:row>29</xdr:row>
      <xdr:rowOff>297180</xdr:rowOff>
    </xdr:from>
    <xdr:to>
      <xdr:col>57</xdr:col>
      <xdr:colOff>760095</xdr:colOff>
      <xdr:row>31</xdr:row>
      <xdr:rowOff>0</xdr:rowOff>
    </xdr:to>
    <xdr:pic>
      <xdr:nvPicPr>
        <xdr:cNvPr id="31072" name="Picture 83" descr="ImagingService">
          <a:extLst>
            <a:ext uri="{FF2B5EF4-FFF2-40B4-BE49-F238E27FC236}">
              <a16:creationId xmlns:a16="http://schemas.microsoft.com/office/drawing/2014/main" id="{1261B4F1-8818-890F-0321-2818DB4E9E9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l="-136" t="16333" r="44174" b="67000"/>
        <a:stretch>
          <a:fillRect/>
        </a:stretch>
      </xdr:blipFill>
      <xdr:spPr bwMode="auto">
        <a:xfrm>
          <a:off x="37124640" y="5105400"/>
          <a:ext cx="18897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64</xdr:col>
      <xdr:colOff>0</xdr:colOff>
      <xdr:row>4</xdr:row>
      <xdr:rowOff>236220</xdr:rowOff>
    </xdr:from>
    <xdr:to>
      <xdr:col>67</xdr:col>
      <xdr:colOff>3810</xdr:colOff>
      <xdr:row>6</xdr:row>
      <xdr:rowOff>1905</xdr:rowOff>
    </xdr:to>
    <xdr:pic>
      <xdr:nvPicPr>
        <xdr:cNvPr id="31073" name="Picture 84" descr="ImagingService">
          <a:extLst>
            <a:ext uri="{FF2B5EF4-FFF2-40B4-BE49-F238E27FC236}">
              <a16:creationId xmlns:a16="http://schemas.microsoft.com/office/drawing/2014/main" id="{8BAAC7BB-89F7-9F0D-FE64-4177EE3DD39C}"/>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t="17000" r="54471" b="68668"/>
        <a:stretch>
          <a:fillRect/>
        </a:stretch>
      </xdr:blipFill>
      <xdr:spPr bwMode="auto">
        <a:xfrm>
          <a:off x="43258740" y="967740"/>
          <a:ext cx="14935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998220</xdr:colOff>
      <xdr:row>0</xdr:row>
      <xdr:rowOff>304800</xdr:rowOff>
    </xdr:from>
    <xdr:to>
      <xdr:col>8</xdr:col>
      <xdr:colOff>760095</xdr:colOff>
      <xdr:row>3</xdr:row>
      <xdr:rowOff>3810</xdr:rowOff>
    </xdr:to>
    <xdr:pic>
      <xdr:nvPicPr>
        <xdr:cNvPr id="31074" name="Picture 97" descr="ImagingService">
          <a:extLst>
            <a:ext uri="{FF2B5EF4-FFF2-40B4-BE49-F238E27FC236}">
              <a16:creationId xmlns:a16="http://schemas.microsoft.com/office/drawing/2014/main" id="{8D96BC8F-6E94-2DDD-C9BC-179B0099B6E4}"/>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l="-136" t="14999" r="86044" b="67334"/>
        <a:stretch>
          <a:fillRect/>
        </a:stretch>
      </xdr:blipFill>
      <xdr:spPr bwMode="auto">
        <a:xfrm>
          <a:off x="53492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838200</xdr:colOff>
      <xdr:row>0</xdr:row>
      <xdr:rowOff>327660</xdr:rowOff>
    </xdr:from>
    <xdr:to>
      <xdr:col>17</xdr:col>
      <xdr:colOff>758190</xdr:colOff>
      <xdr:row>3</xdr:row>
      <xdr:rowOff>3810</xdr:rowOff>
    </xdr:to>
    <xdr:pic>
      <xdr:nvPicPr>
        <xdr:cNvPr id="31075" name="Picture 98" descr="ImagingService">
          <a:extLst>
            <a:ext uri="{FF2B5EF4-FFF2-40B4-BE49-F238E27FC236}">
              <a16:creationId xmlns:a16="http://schemas.microsoft.com/office/drawing/2014/main" id="{DE65B6FF-9D12-C775-E305-69CF0810F1A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l="21138" t="14999" r="64905" b="68001"/>
        <a:stretch>
          <a:fillRect/>
        </a:stretch>
      </xdr:blipFill>
      <xdr:spPr bwMode="auto">
        <a:xfrm>
          <a:off x="114833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883920</xdr:colOff>
      <xdr:row>0</xdr:row>
      <xdr:rowOff>327660</xdr:rowOff>
    </xdr:from>
    <xdr:to>
      <xdr:col>27</xdr:col>
      <xdr:colOff>1905</xdr:colOff>
      <xdr:row>3</xdr:row>
      <xdr:rowOff>3810</xdr:rowOff>
    </xdr:to>
    <xdr:pic>
      <xdr:nvPicPr>
        <xdr:cNvPr id="31076" name="Picture 99" descr="ImagingService">
          <a:extLst>
            <a:ext uri="{FF2B5EF4-FFF2-40B4-BE49-F238E27FC236}">
              <a16:creationId xmlns:a16="http://schemas.microsoft.com/office/drawing/2014/main" id="{40509F3A-D602-E9A0-2A5A-CC9B8D8F88A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l="38075" t="14999" r="48509" b="68333"/>
        <a:stretch>
          <a:fillRect/>
        </a:stretch>
      </xdr:blipFill>
      <xdr:spPr bwMode="auto">
        <a:xfrm>
          <a:off x="176174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868680</xdr:colOff>
      <xdr:row>0</xdr:row>
      <xdr:rowOff>358140</xdr:rowOff>
    </xdr:from>
    <xdr:to>
      <xdr:col>36</xdr:col>
      <xdr:colOff>1905</xdr:colOff>
      <xdr:row>3</xdr:row>
      <xdr:rowOff>3810</xdr:rowOff>
    </xdr:to>
    <xdr:pic>
      <xdr:nvPicPr>
        <xdr:cNvPr id="31077" name="Picture 100" descr="ImagingService">
          <a:extLst>
            <a:ext uri="{FF2B5EF4-FFF2-40B4-BE49-F238E27FC236}">
              <a16:creationId xmlns:a16="http://schemas.microsoft.com/office/drawing/2014/main" id="{ED627AF2-B805-E599-FAAC-6314A86C2D7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l="54337" t="16110" r="31572" b="68333"/>
        <a:stretch>
          <a:fillRect/>
        </a:stretch>
      </xdr:blipFill>
      <xdr:spPr bwMode="auto">
        <a:xfrm>
          <a:off x="237515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43</xdr:col>
      <xdr:colOff>815340</xdr:colOff>
      <xdr:row>0</xdr:row>
      <xdr:rowOff>342900</xdr:rowOff>
    </xdr:from>
    <xdr:to>
      <xdr:col>45</xdr:col>
      <xdr:colOff>3810</xdr:colOff>
      <xdr:row>3</xdr:row>
      <xdr:rowOff>3810</xdr:rowOff>
    </xdr:to>
    <xdr:pic>
      <xdr:nvPicPr>
        <xdr:cNvPr id="31078" name="Picture 101" descr="ImagingService">
          <a:extLst>
            <a:ext uri="{FF2B5EF4-FFF2-40B4-BE49-F238E27FC236}">
              <a16:creationId xmlns:a16="http://schemas.microsoft.com/office/drawing/2014/main" id="{EDBEE383-C035-74A8-85BA-EA65BF2B981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l="69241" t="15332" r="17433" b="69093"/>
        <a:stretch>
          <a:fillRect/>
        </a:stretch>
      </xdr:blipFill>
      <xdr:spPr bwMode="auto">
        <a:xfrm>
          <a:off x="298856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52</xdr:col>
      <xdr:colOff>899160</xdr:colOff>
      <xdr:row>0</xdr:row>
      <xdr:rowOff>327660</xdr:rowOff>
    </xdr:from>
    <xdr:to>
      <xdr:col>54</xdr:col>
      <xdr:colOff>0</xdr:colOff>
      <xdr:row>3</xdr:row>
      <xdr:rowOff>3810</xdr:rowOff>
    </xdr:to>
    <xdr:pic>
      <xdr:nvPicPr>
        <xdr:cNvPr id="31079" name="Picture 102" descr="ImagingService">
          <a:extLst>
            <a:ext uri="{FF2B5EF4-FFF2-40B4-BE49-F238E27FC236}">
              <a16:creationId xmlns:a16="http://schemas.microsoft.com/office/drawing/2014/main" id="{9E4243F3-0F8C-1AE7-14B7-85FB5AB4BC0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l="84554" t="14999" r="1761" b="68001"/>
        <a:stretch>
          <a:fillRect/>
        </a:stretch>
      </xdr:blipFill>
      <xdr:spPr bwMode="auto">
        <a:xfrm>
          <a:off x="360197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61</xdr:col>
      <xdr:colOff>868680</xdr:colOff>
      <xdr:row>0</xdr:row>
      <xdr:rowOff>327660</xdr:rowOff>
    </xdr:from>
    <xdr:to>
      <xdr:col>63</xdr:col>
      <xdr:colOff>1905</xdr:colOff>
      <xdr:row>3</xdr:row>
      <xdr:rowOff>3810</xdr:rowOff>
    </xdr:to>
    <xdr:pic>
      <xdr:nvPicPr>
        <xdr:cNvPr id="31080" name="Picture 103" descr="ImagingService">
          <a:extLst>
            <a:ext uri="{FF2B5EF4-FFF2-40B4-BE49-F238E27FC236}">
              <a16:creationId xmlns:a16="http://schemas.microsoft.com/office/drawing/2014/main" id="{D1D62051-6509-2C43-1F10-BDA4BD10A754}"/>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t="31334" r="86584" b="52000"/>
        <a:stretch>
          <a:fillRect/>
        </a:stretch>
      </xdr:blipFill>
      <xdr:spPr bwMode="auto">
        <a:xfrm>
          <a:off x="421538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74</xdr:col>
      <xdr:colOff>731520</xdr:colOff>
      <xdr:row>0</xdr:row>
      <xdr:rowOff>358140</xdr:rowOff>
    </xdr:from>
    <xdr:to>
      <xdr:col>77</xdr:col>
      <xdr:colOff>379095</xdr:colOff>
      <xdr:row>3</xdr:row>
      <xdr:rowOff>0</xdr:rowOff>
    </xdr:to>
    <xdr:pic>
      <xdr:nvPicPr>
        <xdr:cNvPr id="31081" name="Picture 104" descr="ImagingService">
          <a:extLst>
            <a:ext uri="{FF2B5EF4-FFF2-40B4-BE49-F238E27FC236}">
              <a16:creationId xmlns:a16="http://schemas.microsoft.com/office/drawing/2014/main" id="{FBA4222F-E912-54D5-A854-C960AE39B7B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l="16396" t="31334" r="69241" b="53000"/>
        <a:stretch>
          <a:fillRect/>
        </a:stretch>
      </xdr:blipFill>
      <xdr:spPr bwMode="auto">
        <a:xfrm>
          <a:off x="47861220" y="228600"/>
          <a:ext cx="1165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33</xdr:col>
      <xdr:colOff>1478280</xdr:colOff>
      <xdr:row>55</xdr:row>
      <xdr:rowOff>358140</xdr:rowOff>
    </xdr:from>
    <xdr:to>
      <xdr:col>36</xdr:col>
      <xdr:colOff>1905</xdr:colOff>
      <xdr:row>59</xdr:row>
      <xdr:rowOff>158115</xdr:rowOff>
    </xdr:to>
    <xdr:pic>
      <xdr:nvPicPr>
        <xdr:cNvPr id="31082" name="1 Imagen">
          <a:extLst>
            <a:ext uri="{FF2B5EF4-FFF2-40B4-BE49-F238E27FC236}">
              <a16:creationId xmlns:a16="http://schemas.microsoft.com/office/drawing/2014/main" id="{259A4E14-3BEB-5D36-3EAC-47AFCBAA3B5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2966680" y="9418320"/>
          <a:ext cx="156972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42</xdr:col>
      <xdr:colOff>1485900</xdr:colOff>
      <xdr:row>56</xdr:row>
      <xdr:rowOff>60960</xdr:rowOff>
    </xdr:from>
    <xdr:to>
      <xdr:col>44</xdr:col>
      <xdr:colOff>760095</xdr:colOff>
      <xdr:row>59</xdr:row>
      <xdr:rowOff>158115</xdr:rowOff>
    </xdr:to>
    <xdr:pic>
      <xdr:nvPicPr>
        <xdr:cNvPr id="31083" name="1 Imagen">
          <a:extLst>
            <a:ext uri="{FF2B5EF4-FFF2-40B4-BE49-F238E27FC236}">
              <a16:creationId xmlns:a16="http://schemas.microsoft.com/office/drawing/2014/main" id="{EC716F3E-57E5-D535-29D7-D654E02E6A6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9100780" y="9479280"/>
          <a:ext cx="1569720" cy="66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51</xdr:col>
      <xdr:colOff>1478280</xdr:colOff>
      <xdr:row>56</xdr:row>
      <xdr:rowOff>30480</xdr:rowOff>
    </xdr:from>
    <xdr:to>
      <xdr:col>54</xdr:col>
      <xdr:colOff>1905</xdr:colOff>
      <xdr:row>60</xdr:row>
      <xdr:rowOff>3810</xdr:rowOff>
    </xdr:to>
    <xdr:pic>
      <xdr:nvPicPr>
        <xdr:cNvPr id="31084" name="1 Imagen">
          <a:extLst>
            <a:ext uri="{FF2B5EF4-FFF2-40B4-BE49-F238E27FC236}">
              <a16:creationId xmlns:a16="http://schemas.microsoft.com/office/drawing/2014/main" id="{857A0F44-79C5-9383-B883-E4F17BFE9E4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35234880" y="9448800"/>
          <a:ext cx="156972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60</xdr:col>
      <xdr:colOff>1371600</xdr:colOff>
      <xdr:row>56</xdr:row>
      <xdr:rowOff>38100</xdr:rowOff>
    </xdr:from>
    <xdr:to>
      <xdr:col>63</xdr:col>
      <xdr:colOff>0</xdr:colOff>
      <xdr:row>59</xdr:row>
      <xdr:rowOff>158115</xdr:rowOff>
    </xdr:to>
    <xdr:pic>
      <xdr:nvPicPr>
        <xdr:cNvPr id="31085" name="1 Imagen">
          <a:extLst>
            <a:ext uri="{FF2B5EF4-FFF2-40B4-BE49-F238E27FC236}">
              <a16:creationId xmlns:a16="http://schemas.microsoft.com/office/drawing/2014/main" id="{7234D7A2-8B1D-1705-133C-39E4D7A7FE3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41368980" y="9456420"/>
          <a:ext cx="15697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73</xdr:col>
      <xdr:colOff>426720</xdr:colOff>
      <xdr:row>55</xdr:row>
      <xdr:rowOff>373380</xdr:rowOff>
    </xdr:from>
    <xdr:to>
      <xdr:col>77</xdr:col>
      <xdr:colOff>377190</xdr:colOff>
      <xdr:row>59</xdr:row>
      <xdr:rowOff>160020</xdr:rowOff>
    </xdr:to>
    <xdr:pic>
      <xdr:nvPicPr>
        <xdr:cNvPr id="31086" name="1 Imagen">
          <a:extLst>
            <a:ext uri="{FF2B5EF4-FFF2-40B4-BE49-F238E27FC236}">
              <a16:creationId xmlns:a16="http://schemas.microsoft.com/office/drawing/2014/main" id="{61E02ED9-1599-E833-FD4A-079C931956B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7472600" y="9418320"/>
          <a:ext cx="155448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1371600</xdr:colOff>
      <xdr:row>56</xdr:row>
      <xdr:rowOff>38100</xdr:rowOff>
    </xdr:from>
    <xdr:to>
      <xdr:col>27</xdr:col>
      <xdr:colOff>3810</xdr:colOff>
      <xdr:row>60</xdr:row>
      <xdr:rowOff>0</xdr:rowOff>
    </xdr:to>
    <xdr:pic>
      <xdr:nvPicPr>
        <xdr:cNvPr id="31087" name="1 Imagen">
          <a:extLst>
            <a:ext uri="{FF2B5EF4-FFF2-40B4-BE49-F238E27FC236}">
              <a16:creationId xmlns:a16="http://schemas.microsoft.com/office/drawing/2014/main" id="{EE66B40B-A931-557D-C93A-4EB6B4C7874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6832580" y="9456420"/>
          <a:ext cx="15697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1264920</xdr:colOff>
      <xdr:row>56</xdr:row>
      <xdr:rowOff>68580</xdr:rowOff>
    </xdr:from>
    <xdr:to>
      <xdr:col>17</xdr:col>
      <xdr:colOff>760095</xdr:colOff>
      <xdr:row>60</xdr:row>
      <xdr:rowOff>0</xdr:rowOff>
    </xdr:to>
    <xdr:pic>
      <xdr:nvPicPr>
        <xdr:cNvPr id="31088" name="1 Imagen">
          <a:extLst>
            <a:ext uri="{FF2B5EF4-FFF2-40B4-BE49-F238E27FC236}">
              <a16:creationId xmlns:a16="http://schemas.microsoft.com/office/drawing/2014/main" id="{3E501578-2572-8291-6354-E686CF70B71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0698480" y="9486900"/>
          <a:ext cx="1569720" cy="655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1409700</xdr:colOff>
      <xdr:row>56</xdr:row>
      <xdr:rowOff>38100</xdr:rowOff>
    </xdr:from>
    <xdr:to>
      <xdr:col>9</xdr:col>
      <xdr:colOff>1905</xdr:colOff>
      <xdr:row>60</xdr:row>
      <xdr:rowOff>0</xdr:rowOff>
    </xdr:to>
    <xdr:pic>
      <xdr:nvPicPr>
        <xdr:cNvPr id="31089" name="1 Imagen">
          <a:extLst>
            <a:ext uri="{FF2B5EF4-FFF2-40B4-BE49-F238E27FC236}">
              <a16:creationId xmlns:a16="http://schemas.microsoft.com/office/drawing/2014/main" id="{ABC23790-2BE6-D3D0-D0B8-24661439D49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4564380" y="9456420"/>
          <a:ext cx="15697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152400</xdr:colOff>
      <xdr:row>40</xdr:row>
      <xdr:rowOff>22860</xdr:rowOff>
    </xdr:from>
    <xdr:to>
      <xdr:col>53</xdr:col>
      <xdr:colOff>758190</xdr:colOff>
      <xdr:row>55</xdr:row>
      <xdr:rowOff>7620</xdr:rowOff>
    </xdr:to>
    <xdr:pic macro="Macro2">
      <xdr:nvPicPr>
        <xdr:cNvPr id="31090" name="Picture 106">
          <a:extLst>
            <a:ext uri="{FF2B5EF4-FFF2-40B4-BE49-F238E27FC236}">
              <a16:creationId xmlns:a16="http://schemas.microsoft.com/office/drawing/2014/main" id="{2FCE6C04-1DFD-7E70-C9A1-98EAE19F1235}"/>
            </a:ext>
          </a:extLst>
        </xdr:cNvPr>
        <xdr:cNvPicPr>
          <a:picLocks noChangeAspect="1" noChangeArrowheads="1"/>
        </xdr:cNvPicPr>
      </xdr:nvPicPr>
      <xdr:blipFill>
        <a:blip xmlns:r="http://schemas.openxmlformats.org/officeDocument/2006/relationships" r:link="rId25">
          <a:extLst>
            <a:ext uri="{28A0092B-C50C-407E-A947-70E740481C1C}">
              <a14:useLocalDpi xmlns:a14="http://schemas.microsoft.com/office/drawing/2010/main" val="0"/>
            </a:ext>
          </a:extLst>
        </a:blip>
        <a:srcRect/>
        <a:stretch>
          <a:fillRect/>
        </a:stretch>
      </xdr:blipFill>
      <xdr:spPr bwMode="auto">
        <a:xfrm>
          <a:off x="31142940" y="6774180"/>
          <a:ext cx="5661660" cy="2484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685800</xdr:colOff>
      <xdr:row>0</xdr:row>
      <xdr:rowOff>0</xdr:rowOff>
    </xdr:from>
    <xdr:to>
      <xdr:col>9</xdr:col>
      <xdr:colOff>0</xdr:colOff>
      <xdr:row>2</xdr:row>
      <xdr:rowOff>160020</xdr:rowOff>
    </xdr:to>
    <xdr:pic>
      <xdr:nvPicPr>
        <xdr:cNvPr id="29080" name="Picture 8" descr="ImagingService">
          <a:extLst>
            <a:ext uri="{FF2B5EF4-FFF2-40B4-BE49-F238E27FC236}">
              <a16:creationId xmlns:a16="http://schemas.microsoft.com/office/drawing/2014/main" id="{1D7932FB-F024-4056-808F-DD00C8AE7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4264" b="64394"/>
        <a:stretch>
          <a:fillRect/>
        </a:stretch>
      </xdr:blipFill>
      <xdr:spPr bwMode="auto">
        <a:xfrm>
          <a:off x="1325880" y="0"/>
          <a:ext cx="4808220" cy="548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685800</xdr:colOff>
      <xdr:row>2</xdr:row>
      <xdr:rowOff>45720</xdr:rowOff>
    </xdr:to>
    <xdr:pic>
      <xdr:nvPicPr>
        <xdr:cNvPr id="29081" name="Picture 9">
          <a:extLst>
            <a:ext uri="{FF2B5EF4-FFF2-40B4-BE49-F238E27FC236}">
              <a16:creationId xmlns:a16="http://schemas.microsoft.com/office/drawing/2014/main" id="{7C0886C7-081C-ECA2-3A34-94525CE407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320040" y="0"/>
          <a:ext cx="100584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4</xdr:row>
      <xdr:rowOff>0</xdr:rowOff>
    </xdr:from>
    <xdr:to>
      <xdr:col>5</xdr:col>
      <xdr:colOff>480060</xdr:colOff>
      <xdr:row>6</xdr:row>
      <xdr:rowOff>0</xdr:rowOff>
    </xdr:to>
    <xdr:pic>
      <xdr:nvPicPr>
        <xdr:cNvPr id="29082" name="Picture 11" descr="ImagingService">
          <a:extLst>
            <a:ext uri="{FF2B5EF4-FFF2-40B4-BE49-F238E27FC236}">
              <a16:creationId xmlns:a16="http://schemas.microsoft.com/office/drawing/2014/main" id="{4AC62030-97AC-964B-4B98-EEDD53D81BC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14667" r="14363" b="67000"/>
        <a:stretch>
          <a:fillRect/>
        </a:stretch>
      </xdr:blipFill>
      <xdr:spPr bwMode="auto">
        <a:xfrm>
          <a:off x="320040" y="792480"/>
          <a:ext cx="315468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678180</xdr:colOff>
      <xdr:row>6</xdr:row>
      <xdr:rowOff>0</xdr:rowOff>
    </xdr:from>
    <xdr:to>
      <xdr:col>9</xdr:col>
      <xdr:colOff>0</xdr:colOff>
      <xdr:row>8</xdr:row>
      <xdr:rowOff>0</xdr:rowOff>
    </xdr:to>
    <xdr:pic>
      <xdr:nvPicPr>
        <xdr:cNvPr id="29083" name="Picture 12" descr="ImagingService">
          <a:extLst>
            <a:ext uri="{FF2B5EF4-FFF2-40B4-BE49-F238E27FC236}">
              <a16:creationId xmlns:a16="http://schemas.microsoft.com/office/drawing/2014/main" id="{A0F3F41D-F97A-49F6-956D-4B8728C84A5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272" t="5667" r="19919" b="83000"/>
        <a:stretch>
          <a:fillRect/>
        </a:stretch>
      </xdr:blipFill>
      <xdr:spPr bwMode="auto">
        <a:xfrm>
          <a:off x="320040" y="1127760"/>
          <a:ext cx="581406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4</xdr:row>
      <xdr:rowOff>45720</xdr:rowOff>
    </xdr:from>
    <xdr:to>
      <xdr:col>13</xdr:col>
      <xdr:colOff>1905</xdr:colOff>
      <xdr:row>6</xdr:row>
      <xdr:rowOff>0</xdr:rowOff>
    </xdr:to>
    <xdr:pic>
      <xdr:nvPicPr>
        <xdr:cNvPr id="29084" name="Picture 13" descr="ImagingService">
          <a:extLst>
            <a:ext uri="{FF2B5EF4-FFF2-40B4-BE49-F238E27FC236}">
              <a16:creationId xmlns:a16="http://schemas.microsoft.com/office/drawing/2014/main" id="{F2F51B71-6F02-14B6-980D-C16295E6575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6000" r="76965" b="83334"/>
        <a:stretch>
          <a:fillRect/>
        </a:stretch>
      </xdr:blipFill>
      <xdr:spPr bwMode="auto">
        <a:xfrm>
          <a:off x="6454140" y="838200"/>
          <a:ext cx="18897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29</xdr:row>
      <xdr:rowOff>76200</xdr:rowOff>
    </xdr:from>
    <xdr:to>
      <xdr:col>14</xdr:col>
      <xdr:colOff>3810</xdr:colOff>
      <xdr:row>31</xdr:row>
      <xdr:rowOff>0</xdr:rowOff>
    </xdr:to>
    <xdr:pic>
      <xdr:nvPicPr>
        <xdr:cNvPr id="29085" name="Picture 14" descr="ImagingService">
          <a:extLst>
            <a:ext uri="{FF2B5EF4-FFF2-40B4-BE49-F238E27FC236}">
              <a16:creationId xmlns:a16="http://schemas.microsoft.com/office/drawing/2014/main" id="{A1C54F18-9A1C-E8F0-7C43-727F05D795F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6000" r="65041" b="83665"/>
        <a:stretch>
          <a:fillRect/>
        </a:stretch>
      </xdr:blipFill>
      <xdr:spPr bwMode="auto">
        <a:xfrm>
          <a:off x="6454140" y="5052060"/>
          <a:ext cx="267462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4</xdr:row>
      <xdr:rowOff>45720</xdr:rowOff>
    </xdr:from>
    <xdr:to>
      <xdr:col>23</xdr:col>
      <xdr:colOff>632460</xdr:colOff>
      <xdr:row>6</xdr:row>
      <xdr:rowOff>0</xdr:rowOff>
    </xdr:to>
    <xdr:pic>
      <xdr:nvPicPr>
        <xdr:cNvPr id="29086" name="Picture 15" descr="ImagingService">
          <a:extLst>
            <a:ext uri="{FF2B5EF4-FFF2-40B4-BE49-F238E27FC236}">
              <a16:creationId xmlns:a16="http://schemas.microsoft.com/office/drawing/2014/main" id="{10D7ACDE-6F03-CC52-82C9-40908D2B424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t="5667" r="59079" b="83667"/>
        <a:stretch>
          <a:fillRect/>
        </a:stretch>
      </xdr:blipFill>
      <xdr:spPr bwMode="auto">
        <a:xfrm>
          <a:off x="12588240" y="838200"/>
          <a:ext cx="330708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29</xdr:row>
      <xdr:rowOff>91440</xdr:rowOff>
    </xdr:from>
    <xdr:to>
      <xdr:col>24</xdr:col>
      <xdr:colOff>3810</xdr:colOff>
      <xdr:row>31</xdr:row>
      <xdr:rowOff>0</xdr:rowOff>
    </xdr:to>
    <xdr:pic>
      <xdr:nvPicPr>
        <xdr:cNvPr id="29087" name="Picture 16" descr="ImagingService">
          <a:extLst>
            <a:ext uri="{FF2B5EF4-FFF2-40B4-BE49-F238E27FC236}">
              <a16:creationId xmlns:a16="http://schemas.microsoft.com/office/drawing/2014/main" id="{5C6D0610-9C03-C69C-21D2-E598DFB000F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t="6334" r="57452" b="83667"/>
        <a:stretch>
          <a:fillRect/>
        </a:stretch>
      </xdr:blipFill>
      <xdr:spPr bwMode="auto">
        <a:xfrm>
          <a:off x="12588240" y="5067300"/>
          <a:ext cx="3459480" cy="236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670560</xdr:colOff>
      <xdr:row>0</xdr:row>
      <xdr:rowOff>0</xdr:rowOff>
    </xdr:from>
    <xdr:to>
      <xdr:col>27</xdr:col>
      <xdr:colOff>0</xdr:colOff>
      <xdr:row>2</xdr:row>
      <xdr:rowOff>83820</xdr:rowOff>
    </xdr:to>
    <xdr:pic>
      <xdr:nvPicPr>
        <xdr:cNvPr id="29088" name="Picture 18" descr="ImagingService">
          <a:extLst>
            <a:ext uri="{FF2B5EF4-FFF2-40B4-BE49-F238E27FC236}">
              <a16:creationId xmlns:a16="http://schemas.microsoft.com/office/drawing/2014/main" id="{C5F79EF1-A0EA-5175-BB9B-0917633F2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4264" b="65599"/>
        <a:stretch>
          <a:fillRect/>
        </a:stretch>
      </xdr:blipFill>
      <xdr:spPr bwMode="auto">
        <a:xfrm>
          <a:off x="13578840" y="0"/>
          <a:ext cx="482346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0</xdr:colOff>
      <xdr:row>0</xdr:row>
      <xdr:rowOff>0</xdr:rowOff>
    </xdr:from>
    <xdr:to>
      <xdr:col>20</xdr:col>
      <xdr:colOff>685800</xdr:colOff>
      <xdr:row>2</xdr:row>
      <xdr:rowOff>45720</xdr:rowOff>
    </xdr:to>
    <xdr:pic>
      <xdr:nvPicPr>
        <xdr:cNvPr id="29089" name="Picture 19">
          <a:extLst>
            <a:ext uri="{FF2B5EF4-FFF2-40B4-BE49-F238E27FC236}">
              <a16:creationId xmlns:a16="http://schemas.microsoft.com/office/drawing/2014/main" id="{5AB45690-5D08-6F9A-84D0-D818F1975E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12588240" y="0"/>
          <a:ext cx="100584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11</xdr:col>
      <xdr:colOff>685800</xdr:colOff>
      <xdr:row>0</xdr:row>
      <xdr:rowOff>0</xdr:rowOff>
    </xdr:from>
    <xdr:to>
      <xdr:col>18</xdr:col>
      <xdr:colOff>0</xdr:colOff>
      <xdr:row>2</xdr:row>
      <xdr:rowOff>68580</xdr:rowOff>
    </xdr:to>
    <xdr:pic>
      <xdr:nvPicPr>
        <xdr:cNvPr id="29090" name="Picture 22" descr="ImagingService">
          <a:extLst>
            <a:ext uri="{FF2B5EF4-FFF2-40B4-BE49-F238E27FC236}">
              <a16:creationId xmlns:a16="http://schemas.microsoft.com/office/drawing/2014/main" id="{26673589-C849-39D8-5FFE-85FB1015F3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936" b="66000"/>
        <a:stretch>
          <a:fillRect/>
        </a:stretch>
      </xdr:blipFill>
      <xdr:spPr bwMode="auto">
        <a:xfrm>
          <a:off x="7459980" y="0"/>
          <a:ext cx="480822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0</xdr:row>
      <xdr:rowOff>0</xdr:rowOff>
    </xdr:from>
    <xdr:to>
      <xdr:col>11</xdr:col>
      <xdr:colOff>685800</xdr:colOff>
      <xdr:row>2</xdr:row>
      <xdr:rowOff>45720</xdr:rowOff>
    </xdr:to>
    <xdr:pic>
      <xdr:nvPicPr>
        <xdr:cNvPr id="29091" name="Picture 23">
          <a:extLst>
            <a:ext uri="{FF2B5EF4-FFF2-40B4-BE49-F238E27FC236}">
              <a16:creationId xmlns:a16="http://schemas.microsoft.com/office/drawing/2014/main" id="{B74F89F8-3C35-9FFA-B224-34DE7BDFA3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6454140" y="0"/>
          <a:ext cx="100584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2</xdr:row>
      <xdr:rowOff>7620</xdr:rowOff>
    </xdr:from>
    <xdr:to>
      <xdr:col>5</xdr:col>
      <xdr:colOff>3810</xdr:colOff>
      <xdr:row>4</xdr:row>
      <xdr:rowOff>1905</xdr:rowOff>
    </xdr:to>
    <xdr:pic>
      <xdr:nvPicPr>
        <xdr:cNvPr id="29092" name="Picture 28" descr="ImagingService">
          <a:extLst>
            <a:ext uri="{FF2B5EF4-FFF2-40B4-BE49-F238E27FC236}">
              <a16:creationId xmlns:a16="http://schemas.microsoft.com/office/drawing/2014/main" id="{D42688F1-6D52-A293-1E78-DD86DCB33E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4333" r="40515" b="66000"/>
        <a:stretch>
          <a:fillRect/>
        </a:stretch>
      </xdr:blipFill>
      <xdr:spPr bwMode="auto">
        <a:xfrm>
          <a:off x="320040" y="396240"/>
          <a:ext cx="267462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1089660</xdr:colOff>
      <xdr:row>0</xdr:row>
      <xdr:rowOff>304800</xdr:rowOff>
    </xdr:from>
    <xdr:to>
      <xdr:col>9</xdr:col>
      <xdr:colOff>3810</xdr:colOff>
      <xdr:row>3</xdr:row>
      <xdr:rowOff>0</xdr:rowOff>
    </xdr:to>
    <xdr:pic>
      <xdr:nvPicPr>
        <xdr:cNvPr id="29093" name="Picture 29" descr="ImagingService">
          <a:extLst>
            <a:ext uri="{FF2B5EF4-FFF2-40B4-BE49-F238E27FC236}">
              <a16:creationId xmlns:a16="http://schemas.microsoft.com/office/drawing/2014/main" id="{9BC96FD0-E81C-34E7-2763-75F3DF933C6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t="14999" r="86450" b="66667"/>
        <a:stretch>
          <a:fillRect/>
        </a:stretch>
      </xdr:blipFill>
      <xdr:spPr bwMode="auto">
        <a:xfrm>
          <a:off x="53492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2</xdr:row>
      <xdr:rowOff>45720</xdr:rowOff>
    </xdr:from>
    <xdr:to>
      <xdr:col>14</xdr:col>
      <xdr:colOff>3810</xdr:colOff>
      <xdr:row>3</xdr:row>
      <xdr:rowOff>158115</xdr:rowOff>
    </xdr:to>
    <xdr:pic>
      <xdr:nvPicPr>
        <xdr:cNvPr id="29094" name="Picture 30" descr="ImagingService">
          <a:extLst>
            <a:ext uri="{FF2B5EF4-FFF2-40B4-BE49-F238E27FC236}">
              <a16:creationId xmlns:a16="http://schemas.microsoft.com/office/drawing/2014/main" id="{3F51FF1D-5385-F817-1BE9-E29709DCFC0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4333" r="40515" b="66000"/>
        <a:stretch>
          <a:fillRect/>
        </a:stretch>
      </xdr:blipFill>
      <xdr:spPr bwMode="auto">
        <a:xfrm>
          <a:off x="6454140" y="434340"/>
          <a:ext cx="26746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998220</xdr:colOff>
      <xdr:row>0</xdr:row>
      <xdr:rowOff>327660</xdr:rowOff>
    </xdr:from>
    <xdr:to>
      <xdr:col>18</xdr:col>
      <xdr:colOff>0</xdr:colOff>
      <xdr:row>3</xdr:row>
      <xdr:rowOff>7620</xdr:rowOff>
    </xdr:to>
    <xdr:pic>
      <xdr:nvPicPr>
        <xdr:cNvPr id="29095" name="Picture 31" descr="ImagingService">
          <a:extLst>
            <a:ext uri="{FF2B5EF4-FFF2-40B4-BE49-F238E27FC236}">
              <a16:creationId xmlns:a16="http://schemas.microsoft.com/office/drawing/2014/main" id="{34CAAD1E-A865-6DD1-DA30-07C95DF8768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t="14999" r="86720" b="67667"/>
        <a:stretch>
          <a:fillRect/>
        </a:stretch>
      </xdr:blipFill>
      <xdr:spPr bwMode="auto">
        <a:xfrm>
          <a:off x="11483340" y="228600"/>
          <a:ext cx="78486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2</xdr:row>
      <xdr:rowOff>45720</xdr:rowOff>
    </xdr:from>
    <xdr:to>
      <xdr:col>23</xdr:col>
      <xdr:colOff>3810</xdr:colOff>
      <xdr:row>3</xdr:row>
      <xdr:rowOff>158115</xdr:rowOff>
    </xdr:to>
    <xdr:pic>
      <xdr:nvPicPr>
        <xdr:cNvPr id="29096" name="Picture 32" descr="ImagingService">
          <a:extLst>
            <a:ext uri="{FF2B5EF4-FFF2-40B4-BE49-F238E27FC236}">
              <a16:creationId xmlns:a16="http://schemas.microsoft.com/office/drawing/2014/main" id="{0BEA98AE-344A-947E-543A-7BCBAF07AD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4333" r="40515" b="66000"/>
        <a:stretch>
          <a:fillRect/>
        </a:stretch>
      </xdr:blipFill>
      <xdr:spPr bwMode="auto">
        <a:xfrm>
          <a:off x="12588240" y="434340"/>
          <a:ext cx="26746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1005840</xdr:colOff>
      <xdr:row>0</xdr:row>
      <xdr:rowOff>304800</xdr:rowOff>
    </xdr:from>
    <xdr:to>
      <xdr:col>27</xdr:col>
      <xdr:colOff>3810</xdr:colOff>
      <xdr:row>3</xdr:row>
      <xdr:rowOff>0</xdr:rowOff>
    </xdr:to>
    <xdr:pic>
      <xdr:nvPicPr>
        <xdr:cNvPr id="29097" name="Picture 33" descr="ImagingService">
          <a:extLst>
            <a:ext uri="{FF2B5EF4-FFF2-40B4-BE49-F238E27FC236}">
              <a16:creationId xmlns:a16="http://schemas.microsoft.com/office/drawing/2014/main" id="{F4ECA76B-F9B4-6905-6CDA-2189187ED14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t="15334" r="86586" b="67000"/>
        <a:stretch>
          <a:fillRect/>
        </a:stretch>
      </xdr:blipFill>
      <xdr:spPr bwMode="auto">
        <a:xfrm>
          <a:off x="176174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1371600</xdr:colOff>
      <xdr:row>56</xdr:row>
      <xdr:rowOff>0</xdr:rowOff>
    </xdr:from>
    <xdr:to>
      <xdr:col>9</xdr:col>
      <xdr:colOff>0</xdr:colOff>
      <xdr:row>60</xdr:row>
      <xdr:rowOff>0</xdr:rowOff>
    </xdr:to>
    <xdr:pic>
      <xdr:nvPicPr>
        <xdr:cNvPr id="29098" name="1 Imagen">
          <a:extLst>
            <a:ext uri="{FF2B5EF4-FFF2-40B4-BE49-F238E27FC236}">
              <a16:creationId xmlns:a16="http://schemas.microsoft.com/office/drawing/2014/main" id="{F8F79A2F-E17F-F649-DD89-D2C52186082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564380" y="9486900"/>
          <a:ext cx="156972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1371600</xdr:colOff>
      <xdr:row>56</xdr:row>
      <xdr:rowOff>30480</xdr:rowOff>
    </xdr:from>
    <xdr:to>
      <xdr:col>18</xdr:col>
      <xdr:colOff>1905</xdr:colOff>
      <xdr:row>59</xdr:row>
      <xdr:rowOff>158115</xdr:rowOff>
    </xdr:to>
    <xdr:pic>
      <xdr:nvPicPr>
        <xdr:cNvPr id="29099" name="1 Imagen">
          <a:extLst>
            <a:ext uri="{FF2B5EF4-FFF2-40B4-BE49-F238E27FC236}">
              <a16:creationId xmlns:a16="http://schemas.microsoft.com/office/drawing/2014/main" id="{155663B4-BCAD-ED13-C71A-3C1EBE06397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98480" y="9517380"/>
          <a:ext cx="156972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1478280</xdr:colOff>
      <xdr:row>55</xdr:row>
      <xdr:rowOff>358140</xdr:rowOff>
    </xdr:from>
    <xdr:to>
      <xdr:col>27</xdr:col>
      <xdr:colOff>1905</xdr:colOff>
      <xdr:row>60</xdr:row>
      <xdr:rowOff>1905</xdr:rowOff>
    </xdr:to>
    <xdr:pic>
      <xdr:nvPicPr>
        <xdr:cNvPr id="29100" name="1 Imagen">
          <a:extLst>
            <a:ext uri="{FF2B5EF4-FFF2-40B4-BE49-F238E27FC236}">
              <a16:creationId xmlns:a16="http://schemas.microsoft.com/office/drawing/2014/main" id="{27D7FA26-2694-A27E-9F2E-FA5A8B99FD6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6832580" y="9486900"/>
          <a:ext cx="156972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685800</xdr:colOff>
      <xdr:row>0</xdr:row>
      <xdr:rowOff>0</xdr:rowOff>
    </xdr:from>
    <xdr:to>
      <xdr:col>9</xdr:col>
      <xdr:colOff>0</xdr:colOff>
      <xdr:row>2</xdr:row>
      <xdr:rowOff>83820</xdr:rowOff>
    </xdr:to>
    <xdr:pic>
      <xdr:nvPicPr>
        <xdr:cNvPr id="26140" name="Picture 8" descr="ImagingService">
          <a:extLst>
            <a:ext uri="{FF2B5EF4-FFF2-40B4-BE49-F238E27FC236}">
              <a16:creationId xmlns:a16="http://schemas.microsoft.com/office/drawing/2014/main" id="{BB8D2440-9587-4B80-3436-EA264C284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4427" b="65599"/>
        <a:stretch>
          <a:fillRect/>
        </a:stretch>
      </xdr:blipFill>
      <xdr:spPr bwMode="auto">
        <a:xfrm>
          <a:off x="1325880" y="0"/>
          <a:ext cx="480822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716280</xdr:colOff>
      <xdr:row>2</xdr:row>
      <xdr:rowOff>45720</xdr:rowOff>
    </xdr:to>
    <xdr:pic>
      <xdr:nvPicPr>
        <xdr:cNvPr id="26141" name="Picture 9">
          <a:extLst>
            <a:ext uri="{FF2B5EF4-FFF2-40B4-BE49-F238E27FC236}">
              <a16:creationId xmlns:a16="http://schemas.microsoft.com/office/drawing/2014/main" id="{584E0D52-8740-0CD6-A630-83837B359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320040" y="0"/>
          <a:ext cx="103632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4</xdr:row>
      <xdr:rowOff>0</xdr:rowOff>
    </xdr:from>
    <xdr:to>
      <xdr:col>4</xdr:col>
      <xdr:colOff>1905</xdr:colOff>
      <xdr:row>5</xdr:row>
      <xdr:rowOff>160020</xdr:rowOff>
    </xdr:to>
    <xdr:pic>
      <xdr:nvPicPr>
        <xdr:cNvPr id="26142" name="Picture 11" descr="ImagingService">
          <a:extLst>
            <a:ext uri="{FF2B5EF4-FFF2-40B4-BE49-F238E27FC236}">
              <a16:creationId xmlns:a16="http://schemas.microsoft.com/office/drawing/2014/main" id="{F3D81EB0-80AE-B9E9-D982-A67240D7BA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13333" r="48239" b="64667"/>
        <a:stretch>
          <a:fillRect/>
        </a:stretch>
      </xdr:blipFill>
      <xdr:spPr bwMode="auto">
        <a:xfrm>
          <a:off x="320040" y="792480"/>
          <a:ext cx="188976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685800</xdr:colOff>
      <xdr:row>0</xdr:row>
      <xdr:rowOff>0</xdr:rowOff>
    </xdr:from>
    <xdr:to>
      <xdr:col>18</xdr:col>
      <xdr:colOff>0</xdr:colOff>
      <xdr:row>2</xdr:row>
      <xdr:rowOff>83820</xdr:rowOff>
    </xdr:to>
    <xdr:pic>
      <xdr:nvPicPr>
        <xdr:cNvPr id="26143" name="Picture 13" descr="ImagingService">
          <a:extLst>
            <a:ext uri="{FF2B5EF4-FFF2-40B4-BE49-F238E27FC236}">
              <a16:creationId xmlns:a16="http://schemas.microsoft.com/office/drawing/2014/main" id="{360D128F-BB8F-4799-3F81-9023D6541C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4427" b="65599"/>
        <a:stretch>
          <a:fillRect/>
        </a:stretch>
      </xdr:blipFill>
      <xdr:spPr bwMode="auto">
        <a:xfrm>
          <a:off x="7459980" y="0"/>
          <a:ext cx="480822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0</xdr:row>
      <xdr:rowOff>0</xdr:rowOff>
    </xdr:from>
    <xdr:to>
      <xdr:col>11</xdr:col>
      <xdr:colOff>716280</xdr:colOff>
      <xdr:row>2</xdr:row>
      <xdr:rowOff>45720</xdr:rowOff>
    </xdr:to>
    <xdr:pic>
      <xdr:nvPicPr>
        <xdr:cNvPr id="26144" name="Picture 14">
          <a:extLst>
            <a:ext uri="{FF2B5EF4-FFF2-40B4-BE49-F238E27FC236}">
              <a16:creationId xmlns:a16="http://schemas.microsoft.com/office/drawing/2014/main" id="{3A8DD0D7-DA03-BB10-5452-E2129A986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6454140" y="0"/>
          <a:ext cx="103632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10</xdr:col>
      <xdr:colOff>0</xdr:colOff>
      <xdr:row>4</xdr:row>
      <xdr:rowOff>0</xdr:rowOff>
    </xdr:from>
    <xdr:to>
      <xdr:col>13</xdr:col>
      <xdr:colOff>0</xdr:colOff>
      <xdr:row>6</xdr:row>
      <xdr:rowOff>3810</xdr:rowOff>
    </xdr:to>
    <xdr:pic>
      <xdr:nvPicPr>
        <xdr:cNvPr id="26145" name="Picture 16" descr="ImagingService">
          <a:extLst>
            <a:ext uri="{FF2B5EF4-FFF2-40B4-BE49-F238E27FC236}">
              <a16:creationId xmlns:a16="http://schemas.microsoft.com/office/drawing/2014/main" id="{35908E4F-258A-5FB0-E51B-8F0C901964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000" r="56369" b="66000"/>
        <a:stretch>
          <a:fillRect/>
        </a:stretch>
      </xdr:blipFill>
      <xdr:spPr bwMode="auto">
        <a:xfrm>
          <a:off x="6454140" y="792480"/>
          <a:ext cx="188976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38100</xdr:colOff>
      <xdr:row>24</xdr:row>
      <xdr:rowOff>312420</xdr:rowOff>
    </xdr:from>
    <xdr:to>
      <xdr:col>13</xdr:col>
      <xdr:colOff>632460</xdr:colOff>
      <xdr:row>27</xdr:row>
      <xdr:rowOff>1905</xdr:rowOff>
    </xdr:to>
    <xdr:pic>
      <xdr:nvPicPr>
        <xdr:cNvPr id="26146" name="Picture 17" descr="ImagingService">
          <a:extLst>
            <a:ext uri="{FF2B5EF4-FFF2-40B4-BE49-F238E27FC236}">
              <a16:creationId xmlns:a16="http://schemas.microsoft.com/office/drawing/2014/main" id="{8786AD6B-FDBE-B3B7-D910-687EF739AEB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4000" r="40379" b="65666"/>
        <a:stretch>
          <a:fillRect/>
        </a:stretch>
      </xdr:blipFill>
      <xdr:spPr bwMode="auto">
        <a:xfrm>
          <a:off x="6492240" y="4297680"/>
          <a:ext cx="24841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38100</xdr:colOff>
      <xdr:row>30</xdr:row>
      <xdr:rowOff>0</xdr:rowOff>
    </xdr:from>
    <xdr:to>
      <xdr:col>13</xdr:col>
      <xdr:colOff>502920</xdr:colOff>
      <xdr:row>32</xdr:row>
      <xdr:rowOff>3810</xdr:rowOff>
    </xdr:to>
    <xdr:pic>
      <xdr:nvPicPr>
        <xdr:cNvPr id="26147" name="Picture 18" descr="ImagingService">
          <a:extLst>
            <a:ext uri="{FF2B5EF4-FFF2-40B4-BE49-F238E27FC236}">
              <a16:creationId xmlns:a16="http://schemas.microsoft.com/office/drawing/2014/main" id="{9E16AE79-BB52-DB78-DDEE-4EC17103225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14000" r="42276" b="66000"/>
        <a:stretch>
          <a:fillRect/>
        </a:stretch>
      </xdr:blipFill>
      <xdr:spPr bwMode="auto">
        <a:xfrm>
          <a:off x="6492240" y="5135880"/>
          <a:ext cx="235458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708660</xdr:colOff>
      <xdr:row>36</xdr:row>
      <xdr:rowOff>312420</xdr:rowOff>
    </xdr:from>
    <xdr:to>
      <xdr:col>15</xdr:col>
      <xdr:colOff>701040</xdr:colOff>
      <xdr:row>39</xdr:row>
      <xdr:rowOff>1905</xdr:rowOff>
    </xdr:to>
    <xdr:pic>
      <xdr:nvPicPr>
        <xdr:cNvPr id="26148" name="Picture 19" descr="ImagingService">
          <a:extLst>
            <a:ext uri="{FF2B5EF4-FFF2-40B4-BE49-F238E27FC236}">
              <a16:creationId xmlns:a16="http://schemas.microsoft.com/office/drawing/2014/main" id="{19447268-BED9-C36F-66FF-F555DB7439C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72" t="15334" r="4138" b="65938"/>
        <a:stretch>
          <a:fillRect/>
        </a:stretch>
      </xdr:blipFill>
      <xdr:spPr bwMode="auto">
        <a:xfrm>
          <a:off x="6454140" y="6294120"/>
          <a:ext cx="41605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7620</xdr:colOff>
      <xdr:row>42</xdr:row>
      <xdr:rowOff>76200</xdr:rowOff>
    </xdr:from>
    <xdr:to>
      <xdr:col>15</xdr:col>
      <xdr:colOff>1905</xdr:colOff>
      <xdr:row>44</xdr:row>
      <xdr:rowOff>3810</xdr:rowOff>
    </xdr:to>
    <xdr:pic>
      <xdr:nvPicPr>
        <xdr:cNvPr id="26149" name="Picture 20" descr="ImagingService">
          <a:extLst>
            <a:ext uri="{FF2B5EF4-FFF2-40B4-BE49-F238E27FC236}">
              <a16:creationId xmlns:a16="http://schemas.microsoft.com/office/drawing/2014/main" id="{92C7758B-BD3D-2471-3636-A096DA82868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272" t="15334" r="6911" b="66333"/>
        <a:stretch>
          <a:fillRect/>
        </a:stretch>
      </xdr:blipFill>
      <xdr:spPr bwMode="auto">
        <a:xfrm>
          <a:off x="6461760" y="7208520"/>
          <a:ext cx="3451860" cy="259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53340</xdr:colOff>
      <xdr:row>49</xdr:row>
      <xdr:rowOff>167640</xdr:rowOff>
    </xdr:from>
    <xdr:to>
      <xdr:col>13</xdr:col>
      <xdr:colOff>502920</xdr:colOff>
      <xdr:row>50</xdr:row>
      <xdr:rowOff>160020</xdr:rowOff>
    </xdr:to>
    <xdr:pic>
      <xdr:nvPicPr>
        <xdr:cNvPr id="26150" name="Picture 21" descr="ImagingService">
          <a:extLst>
            <a:ext uri="{FF2B5EF4-FFF2-40B4-BE49-F238E27FC236}">
              <a16:creationId xmlns:a16="http://schemas.microsoft.com/office/drawing/2014/main" id="{F9E19881-669D-CEA5-249D-3DAD976EB5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4667" r="40921" b="67999"/>
        <a:stretch>
          <a:fillRect/>
        </a:stretch>
      </xdr:blipFill>
      <xdr:spPr bwMode="auto">
        <a:xfrm>
          <a:off x="6507480" y="8458200"/>
          <a:ext cx="233934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685800</xdr:colOff>
      <xdr:row>0</xdr:row>
      <xdr:rowOff>0</xdr:rowOff>
    </xdr:from>
    <xdr:to>
      <xdr:col>27</xdr:col>
      <xdr:colOff>0</xdr:colOff>
      <xdr:row>2</xdr:row>
      <xdr:rowOff>121920</xdr:rowOff>
    </xdr:to>
    <xdr:pic>
      <xdr:nvPicPr>
        <xdr:cNvPr id="26151" name="Picture 23" descr="ImagingService">
          <a:extLst>
            <a:ext uri="{FF2B5EF4-FFF2-40B4-BE49-F238E27FC236}">
              <a16:creationId xmlns:a16="http://schemas.microsoft.com/office/drawing/2014/main" id="{12FC4EFA-5208-08DE-B00E-279FD3F7A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4264" b="64796"/>
        <a:stretch>
          <a:fillRect/>
        </a:stretch>
      </xdr:blipFill>
      <xdr:spPr bwMode="auto">
        <a:xfrm>
          <a:off x="13594080" y="0"/>
          <a:ext cx="4808220" cy="510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0</xdr:colOff>
      <xdr:row>0</xdr:row>
      <xdr:rowOff>0</xdr:rowOff>
    </xdr:from>
    <xdr:to>
      <xdr:col>20</xdr:col>
      <xdr:colOff>685800</xdr:colOff>
      <xdr:row>2</xdr:row>
      <xdr:rowOff>45720</xdr:rowOff>
    </xdr:to>
    <xdr:pic>
      <xdr:nvPicPr>
        <xdr:cNvPr id="26152" name="Picture 24">
          <a:extLst>
            <a:ext uri="{FF2B5EF4-FFF2-40B4-BE49-F238E27FC236}">
              <a16:creationId xmlns:a16="http://schemas.microsoft.com/office/drawing/2014/main" id="{D07F9C36-934A-E7EB-7F77-DBBFA81602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12588240" y="0"/>
          <a:ext cx="100584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19</xdr:col>
      <xdr:colOff>0</xdr:colOff>
      <xdr:row>4</xdr:row>
      <xdr:rowOff>91440</xdr:rowOff>
    </xdr:from>
    <xdr:to>
      <xdr:col>23</xdr:col>
      <xdr:colOff>760095</xdr:colOff>
      <xdr:row>6</xdr:row>
      <xdr:rowOff>0</xdr:rowOff>
    </xdr:to>
    <xdr:pic>
      <xdr:nvPicPr>
        <xdr:cNvPr id="26153" name="Picture 26" descr="ImagingService">
          <a:extLst>
            <a:ext uri="{FF2B5EF4-FFF2-40B4-BE49-F238E27FC236}">
              <a16:creationId xmlns:a16="http://schemas.microsoft.com/office/drawing/2014/main" id="{42F0D0F5-7DD8-6A1E-3EC4-7C7A2850758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t="11667" r="22900" b="74333"/>
        <a:stretch>
          <a:fillRect/>
        </a:stretch>
      </xdr:blipFill>
      <xdr:spPr bwMode="auto">
        <a:xfrm>
          <a:off x="12588240" y="883920"/>
          <a:ext cx="345948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xdr:row>
      <xdr:rowOff>7620</xdr:rowOff>
    </xdr:from>
    <xdr:to>
      <xdr:col>5</xdr:col>
      <xdr:colOff>541020</xdr:colOff>
      <xdr:row>3</xdr:row>
      <xdr:rowOff>160020</xdr:rowOff>
    </xdr:to>
    <xdr:pic>
      <xdr:nvPicPr>
        <xdr:cNvPr id="26154" name="Picture 30" descr="ImagingService">
          <a:extLst>
            <a:ext uri="{FF2B5EF4-FFF2-40B4-BE49-F238E27FC236}">
              <a16:creationId xmlns:a16="http://schemas.microsoft.com/office/drawing/2014/main" id="{674D16A2-C8C6-C066-48CB-49152C5F11B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l="-136" t="14333" r="22900" b="66333"/>
        <a:stretch>
          <a:fillRect/>
        </a:stretch>
      </xdr:blipFill>
      <xdr:spPr bwMode="auto">
        <a:xfrm>
          <a:off x="320040" y="396240"/>
          <a:ext cx="32156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2</xdr:row>
      <xdr:rowOff>45720</xdr:rowOff>
    </xdr:from>
    <xdr:to>
      <xdr:col>14</xdr:col>
      <xdr:colOff>541020</xdr:colOff>
      <xdr:row>4</xdr:row>
      <xdr:rowOff>1905</xdr:rowOff>
    </xdr:to>
    <xdr:pic>
      <xdr:nvPicPr>
        <xdr:cNvPr id="26155" name="Picture 31" descr="ImagingService">
          <a:extLst>
            <a:ext uri="{FF2B5EF4-FFF2-40B4-BE49-F238E27FC236}">
              <a16:creationId xmlns:a16="http://schemas.microsoft.com/office/drawing/2014/main" id="{B7A76A62-62CD-2247-A84D-8226030E881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l="-136" t="14333" r="22900" b="66333"/>
        <a:stretch>
          <a:fillRect/>
        </a:stretch>
      </xdr:blipFill>
      <xdr:spPr bwMode="auto">
        <a:xfrm>
          <a:off x="6454140" y="434340"/>
          <a:ext cx="321564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2</xdr:row>
      <xdr:rowOff>0</xdr:rowOff>
    </xdr:from>
    <xdr:to>
      <xdr:col>23</xdr:col>
      <xdr:colOff>541020</xdr:colOff>
      <xdr:row>3</xdr:row>
      <xdr:rowOff>129540</xdr:rowOff>
    </xdr:to>
    <xdr:pic>
      <xdr:nvPicPr>
        <xdr:cNvPr id="26156" name="Picture 32" descr="ImagingService">
          <a:extLst>
            <a:ext uri="{FF2B5EF4-FFF2-40B4-BE49-F238E27FC236}">
              <a16:creationId xmlns:a16="http://schemas.microsoft.com/office/drawing/2014/main" id="{952EC41E-14D5-1946-991D-1EDE027D2F9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l="-136" t="14333" r="22900" b="66333"/>
        <a:stretch>
          <a:fillRect/>
        </a:stretch>
      </xdr:blipFill>
      <xdr:spPr bwMode="auto">
        <a:xfrm>
          <a:off x="12588240" y="388620"/>
          <a:ext cx="321564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952500</xdr:colOff>
      <xdr:row>0</xdr:row>
      <xdr:rowOff>198120</xdr:rowOff>
    </xdr:from>
    <xdr:to>
      <xdr:col>9</xdr:col>
      <xdr:colOff>3810</xdr:colOff>
      <xdr:row>3</xdr:row>
      <xdr:rowOff>0</xdr:rowOff>
    </xdr:to>
    <xdr:pic>
      <xdr:nvPicPr>
        <xdr:cNvPr id="26157" name="Picture 33" descr="ImagingService">
          <a:extLst>
            <a:ext uri="{FF2B5EF4-FFF2-40B4-BE49-F238E27FC236}">
              <a16:creationId xmlns:a16="http://schemas.microsoft.com/office/drawing/2014/main" id="{FAAC7838-8E5C-C359-1B40-B97552D8F53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136" t="13667" r="83551" b="67314"/>
        <a:stretch>
          <a:fillRect/>
        </a:stretch>
      </xdr:blipFill>
      <xdr:spPr bwMode="auto">
        <a:xfrm>
          <a:off x="5349240" y="198120"/>
          <a:ext cx="78486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952500</xdr:colOff>
      <xdr:row>0</xdr:row>
      <xdr:rowOff>198120</xdr:rowOff>
    </xdr:from>
    <xdr:to>
      <xdr:col>18</xdr:col>
      <xdr:colOff>3810</xdr:colOff>
      <xdr:row>3</xdr:row>
      <xdr:rowOff>1905</xdr:rowOff>
    </xdr:to>
    <xdr:pic>
      <xdr:nvPicPr>
        <xdr:cNvPr id="26158" name="Picture 34" descr="ImagingService">
          <a:extLst>
            <a:ext uri="{FF2B5EF4-FFF2-40B4-BE49-F238E27FC236}">
              <a16:creationId xmlns:a16="http://schemas.microsoft.com/office/drawing/2014/main" id="{69A9B97C-8D0D-71AE-8F83-6EE49CC66A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t="13333" r="82918" b="66414"/>
        <a:stretch>
          <a:fillRect/>
        </a:stretch>
      </xdr:blipFill>
      <xdr:spPr bwMode="auto">
        <a:xfrm>
          <a:off x="11483340" y="198120"/>
          <a:ext cx="78486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1043940</xdr:colOff>
      <xdr:row>0</xdr:row>
      <xdr:rowOff>175260</xdr:rowOff>
    </xdr:from>
    <xdr:to>
      <xdr:col>27</xdr:col>
      <xdr:colOff>1905</xdr:colOff>
      <xdr:row>3</xdr:row>
      <xdr:rowOff>0</xdr:rowOff>
    </xdr:to>
    <xdr:pic>
      <xdr:nvPicPr>
        <xdr:cNvPr id="26159" name="Picture 35" descr="ImagingService">
          <a:extLst>
            <a:ext uri="{FF2B5EF4-FFF2-40B4-BE49-F238E27FC236}">
              <a16:creationId xmlns:a16="http://schemas.microsoft.com/office/drawing/2014/main" id="{DC28DD51-C31F-E8D2-DF1E-7B4E4216513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l="136" t="14667" r="82791" b="67000"/>
        <a:stretch>
          <a:fillRect/>
        </a:stretch>
      </xdr:blipFill>
      <xdr:spPr bwMode="auto">
        <a:xfrm>
          <a:off x="17617440" y="175260"/>
          <a:ext cx="784860" cy="449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922020</xdr:colOff>
      <xdr:row>56</xdr:row>
      <xdr:rowOff>0</xdr:rowOff>
    </xdr:from>
    <xdr:to>
      <xdr:col>9</xdr:col>
      <xdr:colOff>0</xdr:colOff>
      <xdr:row>59</xdr:row>
      <xdr:rowOff>158115</xdr:rowOff>
    </xdr:to>
    <xdr:pic>
      <xdr:nvPicPr>
        <xdr:cNvPr id="26160" name="1 Imagen">
          <a:extLst>
            <a:ext uri="{FF2B5EF4-FFF2-40B4-BE49-F238E27FC236}">
              <a16:creationId xmlns:a16="http://schemas.microsoft.com/office/drawing/2014/main" id="{3EBCAA99-8AEC-4528-3BDF-341BDA63D52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564380" y="9456420"/>
          <a:ext cx="156972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998220</xdr:colOff>
      <xdr:row>56</xdr:row>
      <xdr:rowOff>38100</xdr:rowOff>
    </xdr:from>
    <xdr:to>
      <xdr:col>18</xdr:col>
      <xdr:colOff>0</xdr:colOff>
      <xdr:row>60</xdr:row>
      <xdr:rowOff>3810</xdr:rowOff>
    </xdr:to>
    <xdr:pic>
      <xdr:nvPicPr>
        <xdr:cNvPr id="26161" name="1 Imagen">
          <a:extLst>
            <a:ext uri="{FF2B5EF4-FFF2-40B4-BE49-F238E27FC236}">
              <a16:creationId xmlns:a16="http://schemas.microsoft.com/office/drawing/2014/main" id="{89BD808B-20BD-F501-BD18-0079BDEAC03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0698480" y="9494520"/>
          <a:ext cx="15697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1043940</xdr:colOff>
      <xdr:row>56</xdr:row>
      <xdr:rowOff>38100</xdr:rowOff>
    </xdr:from>
    <xdr:to>
      <xdr:col>26</xdr:col>
      <xdr:colOff>758190</xdr:colOff>
      <xdr:row>60</xdr:row>
      <xdr:rowOff>3810</xdr:rowOff>
    </xdr:to>
    <xdr:pic>
      <xdr:nvPicPr>
        <xdr:cNvPr id="26162" name="1 Imagen">
          <a:extLst>
            <a:ext uri="{FF2B5EF4-FFF2-40B4-BE49-F238E27FC236}">
              <a16:creationId xmlns:a16="http://schemas.microsoft.com/office/drawing/2014/main" id="{7DD8573F-0B25-E7C3-578A-CFC1326FCE3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6832580" y="9494520"/>
          <a:ext cx="15697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30480</xdr:rowOff>
    </xdr:from>
    <xdr:to>
      <xdr:col>9</xdr:col>
      <xdr:colOff>0</xdr:colOff>
      <xdr:row>2</xdr:row>
      <xdr:rowOff>83820</xdr:rowOff>
    </xdr:to>
    <xdr:grpSp>
      <xdr:nvGrpSpPr>
        <xdr:cNvPr id="27195" name="Group 5">
          <a:extLst>
            <a:ext uri="{FF2B5EF4-FFF2-40B4-BE49-F238E27FC236}">
              <a16:creationId xmlns:a16="http://schemas.microsoft.com/office/drawing/2014/main" id="{9087175F-7119-5251-503B-BD16AE2E2DC1}"/>
            </a:ext>
          </a:extLst>
        </xdr:cNvPr>
        <xdr:cNvGrpSpPr>
          <a:grpSpLocks/>
        </xdr:cNvGrpSpPr>
      </xdr:nvGrpSpPr>
      <xdr:grpSpPr bwMode="auto">
        <a:xfrm>
          <a:off x="314325" y="30480"/>
          <a:ext cx="5648325" cy="443865"/>
          <a:chOff x="2538" y="0"/>
          <a:chExt cx="592" cy="44"/>
        </a:xfrm>
      </xdr:grpSpPr>
      <xdr:pic>
        <xdr:nvPicPr>
          <xdr:cNvPr id="27217" name="Picture 6" descr="ImagingService">
            <a:extLst>
              <a:ext uri="{FF2B5EF4-FFF2-40B4-BE49-F238E27FC236}">
                <a16:creationId xmlns:a16="http://schemas.microsoft.com/office/drawing/2014/main" id="{C009555E-50FB-9A92-0A74-57330CB5AC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7218" name="Picture 7">
            <a:extLst>
              <a:ext uri="{FF2B5EF4-FFF2-40B4-BE49-F238E27FC236}">
                <a16:creationId xmlns:a16="http://schemas.microsoft.com/office/drawing/2014/main" id="{1CAC91CC-4A88-A463-D3BB-48B8872F5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10</xdr:col>
      <xdr:colOff>0</xdr:colOff>
      <xdr:row>0</xdr:row>
      <xdr:rowOff>0</xdr:rowOff>
    </xdr:from>
    <xdr:to>
      <xdr:col>18</xdr:col>
      <xdr:colOff>0</xdr:colOff>
      <xdr:row>2</xdr:row>
      <xdr:rowOff>68580</xdr:rowOff>
    </xdr:to>
    <xdr:grpSp>
      <xdr:nvGrpSpPr>
        <xdr:cNvPr id="27196" name="Group 10">
          <a:extLst>
            <a:ext uri="{FF2B5EF4-FFF2-40B4-BE49-F238E27FC236}">
              <a16:creationId xmlns:a16="http://schemas.microsoft.com/office/drawing/2014/main" id="{77B5CA91-B770-F8C4-4115-242EDD5B6025}"/>
            </a:ext>
          </a:extLst>
        </xdr:cNvPr>
        <xdr:cNvGrpSpPr>
          <a:grpSpLocks/>
        </xdr:cNvGrpSpPr>
      </xdr:nvGrpSpPr>
      <xdr:grpSpPr bwMode="auto">
        <a:xfrm>
          <a:off x="6276975" y="0"/>
          <a:ext cx="5648325" cy="459105"/>
          <a:chOff x="2538" y="0"/>
          <a:chExt cx="592" cy="44"/>
        </a:xfrm>
      </xdr:grpSpPr>
      <xdr:pic>
        <xdr:nvPicPr>
          <xdr:cNvPr id="27215" name="Picture 11" descr="ImagingService">
            <a:extLst>
              <a:ext uri="{FF2B5EF4-FFF2-40B4-BE49-F238E27FC236}">
                <a16:creationId xmlns:a16="http://schemas.microsoft.com/office/drawing/2014/main" id="{45C5B900-C7E4-22BD-C7C7-2DE9C8759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7216" name="Picture 12">
            <a:extLst>
              <a:ext uri="{FF2B5EF4-FFF2-40B4-BE49-F238E27FC236}">
                <a16:creationId xmlns:a16="http://schemas.microsoft.com/office/drawing/2014/main" id="{F366B226-0B25-42CD-55B4-8363E04A2B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0</xdr:colOff>
      <xdr:row>4</xdr:row>
      <xdr:rowOff>251460</xdr:rowOff>
    </xdr:from>
    <xdr:to>
      <xdr:col>5</xdr:col>
      <xdr:colOff>167640</xdr:colOff>
      <xdr:row>5</xdr:row>
      <xdr:rowOff>158115</xdr:rowOff>
    </xdr:to>
    <xdr:pic>
      <xdr:nvPicPr>
        <xdr:cNvPr id="27197" name="Picture 14" descr="ImagingService">
          <a:extLst>
            <a:ext uri="{FF2B5EF4-FFF2-40B4-BE49-F238E27FC236}">
              <a16:creationId xmlns:a16="http://schemas.microsoft.com/office/drawing/2014/main" id="{CA6A663A-AF2D-76A4-FB5A-5F1A8F22B4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14333" r="12872" b="68001"/>
        <a:stretch>
          <a:fillRect/>
        </a:stretch>
      </xdr:blipFill>
      <xdr:spPr bwMode="auto">
        <a:xfrm>
          <a:off x="320040" y="960120"/>
          <a:ext cx="284226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xdr:row>
      <xdr:rowOff>91440</xdr:rowOff>
    </xdr:from>
    <xdr:to>
      <xdr:col>3</xdr:col>
      <xdr:colOff>701040</xdr:colOff>
      <xdr:row>11</xdr:row>
      <xdr:rowOff>1905</xdr:rowOff>
    </xdr:to>
    <xdr:pic>
      <xdr:nvPicPr>
        <xdr:cNvPr id="27198" name="Picture 15" descr="ImagingService">
          <a:extLst>
            <a:ext uri="{FF2B5EF4-FFF2-40B4-BE49-F238E27FC236}">
              <a16:creationId xmlns:a16="http://schemas.microsoft.com/office/drawing/2014/main" id="{72AC0F0C-65E8-0028-FE35-3B1F92C54AF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999" r="52304" b="66335"/>
        <a:stretch>
          <a:fillRect/>
        </a:stretch>
      </xdr:blipFill>
      <xdr:spPr bwMode="auto">
        <a:xfrm>
          <a:off x="320040" y="1722120"/>
          <a:ext cx="180594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xdr:row>
      <xdr:rowOff>91440</xdr:rowOff>
    </xdr:from>
    <xdr:to>
      <xdr:col>4</xdr:col>
      <xdr:colOff>617220</xdr:colOff>
      <xdr:row>16</xdr:row>
      <xdr:rowOff>1905</xdr:rowOff>
    </xdr:to>
    <xdr:pic>
      <xdr:nvPicPr>
        <xdr:cNvPr id="27199" name="Picture 16" descr="ImagingService">
          <a:extLst>
            <a:ext uri="{FF2B5EF4-FFF2-40B4-BE49-F238E27FC236}">
              <a16:creationId xmlns:a16="http://schemas.microsoft.com/office/drawing/2014/main" id="{8C031C37-EF13-5B4A-06C6-67F5ED89E95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4999" r="34282" b="67667"/>
        <a:stretch>
          <a:fillRect/>
        </a:stretch>
      </xdr:blipFill>
      <xdr:spPr bwMode="auto">
        <a:xfrm>
          <a:off x="320040" y="2552700"/>
          <a:ext cx="250698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19</xdr:row>
      <xdr:rowOff>114300</xdr:rowOff>
    </xdr:from>
    <xdr:to>
      <xdr:col>6</xdr:col>
      <xdr:colOff>0</xdr:colOff>
      <xdr:row>21</xdr:row>
      <xdr:rowOff>3810</xdr:rowOff>
    </xdr:to>
    <xdr:pic>
      <xdr:nvPicPr>
        <xdr:cNvPr id="27200" name="Picture 17" descr="ImagingService">
          <a:extLst>
            <a:ext uri="{FF2B5EF4-FFF2-40B4-BE49-F238E27FC236}">
              <a16:creationId xmlns:a16="http://schemas.microsoft.com/office/drawing/2014/main" id="{333A9739-79E7-C4DE-BEBC-2F62D185D44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15334" r="6911" b="67332"/>
        <a:stretch>
          <a:fillRect/>
        </a:stretch>
      </xdr:blipFill>
      <xdr:spPr bwMode="auto">
        <a:xfrm>
          <a:off x="327660" y="3406140"/>
          <a:ext cx="345186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23</xdr:row>
      <xdr:rowOff>0</xdr:rowOff>
    </xdr:from>
    <xdr:to>
      <xdr:col>6</xdr:col>
      <xdr:colOff>701040</xdr:colOff>
      <xdr:row>25</xdr:row>
      <xdr:rowOff>0</xdr:rowOff>
    </xdr:to>
    <xdr:sp macro="" textlink="">
      <xdr:nvSpPr>
        <xdr:cNvPr id="27201" name="AutoShape 18" descr="ImagingService">
          <a:extLst>
            <a:ext uri="{FF2B5EF4-FFF2-40B4-BE49-F238E27FC236}">
              <a16:creationId xmlns:a16="http://schemas.microsoft.com/office/drawing/2014/main" id="{7753506D-9BDA-0F01-4602-FD85016BFCFE}"/>
            </a:ext>
          </a:extLst>
        </xdr:cNvPr>
        <xdr:cNvSpPr>
          <a:spLocks noChangeAspect="1" noChangeArrowheads="1"/>
        </xdr:cNvSpPr>
      </xdr:nvSpPr>
      <xdr:spPr bwMode="auto">
        <a:xfrm>
          <a:off x="3779520" y="3954780"/>
          <a:ext cx="70104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xdr:colOff>
      <xdr:row>24</xdr:row>
      <xdr:rowOff>0</xdr:rowOff>
    </xdr:from>
    <xdr:to>
      <xdr:col>4</xdr:col>
      <xdr:colOff>758190</xdr:colOff>
      <xdr:row>26</xdr:row>
      <xdr:rowOff>1905</xdr:rowOff>
    </xdr:to>
    <xdr:pic>
      <xdr:nvPicPr>
        <xdr:cNvPr id="27202" name="Picture 19" descr="ImagingService">
          <a:extLst>
            <a:ext uri="{FF2B5EF4-FFF2-40B4-BE49-F238E27FC236}">
              <a16:creationId xmlns:a16="http://schemas.microsoft.com/office/drawing/2014/main" id="{6DB3E491-3B36-4E9D-865F-83971182EE5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t="12334" r="21680" b="66666"/>
        <a:stretch>
          <a:fillRect/>
        </a:stretch>
      </xdr:blipFill>
      <xdr:spPr bwMode="auto">
        <a:xfrm>
          <a:off x="327660" y="4122420"/>
          <a:ext cx="26670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29</xdr:row>
      <xdr:rowOff>91440</xdr:rowOff>
    </xdr:from>
    <xdr:to>
      <xdr:col>3</xdr:col>
      <xdr:colOff>449580</xdr:colOff>
      <xdr:row>31</xdr:row>
      <xdr:rowOff>1905</xdr:rowOff>
    </xdr:to>
    <xdr:pic>
      <xdr:nvPicPr>
        <xdr:cNvPr id="27203" name="Picture 20" descr="ImagingService">
          <a:extLst>
            <a:ext uri="{FF2B5EF4-FFF2-40B4-BE49-F238E27FC236}">
              <a16:creationId xmlns:a16="http://schemas.microsoft.com/office/drawing/2014/main" id="{1B9A31E5-254A-9974-1A6C-FA0523DE538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t="14999" r="56639" b="67000"/>
        <a:stretch>
          <a:fillRect/>
        </a:stretch>
      </xdr:blipFill>
      <xdr:spPr bwMode="auto">
        <a:xfrm>
          <a:off x="327660" y="5044440"/>
          <a:ext cx="154686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53340</xdr:colOff>
      <xdr:row>34</xdr:row>
      <xdr:rowOff>76200</xdr:rowOff>
    </xdr:from>
    <xdr:to>
      <xdr:col>3</xdr:col>
      <xdr:colOff>0</xdr:colOff>
      <xdr:row>36</xdr:row>
      <xdr:rowOff>3810</xdr:rowOff>
    </xdr:to>
    <xdr:pic>
      <xdr:nvPicPr>
        <xdr:cNvPr id="27204" name="Picture 21" descr="ImagingService">
          <a:extLst>
            <a:ext uri="{FF2B5EF4-FFF2-40B4-BE49-F238E27FC236}">
              <a16:creationId xmlns:a16="http://schemas.microsoft.com/office/drawing/2014/main" id="{62DC4304-0567-9DC8-12A6-A4057EC70E0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4999" r="71951" b="68001"/>
        <a:stretch>
          <a:fillRect/>
        </a:stretch>
      </xdr:blipFill>
      <xdr:spPr bwMode="auto">
        <a:xfrm>
          <a:off x="373380" y="5859780"/>
          <a:ext cx="1051560" cy="259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39</xdr:row>
      <xdr:rowOff>114300</xdr:rowOff>
    </xdr:from>
    <xdr:to>
      <xdr:col>5</xdr:col>
      <xdr:colOff>760095</xdr:colOff>
      <xdr:row>41</xdr:row>
      <xdr:rowOff>3810</xdr:rowOff>
    </xdr:to>
    <xdr:pic>
      <xdr:nvPicPr>
        <xdr:cNvPr id="27205" name="Picture 22" descr="ImagingService">
          <a:extLst>
            <a:ext uri="{FF2B5EF4-FFF2-40B4-BE49-F238E27FC236}">
              <a16:creationId xmlns:a16="http://schemas.microsoft.com/office/drawing/2014/main" id="{73E03421-F49B-0B7A-1C53-B570E0682D6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t="15334" r="10704" b="67999"/>
        <a:stretch>
          <a:fillRect/>
        </a:stretch>
      </xdr:blipFill>
      <xdr:spPr bwMode="auto">
        <a:xfrm>
          <a:off x="327660" y="6728460"/>
          <a:ext cx="345186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44</xdr:row>
      <xdr:rowOff>76200</xdr:rowOff>
    </xdr:from>
    <xdr:to>
      <xdr:col>3</xdr:col>
      <xdr:colOff>1905</xdr:colOff>
      <xdr:row>46</xdr:row>
      <xdr:rowOff>3810</xdr:rowOff>
    </xdr:to>
    <xdr:pic>
      <xdr:nvPicPr>
        <xdr:cNvPr id="27206" name="Picture 23" descr="ImagingService">
          <a:extLst>
            <a:ext uri="{FF2B5EF4-FFF2-40B4-BE49-F238E27FC236}">
              <a16:creationId xmlns:a16="http://schemas.microsoft.com/office/drawing/2014/main" id="{97382067-ACE4-BAC1-17A7-462E4F6A9F2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t="14999" r="71138" b="67667"/>
        <a:stretch>
          <a:fillRect/>
        </a:stretch>
      </xdr:blipFill>
      <xdr:spPr bwMode="auto">
        <a:xfrm>
          <a:off x="327660" y="7520940"/>
          <a:ext cx="1097280" cy="259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49</xdr:row>
      <xdr:rowOff>114300</xdr:rowOff>
    </xdr:from>
    <xdr:to>
      <xdr:col>4</xdr:col>
      <xdr:colOff>758190</xdr:colOff>
      <xdr:row>51</xdr:row>
      <xdr:rowOff>1905</xdr:rowOff>
    </xdr:to>
    <xdr:pic>
      <xdr:nvPicPr>
        <xdr:cNvPr id="27207" name="Picture 24" descr="ImagingService">
          <a:extLst>
            <a:ext uri="{FF2B5EF4-FFF2-40B4-BE49-F238E27FC236}">
              <a16:creationId xmlns:a16="http://schemas.microsoft.com/office/drawing/2014/main" id="{A7D2E229-7D52-5159-8205-2D2988E8337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406" t="14999" r="33469" b="68001"/>
        <a:stretch>
          <a:fillRect/>
        </a:stretch>
      </xdr:blipFill>
      <xdr:spPr bwMode="auto">
        <a:xfrm>
          <a:off x="327660" y="8389620"/>
          <a:ext cx="266700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4</xdr:row>
      <xdr:rowOff>114300</xdr:rowOff>
    </xdr:from>
    <xdr:to>
      <xdr:col>13</xdr:col>
      <xdr:colOff>579120</xdr:colOff>
      <xdr:row>6</xdr:row>
      <xdr:rowOff>3810</xdr:rowOff>
    </xdr:to>
    <xdr:pic>
      <xdr:nvPicPr>
        <xdr:cNvPr id="27208" name="Picture 26" descr="ImagingService">
          <a:extLst>
            <a:ext uri="{FF2B5EF4-FFF2-40B4-BE49-F238E27FC236}">
              <a16:creationId xmlns:a16="http://schemas.microsoft.com/office/drawing/2014/main" id="{D8DF5503-780A-E4AE-65E7-168E37BC495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l="-272" t="15666" r="27507" b="66000"/>
        <a:stretch>
          <a:fillRect/>
        </a:stretch>
      </xdr:blipFill>
      <xdr:spPr bwMode="auto">
        <a:xfrm>
          <a:off x="6454140" y="906780"/>
          <a:ext cx="246888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xdr:row>
      <xdr:rowOff>68580</xdr:rowOff>
    </xdr:from>
    <xdr:to>
      <xdr:col>5</xdr:col>
      <xdr:colOff>632460</xdr:colOff>
      <xdr:row>4</xdr:row>
      <xdr:rowOff>3810</xdr:rowOff>
    </xdr:to>
    <xdr:pic>
      <xdr:nvPicPr>
        <xdr:cNvPr id="27209" name="Picture 27" descr="ImagingService">
          <a:extLst>
            <a:ext uri="{FF2B5EF4-FFF2-40B4-BE49-F238E27FC236}">
              <a16:creationId xmlns:a16="http://schemas.microsoft.com/office/drawing/2014/main" id="{6362CEEC-557C-08FC-4D03-0319AEC466A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t="14999" r="35229" b="67334"/>
        <a:stretch>
          <a:fillRect/>
        </a:stretch>
      </xdr:blipFill>
      <xdr:spPr bwMode="auto">
        <a:xfrm>
          <a:off x="320040" y="457200"/>
          <a:ext cx="330708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2</xdr:row>
      <xdr:rowOff>7620</xdr:rowOff>
    </xdr:from>
    <xdr:to>
      <xdr:col>14</xdr:col>
      <xdr:colOff>632460</xdr:colOff>
      <xdr:row>4</xdr:row>
      <xdr:rowOff>3810</xdr:rowOff>
    </xdr:to>
    <xdr:pic>
      <xdr:nvPicPr>
        <xdr:cNvPr id="27210" name="Picture 28" descr="ImagingService">
          <a:extLst>
            <a:ext uri="{FF2B5EF4-FFF2-40B4-BE49-F238E27FC236}">
              <a16:creationId xmlns:a16="http://schemas.microsoft.com/office/drawing/2014/main" id="{A4D5FA0A-9341-742E-8AB2-7CACC88E5E8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t="14999" r="35229" b="67334"/>
        <a:stretch>
          <a:fillRect/>
        </a:stretch>
      </xdr:blipFill>
      <xdr:spPr bwMode="auto">
        <a:xfrm>
          <a:off x="6454140" y="396240"/>
          <a:ext cx="33070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838200</xdr:colOff>
      <xdr:row>0</xdr:row>
      <xdr:rowOff>304800</xdr:rowOff>
    </xdr:from>
    <xdr:to>
      <xdr:col>8</xdr:col>
      <xdr:colOff>758190</xdr:colOff>
      <xdr:row>3</xdr:row>
      <xdr:rowOff>30480</xdr:rowOff>
    </xdr:to>
    <xdr:pic>
      <xdr:nvPicPr>
        <xdr:cNvPr id="27211" name="Picture 29" descr="ImagingService">
          <a:extLst>
            <a:ext uri="{FF2B5EF4-FFF2-40B4-BE49-F238E27FC236}">
              <a16:creationId xmlns:a16="http://schemas.microsoft.com/office/drawing/2014/main" id="{0801CE86-9C39-81D4-3D8E-E77AC47DDCD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t="14000" r="83333" b="66667"/>
        <a:stretch>
          <a:fillRect/>
        </a:stretch>
      </xdr:blipFill>
      <xdr:spPr bwMode="auto">
        <a:xfrm>
          <a:off x="5349240" y="228600"/>
          <a:ext cx="78486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632460</xdr:colOff>
      <xdr:row>0</xdr:row>
      <xdr:rowOff>358140</xdr:rowOff>
    </xdr:from>
    <xdr:to>
      <xdr:col>18</xdr:col>
      <xdr:colOff>1905</xdr:colOff>
      <xdr:row>3</xdr:row>
      <xdr:rowOff>0</xdr:rowOff>
    </xdr:to>
    <xdr:pic>
      <xdr:nvPicPr>
        <xdr:cNvPr id="27212" name="Picture 30" descr="ImagingService">
          <a:extLst>
            <a:ext uri="{FF2B5EF4-FFF2-40B4-BE49-F238E27FC236}">
              <a16:creationId xmlns:a16="http://schemas.microsoft.com/office/drawing/2014/main" id="{6C37CFE3-E539-D06F-C67F-952C66862DC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t="15334" r="82927" b="67332"/>
        <a:stretch>
          <a:fillRect/>
        </a:stretch>
      </xdr:blipFill>
      <xdr:spPr bwMode="auto">
        <a:xfrm>
          <a:off x="11330940" y="228600"/>
          <a:ext cx="9372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899160</xdr:colOff>
      <xdr:row>56</xdr:row>
      <xdr:rowOff>7620</xdr:rowOff>
    </xdr:from>
    <xdr:to>
      <xdr:col>8</xdr:col>
      <xdr:colOff>760095</xdr:colOff>
      <xdr:row>59</xdr:row>
      <xdr:rowOff>158115</xdr:rowOff>
    </xdr:to>
    <xdr:pic>
      <xdr:nvPicPr>
        <xdr:cNvPr id="27213" name="1 Imagen">
          <a:extLst>
            <a:ext uri="{FF2B5EF4-FFF2-40B4-BE49-F238E27FC236}">
              <a16:creationId xmlns:a16="http://schemas.microsoft.com/office/drawing/2014/main" id="{BBAC366E-CEDC-EB54-A73B-4BBDF36870E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564380" y="9448800"/>
          <a:ext cx="15697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960120</xdr:colOff>
      <xdr:row>56</xdr:row>
      <xdr:rowOff>30480</xdr:rowOff>
    </xdr:from>
    <xdr:to>
      <xdr:col>17</xdr:col>
      <xdr:colOff>758190</xdr:colOff>
      <xdr:row>59</xdr:row>
      <xdr:rowOff>158115</xdr:rowOff>
    </xdr:to>
    <xdr:pic>
      <xdr:nvPicPr>
        <xdr:cNvPr id="27214" name="1 Imagen">
          <a:extLst>
            <a:ext uri="{FF2B5EF4-FFF2-40B4-BE49-F238E27FC236}">
              <a16:creationId xmlns:a16="http://schemas.microsoft.com/office/drawing/2014/main" id="{C438CE85-E265-FDCC-1490-801F4DB02B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0698480" y="9471660"/>
          <a:ext cx="156972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0</xdr:rowOff>
    </xdr:from>
    <xdr:to>
      <xdr:col>9</xdr:col>
      <xdr:colOff>0</xdr:colOff>
      <xdr:row>2</xdr:row>
      <xdr:rowOff>68580</xdr:rowOff>
    </xdr:to>
    <xdr:grpSp>
      <xdr:nvGrpSpPr>
        <xdr:cNvPr id="10774" name="Group 3">
          <a:extLst>
            <a:ext uri="{FF2B5EF4-FFF2-40B4-BE49-F238E27FC236}">
              <a16:creationId xmlns:a16="http://schemas.microsoft.com/office/drawing/2014/main" id="{E332446E-231A-8A86-25E8-6C8FE899E8F3}"/>
            </a:ext>
          </a:extLst>
        </xdr:cNvPr>
        <xdr:cNvGrpSpPr>
          <a:grpSpLocks/>
        </xdr:cNvGrpSpPr>
      </xdr:nvGrpSpPr>
      <xdr:grpSpPr bwMode="auto">
        <a:xfrm>
          <a:off x="314325" y="0"/>
          <a:ext cx="5648325" cy="459105"/>
          <a:chOff x="2538" y="0"/>
          <a:chExt cx="592" cy="44"/>
        </a:xfrm>
      </xdr:grpSpPr>
      <xdr:pic>
        <xdr:nvPicPr>
          <xdr:cNvPr id="10780" name="Picture 4" descr="ImagingService">
            <a:extLst>
              <a:ext uri="{FF2B5EF4-FFF2-40B4-BE49-F238E27FC236}">
                <a16:creationId xmlns:a16="http://schemas.microsoft.com/office/drawing/2014/main" id="{FCDB98DB-72D0-EF18-C6B9-06C96F4CE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781" name="Picture 5">
            <a:extLst>
              <a:ext uri="{FF2B5EF4-FFF2-40B4-BE49-F238E27FC236}">
                <a16:creationId xmlns:a16="http://schemas.microsoft.com/office/drawing/2014/main" id="{0E1F26AD-F6CC-19E2-95AB-E07D8D2BB4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7620</xdr:colOff>
      <xdr:row>6</xdr:row>
      <xdr:rowOff>7620</xdr:rowOff>
    </xdr:from>
    <xdr:to>
      <xdr:col>4</xdr:col>
      <xdr:colOff>3810</xdr:colOff>
      <xdr:row>7</xdr:row>
      <xdr:rowOff>160020</xdr:rowOff>
    </xdr:to>
    <xdr:pic>
      <xdr:nvPicPr>
        <xdr:cNvPr id="10775" name="Picture 7" descr="ImagingService">
          <a:extLst>
            <a:ext uri="{FF2B5EF4-FFF2-40B4-BE49-F238E27FC236}">
              <a16:creationId xmlns:a16="http://schemas.microsoft.com/office/drawing/2014/main" id="{E6052044-5A80-20E4-A2B9-4E4E68B898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16333" r="50813" b="68666"/>
        <a:stretch>
          <a:fillRect/>
        </a:stretch>
      </xdr:blipFill>
      <xdr:spPr bwMode="auto">
        <a:xfrm>
          <a:off x="327660" y="2834640"/>
          <a:ext cx="188214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45720</xdr:colOff>
      <xdr:row>4</xdr:row>
      <xdr:rowOff>685800</xdr:rowOff>
    </xdr:from>
    <xdr:to>
      <xdr:col>8</xdr:col>
      <xdr:colOff>236220</xdr:colOff>
      <xdr:row>6</xdr:row>
      <xdr:rowOff>0</xdr:rowOff>
    </xdr:to>
    <xdr:pic>
      <xdr:nvPicPr>
        <xdr:cNvPr id="10776" name="Picture 9" descr="ImagingService">
          <a:extLst>
            <a:ext uri="{FF2B5EF4-FFF2-40B4-BE49-F238E27FC236}">
              <a16:creationId xmlns:a16="http://schemas.microsoft.com/office/drawing/2014/main" id="{95117F06-01A0-05DC-40FC-A98398B7D21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b="53334"/>
        <a:stretch>
          <a:fillRect/>
        </a:stretch>
      </xdr:blipFill>
      <xdr:spPr bwMode="auto">
        <a:xfrm>
          <a:off x="685800" y="1394460"/>
          <a:ext cx="4899660" cy="1432560"/>
        </a:xfrm>
        <a:prstGeom prst="rect">
          <a:avLst/>
        </a:prstGeom>
        <a:solidFill>
          <a:srgbClr val="CD005E"/>
        </a:solidFill>
        <a:ln w="28575">
          <a:solidFill>
            <a:srgbClr val="CD005E"/>
          </a:solidFill>
          <a:prstDash val="sysDot"/>
          <a:miter lim="800000"/>
          <a:headEnd/>
          <a:tailEnd/>
        </a:ln>
      </xdr:spPr>
    </xdr:pic>
    <xdr:clientData/>
  </xdr:twoCellAnchor>
  <xdr:twoCellAnchor editAs="oneCell">
    <xdr:from>
      <xdr:col>1</xdr:col>
      <xdr:colOff>0</xdr:colOff>
      <xdr:row>2</xdr:row>
      <xdr:rowOff>45720</xdr:rowOff>
    </xdr:from>
    <xdr:to>
      <xdr:col>6</xdr:col>
      <xdr:colOff>365760</xdr:colOff>
      <xdr:row>3</xdr:row>
      <xdr:rowOff>234315</xdr:rowOff>
    </xdr:to>
    <xdr:pic>
      <xdr:nvPicPr>
        <xdr:cNvPr id="10777" name="Picture 10" descr="ImagingService">
          <a:extLst>
            <a:ext uri="{FF2B5EF4-FFF2-40B4-BE49-F238E27FC236}">
              <a16:creationId xmlns:a16="http://schemas.microsoft.com/office/drawing/2014/main" id="{533A05E9-74AD-85A0-34BF-882EBC8F0D9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5334" r="22765" b="66667"/>
        <a:stretch>
          <a:fillRect/>
        </a:stretch>
      </xdr:blipFill>
      <xdr:spPr bwMode="auto">
        <a:xfrm>
          <a:off x="320040" y="434340"/>
          <a:ext cx="382524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1287780</xdr:colOff>
      <xdr:row>0</xdr:row>
      <xdr:rowOff>327660</xdr:rowOff>
    </xdr:from>
    <xdr:to>
      <xdr:col>8</xdr:col>
      <xdr:colOff>758190</xdr:colOff>
      <xdr:row>3</xdr:row>
      <xdr:rowOff>0</xdr:rowOff>
    </xdr:to>
    <xdr:pic>
      <xdr:nvPicPr>
        <xdr:cNvPr id="10778" name="Picture 11" descr="ImagingService">
          <a:extLst>
            <a:ext uri="{FF2B5EF4-FFF2-40B4-BE49-F238E27FC236}">
              <a16:creationId xmlns:a16="http://schemas.microsoft.com/office/drawing/2014/main" id="{34FB650C-5B1E-CC60-10A9-CEEAA9DDA59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14333" r="84959" b="68001"/>
        <a:stretch>
          <a:fillRect/>
        </a:stretch>
      </xdr:blipFill>
      <xdr:spPr bwMode="auto">
        <a:xfrm>
          <a:off x="53492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1082040</xdr:colOff>
      <xdr:row>39</xdr:row>
      <xdr:rowOff>7620</xdr:rowOff>
    </xdr:from>
    <xdr:to>
      <xdr:col>9</xdr:col>
      <xdr:colOff>3810</xdr:colOff>
      <xdr:row>43</xdr:row>
      <xdr:rowOff>0</xdr:rowOff>
    </xdr:to>
    <xdr:pic>
      <xdr:nvPicPr>
        <xdr:cNvPr id="10779" name="1 Imagen">
          <a:extLst>
            <a:ext uri="{FF2B5EF4-FFF2-40B4-BE49-F238E27FC236}">
              <a16:creationId xmlns:a16="http://schemas.microsoft.com/office/drawing/2014/main" id="{9E174926-DC1C-493D-B1DB-AC5C9E914E4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564380" y="9364980"/>
          <a:ext cx="15697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44</xdr:row>
      <xdr:rowOff>0</xdr:rowOff>
    </xdr:from>
    <xdr:to>
      <xdr:col>3</xdr:col>
      <xdr:colOff>0</xdr:colOff>
      <xdr:row>44</xdr:row>
      <xdr:rowOff>0</xdr:rowOff>
    </xdr:to>
    <xdr:pic>
      <xdr:nvPicPr>
        <xdr:cNvPr id="33843" name="Picture 7" descr="Sintesis">
          <a:extLst>
            <a:ext uri="{FF2B5EF4-FFF2-40B4-BE49-F238E27FC236}">
              <a16:creationId xmlns:a16="http://schemas.microsoft.com/office/drawing/2014/main" id="{86E765D6-D237-A43D-9762-750DEDF8D4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0040" y="8229600"/>
          <a:ext cx="18897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693420</xdr:colOff>
      <xdr:row>0</xdr:row>
      <xdr:rowOff>0</xdr:rowOff>
    </xdr:from>
    <xdr:to>
      <xdr:col>7</xdr:col>
      <xdr:colOff>0</xdr:colOff>
      <xdr:row>2</xdr:row>
      <xdr:rowOff>83820</xdr:rowOff>
    </xdr:to>
    <xdr:pic>
      <xdr:nvPicPr>
        <xdr:cNvPr id="33844" name="Picture 13" descr="ImagingService">
          <a:extLst>
            <a:ext uri="{FF2B5EF4-FFF2-40B4-BE49-F238E27FC236}">
              <a16:creationId xmlns:a16="http://schemas.microsoft.com/office/drawing/2014/main" id="{7576744E-1C6A-D661-E535-EF0FC00A83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8034" b="65599"/>
        <a:stretch>
          <a:fillRect/>
        </a:stretch>
      </xdr:blipFill>
      <xdr:spPr bwMode="auto">
        <a:xfrm>
          <a:off x="1333500" y="0"/>
          <a:ext cx="487680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693420</xdr:colOff>
      <xdr:row>2</xdr:row>
      <xdr:rowOff>45720</xdr:rowOff>
    </xdr:to>
    <xdr:pic>
      <xdr:nvPicPr>
        <xdr:cNvPr id="33845" name="Picture 14">
          <a:extLst>
            <a:ext uri="{FF2B5EF4-FFF2-40B4-BE49-F238E27FC236}">
              <a16:creationId xmlns:a16="http://schemas.microsoft.com/office/drawing/2014/main" id="{3E83A86D-5A8C-9811-AD20-55DF5307AE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320040" y="0"/>
          <a:ext cx="101346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0</xdr:row>
      <xdr:rowOff>0</xdr:rowOff>
    </xdr:from>
    <xdr:to>
      <xdr:col>15</xdr:col>
      <xdr:colOff>0</xdr:colOff>
      <xdr:row>2</xdr:row>
      <xdr:rowOff>68580</xdr:rowOff>
    </xdr:to>
    <xdr:grpSp>
      <xdr:nvGrpSpPr>
        <xdr:cNvPr id="33846" name="Group 16">
          <a:extLst>
            <a:ext uri="{FF2B5EF4-FFF2-40B4-BE49-F238E27FC236}">
              <a16:creationId xmlns:a16="http://schemas.microsoft.com/office/drawing/2014/main" id="{EF89FE15-3842-EF3B-1846-6CF6905248FF}"/>
            </a:ext>
          </a:extLst>
        </xdr:cNvPr>
        <xdr:cNvGrpSpPr>
          <a:grpSpLocks/>
        </xdr:cNvGrpSpPr>
      </xdr:nvGrpSpPr>
      <xdr:grpSpPr bwMode="auto">
        <a:xfrm>
          <a:off x="6353175" y="0"/>
          <a:ext cx="5762625" cy="459105"/>
          <a:chOff x="2538" y="0"/>
          <a:chExt cx="592" cy="44"/>
        </a:xfrm>
      </xdr:grpSpPr>
      <xdr:pic>
        <xdr:nvPicPr>
          <xdr:cNvPr id="33857" name="Picture 17" descr="ImagingService">
            <a:extLst>
              <a:ext uri="{FF2B5EF4-FFF2-40B4-BE49-F238E27FC236}">
                <a16:creationId xmlns:a16="http://schemas.microsoft.com/office/drawing/2014/main" id="{2CBEC4AF-18CB-D0D1-4343-87E3D11703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858" name="Picture 18">
            <a:extLst>
              <a:ext uri="{FF2B5EF4-FFF2-40B4-BE49-F238E27FC236}">
                <a16:creationId xmlns:a16="http://schemas.microsoft.com/office/drawing/2014/main" id="{9CECDA73-E5CF-CA5B-0FE0-230C13F9DC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830580</xdr:colOff>
      <xdr:row>4</xdr:row>
      <xdr:rowOff>525780</xdr:rowOff>
    </xdr:from>
    <xdr:to>
      <xdr:col>6</xdr:col>
      <xdr:colOff>0</xdr:colOff>
      <xdr:row>6</xdr:row>
      <xdr:rowOff>502920</xdr:rowOff>
    </xdr:to>
    <xdr:pic>
      <xdr:nvPicPr>
        <xdr:cNvPr id="33847" name="Picture 20" descr="ImagingService">
          <a:extLst>
            <a:ext uri="{FF2B5EF4-FFF2-40B4-BE49-F238E27FC236}">
              <a16:creationId xmlns:a16="http://schemas.microsoft.com/office/drawing/2014/main" id="{0DC038D0-3D94-220B-C1F9-5FAB419818A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b="52000"/>
        <a:stretch>
          <a:fillRect/>
        </a:stretch>
      </xdr:blipFill>
      <xdr:spPr bwMode="auto">
        <a:xfrm>
          <a:off x="1470660" y="1318260"/>
          <a:ext cx="3307080" cy="678180"/>
        </a:xfrm>
        <a:prstGeom prst="rect">
          <a:avLst/>
        </a:prstGeom>
        <a:solidFill>
          <a:srgbClr val="CD005E"/>
        </a:solidFill>
        <a:ln w="28575" algn="ctr">
          <a:solidFill>
            <a:srgbClr val="CD005E"/>
          </a:solidFill>
          <a:prstDash val="sysDot"/>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10</xdr:col>
      <xdr:colOff>548640</xdr:colOff>
      <xdr:row>4</xdr:row>
      <xdr:rowOff>525780</xdr:rowOff>
    </xdr:from>
    <xdr:to>
      <xdr:col>13</xdr:col>
      <xdr:colOff>891540</xdr:colOff>
      <xdr:row>6</xdr:row>
      <xdr:rowOff>502920</xdr:rowOff>
    </xdr:to>
    <xdr:pic>
      <xdr:nvPicPr>
        <xdr:cNvPr id="33848" name="Picture 21" descr="ImagingService">
          <a:extLst>
            <a:ext uri="{FF2B5EF4-FFF2-40B4-BE49-F238E27FC236}">
              <a16:creationId xmlns:a16="http://schemas.microsoft.com/office/drawing/2014/main" id="{9109E242-EDCF-E4E5-C790-5E569B3CD7F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b="51334"/>
        <a:stretch>
          <a:fillRect/>
        </a:stretch>
      </xdr:blipFill>
      <xdr:spPr bwMode="auto">
        <a:xfrm>
          <a:off x="7719060" y="1318260"/>
          <a:ext cx="3512820" cy="678180"/>
        </a:xfrm>
        <a:prstGeom prst="rect">
          <a:avLst/>
        </a:prstGeom>
        <a:solidFill>
          <a:srgbClr val="CD005E"/>
        </a:solidFill>
        <a:ln w="28575" algn="ctr">
          <a:solidFill>
            <a:srgbClr val="CD005E"/>
          </a:solidFill>
          <a:prstDash val="sysDot"/>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7620</xdr:colOff>
      <xdr:row>6</xdr:row>
      <xdr:rowOff>990600</xdr:rowOff>
    </xdr:from>
    <xdr:to>
      <xdr:col>3</xdr:col>
      <xdr:colOff>213360</xdr:colOff>
      <xdr:row>7</xdr:row>
      <xdr:rowOff>0</xdr:rowOff>
    </xdr:to>
    <xdr:pic>
      <xdr:nvPicPr>
        <xdr:cNvPr id="33849" name="Picture 22" descr="ImagingService">
          <a:extLst>
            <a:ext uri="{FF2B5EF4-FFF2-40B4-BE49-F238E27FC236}">
              <a16:creationId xmlns:a16="http://schemas.microsoft.com/office/drawing/2014/main" id="{56A1846F-55B3-3FD0-B2E2-5C8926BC8D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t="16000" r="38618" b="68001"/>
        <a:stretch>
          <a:fillRect/>
        </a:stretch>
      </xdr:blipFill>
      <xdr:spPr bwMode="auto">
        <a:xfrm>
          <a:off x="327660" y="2141220"/>
          <a:ext cx="2095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7620</xdr:colOff>
      <xdr:row>6</xdr:row>
      <xdr:rowOff>952500</xdr:rowOff>
    </xdr:from>
    <xdr:to>
      <xdr:col>11</xdr:col>
      <xdr:colOff>114300</xdr:colOff>
      <xdr:row>7</xdr:row>
      <xdr:rowOff>0</xdr:rowOff>
    </xdr:to>
    <xdr:pic>
      <xdr:nvPicPr>
        <xdr:cNvPr id="33850" name="Picture 23" descr="ImagingService">
          <a:extLst>
            <a:ext uri="{FF2B5EF4-FFF2-40B4-BE49-F238E27FC236}">
              <a16:creationId xmlns:a16="http://schemas.microsoft.com/office/drawing/2014/main" id="{73230D19-AA1F-544F-0364-8149162F1EE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t="14333" r="28998" b="68001"/>
        <a:stretch>
          <a:fillRect/>
        </a:stretch>
      </xdr:blipFill>
      <xdr:spPr bwMode="auto">
        <a:xfrm>
          <a:off x="6537960" y="2141220"/>
          <a:ext cx="231648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xdr:row>
      <xdr:rowOff>45720</xdr:rowOff>
    </xdr:from>
    <xdr:to>
      <xdr:col>5</xdr:col>
      <xdr:colOff>342900</xdr:colOff>
      <xdr:row>4</xdr:row>
      <xdr:rowOff>3810</xdr:rowOff>
    </xdr:to>
    <xdr:pic>
      <xdr:nvPicPr>
        <xdr:cNvPr id="33851" name="Picture 26" descr="ImagingService">
          <a:extLst>
            <a:ext uri="{FF2B5EF4-FFF2-40B4-BE49-F238E27FC236}">
              <a16:creationId xmlns:a16="http://schemas.microsoft.com/office/drawing/2014/main" id="{A82F6A9E-F7BD-BD67-E0AA-CF4BE414F3A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t="15334" r="22765" b="66667"/>
        <a:stretch>
          <a:fillRect/>
        </a:stretch>
      </xdr:blipFill>
      <xdr:spPr bwMode="auto">
        <a:xfrm>
          <a:off x="320040" y="434340"/>
          <a:ext cx="380238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868680</xdr:colOff>
      <xdr:row>0</xdr:row>
      <xdr:rowOff>289560</xdr:rowOff>
    </xdr:from>
    <xdr:to>
      <xdr:col>7</xdr:col>
      <xdr:colOff>0</xdr:colOff>
      <xdr:row>3</xdr:row>
      <xdr:rowOff>0</xdr:rowOff>
    </xdr:to>
    <xdr:pic>
      <xdr:nvPicPr>
        <xdr:cNvPr id="33852" name="Picture 27" descr="ImagingService">
          <a:extLst>
            <a:ext uri="{FF2B5EF4-FFF2-40B4-BE49-F238E27FC236}">
              <a16:creationId xmlns:a16="http://schemas.microsoft.com/office/drawing/2014/main" id="{82EEA5E0-8DB7-EBEC-ED6B-A0F23511B6B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t="14000" r="84688" b="67334"/>
        <a:stretch>
          <a:fillRect/>
        </a:stretch>
      </xdr:blipFill>
      <xdr:spPr bwMode="auto">
        <a:xfrm>
          <a:off x="5646420" y="228600"/>
          <a:ext cx="5638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2</xdr:row>
      <xdr:rowOff>45720</xdr:rowOff>
    </xdr:from>
    <xdr:to>
      <xdr:col>13</xdr:col>
      <xdr:colOff>3810</xdr:colOff>
      <xdr:row>4</xdr:row>
      <xdr:rowOff>3810</xdr:rowOff>
    </xdr:to>
    <xdr:pic>
      <xdr:nvPicPr>
        <xdr:cNvPr id="33853" name="Picture 28" descr="ImagingService">
          <a:extLst>
            <a:ext uri="{FF2B5EF4-FFF2-40B4-BE49-F238E27FC236}">
              <a16:creationId xmlns:a16="http://schemas.microsoft.com/office/drawing/2014/main" id="{AED67EF8-93A6-ED2F-CC12-81D4F49EAC9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t="15334" r="22765" b="66667"/>
        <a:stretch>
          <a:fillRect/>
        </a:stretch>
      </xdr:blipFill>
      <xdr:spPr bwMode="auto">
        <a:xfrm>
          <a:off x="6530340" y="434340"/>
          <a:ext cx="37795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327660</xdr:colOff>
      <xdr:row>0</xdr:row>
      <xdr:rowOff>259080</xdr:rowOff>
    </xdr:from>
    <xdr:to>
      <xdr:col>14</xdr:col>
      <xdr:colOff>1188720</xdr:colOff>
      <xdr:row>3</xdr:row>
      <xdr:rowOff>1905</xdr:rowOff>
    </xdr:to>
    <xdr:pic>
      <xdr:nvPicPr>
        <xdr:cNvPr id="33854" name="Picture 29" descr="ImagingService">
          <a:extLst>
            <a:ext uri="{FF2B5EF4-FFF2-40B4-BE49-F238E27FC236}">
              <a16:creationId xmlns:a16="http://schemas.microsoft.com/office/drawing/2014/main" id="{AE8CAFBC-ED86-FCAC-69DE-AC446FFCE7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26016" t="14333" r="58672" b="67667"/>
        <a:stretch>
          <a:fillRect/>
        </a:stretch>
      </xdr:blipFill>
      <xdr:spPr bwMode="auto">
        <a:xfrm>
          <a:off x="11559540" y="228600"/>
          <a:ext cx="8991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1257300</xdr:colOff>
      <xdr:row>50</xdr:row>
      <xdr:rowOff>30480</xdr:rowOff>
    </xdr:from>
    <xdr:to>
      <xdr:col>6</xdr:col>
      <xdr:colOff>1386840</xdr:colOff>
      <xdr:row>54</xdr:row>
      <xdr:rowOff>30480</xdr:rowOff>
    </xdr:to>
    <xdr:pic>
      <xdr:nvPicPr>
        <xdr:cNvPr id="33855" name="1 Imagen">
          <a:extLst>
            <a:ext uri="{FF2B5EF4-FFF2-40B4-BE49-F238E27FC236}">
              <a16:creationId xmlns:a16="http://schemas.microsoft.com/office/drawing/2014/main" id="{4AA10378-6603-E2E2-6D69-DB69E072E1F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777740" y="9265920"/>
          <a:ext cx="143256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594360</xdr:colOff>
      <xdr:row>50</xdr:row>
      <xdr:rowOff>7620</xdr:rowOff>
    </xdr:from>
    <xdr:to>
      <xdr:col>15</xdr:col>
      <xdr:colOff>1905</xdr:colOff>
      <xdr:row>54</xdr:row>
      <xdr:rowOff>7620</xdr:rowOff>
    </xdr:to>
    <xdr:pic>
      <xdr:nvPicPr>
        <xdr:cNvPr id="33856" name="1 Imagen">
          <a:extLst>
            <a:ext uri="{FF2B5EF4-FFF2-40B4-BE49-F238E27FC236}">
              <a16:creationId xmlns:a16="http://schemas.microsoft.com/office/drawing/2014/main" id="{4404C235-90D5-5574-A11F-00D27C8CADB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904220" y="9243060"/>
          <a:ext cx="155448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701040</xdr:colOff>
      <xdr:row>0</xdr:row>
      <xdr:rowOff>0</xdr:rowOff>
    </xdr:from>
    <xdr:to>
      <xdr:col>9</xdr:col>
      <xdr:colOff>0</xdr:colOff>
      <xdr:row>2</xdr:row>
      <xdr:rowOff>83820</xdr:rowOff>
    </xdr:to>
    <xdr:pic>
      <xdr:nvPicPr>
        <xdr:cNvPr id="11734" name="Picture 5" descr="ImagingService">
          <a:extLst>
            <a:ext uri="{FF2B5EF4-FFF2-40B4-BE49-F238E27FC236}">
              <a16:creationId xmlns:a16="http://schemas.microsoft.com/office/drawing/2014/main" id="{7ABEC65D-4C47-6846-B2DB-95A2E8660A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8034" b="65599"/>
        <a:stretch>
          <a:fillRect/>
        </a:stretch>
      </xdr:blipFill>
      <xdr:spPr bwMode="auto">
        <a:xfrm>
          <a:off x="1341120" y="0"/>
          <a:ext cx="484632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701040</xdr:colOff>
      <xdr:row>2</xdr:row>
      <xdr:rowOff>45720</xdr:rowOff>
    </xdr:to>
    <xdr:pic>
      <xdr:nvPicPr>
        <xdr:cNvPr id="11735" name="Picture 6">
          <a:extLst>
            <a:ext uri="{FF2B5EF4-FFF2-40B4-BE49-F238E27FC236}">
              <a16:creationId xmlns:a16="http://schemas.microsoft.com/office/drawing/2014/main" id="{1ED994F9-3651-96F5-7559-29EB7C807C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320040" y="0"/>
          <a:ext cx="102108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6</xdr:row>
      <xdr:rowOff>137160</xdr:rowOff>
    </xdr:from>
    <xdr:to>
      <xdr:col>4</xdr:col>
      <xdr:colOff>758190</xdr:colOff>
      <xdr:row>8</xdr:row>
      <xdr:rowOff>3810</xdr:rowOff>
    </xdr:to>
    <xdr:pic>
      <xdr:nvPicPr>
        <xdr:cNvPr id="11736" name="Picture 9" descr="ImagingService">
          <a:extLst>
            <a:ext uri="{FF2B5EF4-FFF2-40B4-BE49-F238E27FC236}">
              <a16:creationId xmlns:a16="http://schemas.microsoft.com/office/drawing/2014/main" id="{3B8A7DD7-9C71-1A1F-3BDD-9081A36C7B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15334" r="21274" b="68666"/>
        <a:stretch>
          <a:fillRect/>
        </a:stretch>
      </xdr:blipFill>
      <xdr:spPr bwMode="auto">
        <a:xfrm>
          <a:off x="320040" y="2270760"/>
          <a:ext cx="269748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1424940</xdr:colOff>
      <xdr:row>4</xdr:row>
      <xdr:rowOff>304800</xdr:rowOff>
    </xdr:from>
    <xdr:to>
      <xdr:col>7</xdr:col>
      <xdr:colOff>760095</xdr:colOff>
      <xdr:row>5</xdr:row>
      <xdr:rowOff>769620</xdr:rowOff>
    </xdr:to>
    <xdr:pic>
      <xdr:nvPicPr>
        <xdr:cNvPr id="11737" name="Picture 10" descr="ImagingService">
          <a:extLst>
            <a:ext uri="{FF2B5EF4-FFF2-40B4-BE49-F238E27FC236}">
              <a16:creationId xmlns:a16="http://schemas.microsoft.com/office/drawing/2014/main" id="{145FF466-6266-0D9A-71AC-286DB126CC0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b="52000"/>
        <a:stretch>
          <a:fillRect/>
        </a:stretch>
      </xdr:blipFill>
      <xdr:spPr bwMode="auto">
        <a:xfrm>
          <a:off x="1432560" y="1097280"/>
          <a:ext cx="3962400" cy="998220"/>
        </a:xfrm>
        <a:prstGeom prst="rect">
          <a:avLst/>
        </a:prstGeom>
        <a:solidFill>
          <a:srgbClr val="CD005E"/>
        </a:solidFill>
        <a:ln w="28575" algn="ctr">
          <a:solidFill>
            <a:srgbClr val="CD005E"/>
          </a:solidFill>
          <a:prstDash val="sysDot"/>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2</xdr:row>
      <xdr:rowOff>7620</xdr:rowOff>
    </xdr:from>
    <xdr:to>
      <xdr:col>6</xdr:col>
      <xdr:colOff>388620</xdr:colOff>
      <xdr:row>4</xdr:row>
      <xdr:rowOff>1905</xdr:rowOff>
    </xdr:to>
    <xdr:pic>
      <xdr:nvPicPr>
        <xdr:cNvPr id="11738" name="Picture 11" descr="ImagingService">
          <a:extLst>
            <a:ext uri="{FF2B5EF4-FFF2-40B4-BE49-F238E27FC236}">
              <a16:creationId xmlns:a16="http://schemas.microsoft.com/office/drawing/2014/main" id="{7D12CA73-0E3E-F2DA-3950-F34F129DA44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5334" r="22765" b="66667"/>
        <a:stretch>
          <a:fillRect/>
        </a:stretch>
      </xdr:blipFill>
      <xdr:spPr bwMode="auto">
        <a:xfrm>
          <a:off x="320040" y="396240"/>
          <a:ext cx="38785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1165860</xdr:colOff>
      <xdr:row>0</xdr:row>
      <xdr:rowOff>327660</xdr:rowOff>
    </xdr:from>
    <xdr:to>
      <xdr:col>8</xdr:col>
      <xdr:colOff>758190</xdr:colOff>
      <xdr:row>2</xdr:row>
      <xdr:rowOff>236220</xdr:rowOff>
    </xdr:to>
    <xdr:pic>
      <xdr:nvPicPr>
        <xdr:cNvPr id="11739" name="Picture 12" descr="ImagingService">
          <a:extLst>
            <a:ext uri="{FF2B5EF4-FFF2-40B4-BE49-F238E27FC236}">
              <a16:creationId xmlns:a16="http://schemas.microsoft.com/office/drawing/2014/main" id="{9D1CD597-5842-E5DA-D588-18CB2BCAA35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51761" t="14000" r="32791" b="67332"/>
        <a:stretch>
          <a:fillRect/>
        </a:stretch>
      </xdr:blipFill>
      <xdr:spPr bwMode="auto">
        <a:xfrm>
          <a:off x="539496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784860</xdr:colOff>
      <xdr:row>46</xdr:row>
      <xdr:rowOff>7620</xdr:rowOff>
    </xdr:from>
    <xdr:to>
      <xdr:col>9</xdr:col>
      <xdr:colOff>1905</xdr:colOff>
      <xdr:row>50</xdr:row>
      <xdr:rowOff>0</xdr:rowOff>
    </xdr:to>
    <xdr:pic>
      <xdr:nvPicPr>
        <xdr:cNvPr id="11740" name="1 Imagen">
          <a:extLst>
            <a:ext uri="{FF2B5EF4-FFF2-40B4-BE49-F238E27FC236}">
              <a16:creationId xmlns:a16="http://schemas.microsoft.com/office/drawing/2014/main" id="{91AE8327-F9FF-448B-A3E7-88AE2A47F11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594860" y="9121140"/>
          <a:ext cx="159258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670560</xdr:colOff>
      <xdr:row>0</xdr:row>
      <xdr:rowOff>0</xdr:rowOff>
    </xdr:from>
    <xdr:to>
      <xdr:col>9</xdr:col>
      <xdr:colOff>0</xdr:colOff>
      <xdr:row>2</xdr:row>
      <xdr:rowOff>83820</xdr:rowOff>
    </xdr:to>
    <xdr:pic>
      <xdr:nvPicPr>
        <xdr:cNvPr id="3541" name="Picture 3" descr="ImagingService">
          <a:extLst>
            <a:ext uri="{FF2B5EF4-FFF2-40B4-BE49-F238E27FC236}">
              <a16:creationId xmlns:a16="http://schemas.microsoft.com/office/drawing/2014/main" id="{04831FFF-CC41-58E3-6635-44C6E091C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6333" r="18034" b="65599"/>
        <a:stretch>
          <a:fillRect/>
        </a:stretch>
      </xdr:blipFill>
      <xdr:spPr bwMode="auto">
        <a:xfrm>
          <a:off x="1310640" y="0"/>
          <a:ext cx="4823460" cy="472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2</xdr:col>
      <xdr:colOff>685800</xdr:colOff>
      <xdr:row>2</xdr:row>
      <xdr:rowOff>45720</xdr:rowOff>
    </xdr:to>
    <xdr:pic>
      <xdr:nvPicPr>
        <xdr:cNvPr id="3542" name="Picture 4">
          <a:extLst>
            <a:ext uri="{FF2B5EF4-FFF2-40B4-BE49-F238E27FC236}">
              <a16:creationId xmlns:a16="http://schemas.microsoft.com/office/drawing/2014/main" id="{14083877-83B5-5652-8475-9B4137FF76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676" t="52605" r="45215" b="36588"/>
        <a:stretch>
          <a:fillRect/>
        </a:stretch>
      </xdr:blipFill>
      <xdr:spPr bwMode="auto">
        <a:xfrm>
          <a:off x="320040" y="0"/>
          <a:ext cx="1005840" cy="43434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594360</xdr:colOff>
      <xdr:row>4</xdr:row>
      <xdr:rowOff>304800</xdr:rowOff>
    </xdr:from>
    <xdr:to>
      <xdr:col>8</xdr:col>
      <xdr:colOff>594360</xdr:colOff>
      <xdr:row>6</xdr:row>
      <xdr:rowOff>0</xdr:rowOff>
    </xdr:to>
    <xdr:pic>
      <xdr:nvPicPr>
        <xdr:cNvPr id="3543" name="Picture 6" descr="ImagingService">
          <a:extLst>
            <a:ext uri="{FF2B5EF4-FFF2-40B4-BE49-F238E27FC236}">
              <a16:creationId xmlns:a16="http://schemas.microsoft.com/office/drawing/2014/main" id="{D473DB1A-083A-92FF-DC64-A46516447A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70334"/>
        <a:stretch>
          <a:fillRect/>
        </a:stretch>
      </xdr:blipFill>
      <xdr:spPr bwMode="auto">
        <a:xfrm>
          <a:off x="640080" y="1082040"/>
          <a:ext cx="5303520" cy="548640"/>
        </a:xfrm>
        <a:prstGeom prst="rect">
          <a:avLst/>
        </a:prstGeom>
        <a:solidFill>
          <a:srgbClr val="CD005E"/>
        </a:solidFill>
        <a:ln w="28575" algn="ctr">
          <a:solidFill>
            <a:srgbClr val="CD005E"/>
          </a:solidFill>
          <a:prstDash val="sysDot"/>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0</xdr:colOff>
      <xdr:row>6</xdr:row>
      <xdr:rowOff>601980</xdr:rowOff>
    </xdr:from>
    <xdr:to>
      <xdr:col>4</xdr:col>
      <xdr:colOff>0</xdr:colOff>
      <xdr:row>7</xdr:row>
      <xdr:rowOff>3810</xdr:rowOff>
    </xdr:to>
    <xdr:pic>
      <xdr:nvPicPr>
        <xdr:cNvPr id="3544" name="Picture 7" descr="ImagingService">
          <a:extLst>
            <a:ext uri="{FF2B5EF4-FFF2-40B4-BE49-F238E27FC236}">
              <a16:creationId xmlns:a16="http://schemas.microsoft.com/office/drawing/2014/main" id="{A9B22549-4088-D46E-7582-D08DD0A2D8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4999" r="50000" b="67334"/>
        <a:stretch>
          <a:fillRect/>
        </a:stretch>
      </xdr:blipFill>
      <xdr:spPr bwMode="auto">
        <a:xfrm>
          <a:off x="320040" y="2110740"/>
          <a:ext cx="18897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xdr:row>
      <xdr:rowOff>30480</xdr:rowOff>
    </xdr:from>
    <xdr:to>
      <xdr:col>6</xdr:col>
      <xdr:colOff>358140</xdr:colOff>
      <xdr:row>4</xdr:row>
      <xdr:rowOff>0</xdr:rowOff>
    </xdr:to>
    <xdr:pic>
      <xdr:nvPicPr>
        <xdr:cNvPr id="3545" name="Picture 10" descr="ImagingService">
          <a:extLst>
            <a:ext uri="{FF2B5EF4-FFF2-40B4-BE49-F238E27FC236}">
              <a16:creationId xmlns:a16="http://schemas.microsoft.com/office/drawing/2014/main" id="{984F13E9-2A04-1DAF-3D4F-02D79193BE3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t="15334" r="22765" b="66667"/>
        <a:stretch>
          <a:fillRect/>
        </a:stretch>
      </xdr:blipFill>
      <xdr:spPr bwMode="auto">
        <a:xfrm>
          <a:off x="320040" y="419100"/>
          <a:ext cx="381762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1356360</xdr:colOff>
      <xdr:row>0</xdr:row>
      <xdr:rowOff>274320</xdr:rowOff>
    </xdr:from>
    <xdr:to>
      <xdr:col>9</xdr:col>
      <xdr:colOff>0</xdr:colOff>
      <xdr:row>3</xdr:row>
      <xdr:rowOff>0</xdr:rowOff>
    </xdr:to>
    <xdr:pic>
      <xdr:nvPicPr>
        <xdr:cNvPr id="3546" name="Picture 11" descr="ImagingService">
          <a:extLst>
            <a:ext uri="{FF2B5EF4-FFF2-40B4-BE49-F238E27FC236}">
              <a16:creationId xmlns:a16="http://schemas.microsoft.com/office/drawing/2014/main" id="{BD95E23A-BE8C-341B-5DEE-3A0DD7FD00C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73442" t="13333" r="11789" b="68668"/>
        <a:stretch>
          <a:fillRect/>
        </a:stretch>
      </xdr:blipFill>
      <xdr:spPr bwMode="auto">
        <a:xfrm>
          <a:off x="5349240" y="220980"/>
          <a:ext cx="7848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960120</xdr:colOff>
      <xdr:row>51</xdr:row>
      <xdr:rowOff>7620</xdr:rowOff>
    </xdr:from>
    <xdr:to>
      <xdr:col>9</xdr:col>
      <xdr:colOff>0</xdr:colOff>
      <xdr:row>55</xdr:row>
      <xdr:rowOff>0</xdr:rowOff>
    </xdr:to>
    <xdr:pic>
      <xdr:nvPicPr>
        <xdr:cNvPr id="3547" name="1 Imagen">
          <a:extLst>
            <a:ext uri="{FF2B5EF4-FFF2-40B4-BE49-F238E27FC236}">
              <a16:creationId xmlns:a16="http://schemas.microsoft.com/office/drawing/2014/main" id="{8153CD2E-C733-1160-0C21-B131123877C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564380" y="9174480"/>
          <a:ext cx="15697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4</xdr:row>
      <xdr:rowOff>220980</xdr:rowOff>
    </xdr:from>
    <xdr:to>
      <xdr:col>5</xdr:col>
      <xdr:colOff>3810</xdr:colOff>
      <xdr:row>6</xdr:row>
      <xdr:rowOff>0</xdr:rowOff>
    </xdr:to>
    <xdr:pic>
      <xdr:nvPicPr>
        <xdr:cNvPr id="32003" name="Picture 20" descr="ImagingService">
          <a:extLst>
            <a:ext uri="{FF2B5EF4-FFF2-40B4-BE49-F238E27FC236}">
              <a16:creationId xmlns:a16="http://schemas.microsoft.com/office/drawing/2014/main" id="{9A691DB1-6A86-4E3D-828C-30E72566F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9945" b="83000"/>
        <a:stretch>
          <a:fillRect/>
        </a:stretch>
      </xdr:blipFill>
      <xdr:spPr bwMode="auto">
        <a:xfrm>
          <a:off x="320040" y="1005840"/>
          <a:ext cx="267462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167640</xdr:colOff>
      <xdr:row>5</xdr:row>
      <xdr:rowOff>0</xdr:rowOff>
    </xdr:from>
    <xdr:to>
      <xdr:col>14</xdr:col>
      <xdr:colOff>1905</xdr:colOff>
      <xdr:row>6</xdr:row>
      <xdr:rowOff>160020</xdr:rowOff>
    </xdr:to>
    <xdr:pic>
      <xdr:nvPicPr>
        <xdr:cNvPr id="32004" name="Picture 25" descr="ImagingService">
          <a:extLst>
            <a:ext uri="{FF2B5EF4-FFF2-40B4-BE49-F238E27FC236}">
              <a16:creationId xmlns:a16="http://schemas.microsoft.com/office/drawing/2014/main" id="{7FEFA3EB-D890-221C-B719-C530604E5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9945" b="83000"/>
        <a:stretch>
          <a:fillRect/>
        </a:stretch>
      </xdr:blipFill>
      <xdr:spPr bwMode="auto">
        <a:xfrm>
          <a:off x="6621780" y="1005840"/>
          <a:ext cx="250698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167640</xdr:colOff>
      <xdr:row>4</xdr:row>
      <xdr:rowOff>259080</xdr:rowOff>
    </xdr:from>
    <xdr:to>
      <xdr:col>23</xdr:col>
      <xdr:colOff>1905</xdr:colOff>
      <xdr:row>6</xdr:row>
      <xdr:rowOff>38100</xdr:rowOff>
    </xdr:to>
    <xdr:pic>
      <xdr:nvPicPr>
        <xdr:cNvPr id="32005" name="Picture 30" descr="ImagingService">
          <a:extLst>
            <a:ext uri="{FF2B5EF4-FFF2-40B4-BE49-F238E27FC236}">
              <a16:creationId xmlns:a16="http://schemas.microsoft.com/office/drawing/2014/main" id="{FF8AA8A8-EDD7-552A-9A65-F82F0703DA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9945" b="83000"/>
        <a:stretch>
          <a:fillRect/>
        </a:stretch>
      </xdr:blipFill>
      <xdr:spPr bwMode="auto">
        <a:xfrm>
          <a:off x="12755880" y="1005840"/>
          <a:ext cx="250698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167640</xdr:colOff>
      <xdr:row>4</xdr:row>
      <xdr:rowOff>259080</xdr:rowOff>
    </xdr:from>
    <xdr:to>
      <xdr:col>32</xdr:col>
      <xdr:colOff>1905</xdr:colOff>
      <xdr:row>6</xdr:row>
      <xdr:rowOff>38100</xdr:rowOff>
    </xdr:to>
    <xdr:pic>
      <xdr:nvPicPr>
        <xdr:cNvPr id="32006" name="Picture 35" descr="ImagingService">
          <a:extLst>
            <a:ext uri="{FF2B5EF4-FFF2-40B4-BE49-F238E27FC236}">
              <a16:creationId xmlns:a16="http://schemas.microsoft.com/office/drawing/2014/main" id="{156A65A2-F903-F63A-5E29-9CE279A10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9945" b="83000"/>
        <a:stretch>
          <a:fillRect/>
        </a:stretch>
      </xdr:blipFill>
      <xdr:spPr bwMode="auto">
        <a:xfrm>
          <a:off x="18889980" y="1005840"/>
          <a:ext cx="250698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251460</xdr:colOff>
      <xdr:row>4</xdr:row>
      <xdr:rowOff>289560</xdr:rowOff>
    </xdr:from>
    <xdr:to>
      <xdr:col>41</xdr:col>
      <xdr:colOff>3810</xdr:colOff>
      <xdr:row>6</xdr:row>
      <xdr:rowOff>60960</xdr:rowOff>
    </xdr:to>
    <xdr:pic>
      <xdr:nvPicPr>
        <xdr:cNvPr id="32007" name="Picture 40" descr="ImagingService">
          <a:extLst>
            <a:ext uri="{FF2B5EF4-FFF2-40B4-BE49-F238E27FC236}">
              <a16:creationId xmlns:a16="http://schemas.microsoft.com/office/drawing/2014/main" id="{EA313FD4-ED58-422C-B405-9FB3BD5DF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9945" b="83000"/>
        <a:stretch>
          <a:fillRect/>
        </a:stretch>
      </xdr:blipFill>
      <xdr:spPr bwMode="auto">
        <a:xfrm>
          <a:off x="25107900" y="1005840"/>
          <a:ext cx="242316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4</xdr:row>
      <xdr:rowOff>259080</xdr:rowOff>
    </xdr:from>
    <xdr:to>
      <xdr:col>50</xdr:col>
      <xdr:colOff>3810</xdr:colOff>
      <xdr:row>6</xdr:row>
      <xdr:rowOff>38100</xdr:rowOff>
    </xdr:to>
    <xdr:pic>
      <xdr:nvPicPr>
        <xdr:cNvPr id="32008" name="Picture 45" descr="ImagingService">
          <a:extLst>
            <a:ext uri="{FF2B5EF4-FFF2-40B4-BE49-F238E27FC236}">
              <a16:creationId xmlns:a16="http://schemas.microsoft.com/office/drawing/2014/main" id="{45B08F23-1D38-2422-FC21-7D3BBCB6F3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9945" b="83000"/>
        <a:stretch>
          <a:fillRect/>
        </a:stretch>
      </xdr:blipFill>
      <xdr:spPr bwMode="auto">
        <a:xfrm>
          <a:off x="30990540" y="1005840"/>
          <a:ext cx="26746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55</xdr:col>
      <xdr:colOff>0</xdr:colOff>
      <xdr:row>4</xdr:row>
      <xdr:rowOff>259080</xdr:rowOff>
    </xdr:from>
    <xdr:to>
      <xdr:col>58</xdr:col>
      <xdr:colOff>426720</xdr:colOff>
      <xdr:row>6</xdr:row>
      <xdr:rowOff>38100</xdr:rowOff>
    </xdr:to>
    <xdr:pic>
      <xdr:nvPicPr>
        <xdr:cNvPr id="32009" name="Picture 50" descr="ImagingService">
          <a:extLst>
            <a:ext uri="{FF2B5EF4-FFF2-40B4-BE49-F238E27FC236}">
              <a16:creationId xmlns:a16="http://schemas.microsoft.com/office/drawing/2014/main" id="{C676F6F7-A3DE-446B-573B-A7796A2198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9945" b="83000"/>
        <a:stretch>
          <a:fillRect/>
        </a:stretch>
      </xdr:blipFill>
      <xdr:spPr bwMode="auto">
        <a:xfrm>
          <a:off x="37139880" y="1005840"/>
          <a:ext cx="260604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9</xdr:col>
      <xdr:colOff>0</xdr:colOff>
      <xdr:row>2</xdr:row>
      <xdr:rowOff>68580</xdr:rowOff>
    </xdr:to>
    <xdr:grpSp>
      <xdr:nvGrpSpPr>
        <xdr:cNvPr id="32010" name="Group 84">
          <a:extLst>
            <a:ext uri="{FF2B5EF4-FFF2-40B4-BE49-F238E27FC236}">
              <a16:creationId xmlns:a16="http://schemas.microsoft.com/office/drawing/2014/main" id="{34EEE07A-4442-12A4-4E5F-D2453A6178A6}"/>
            </a:ext>
          </a:extLst>
        </xdr:cNvPr>
        <xdr:cNvGrpSpPr>
          <a:grpSpLocks/>
        </xdr:cNvGrpSpPr>
      </xdr:nvGrpSpPr>
      <xdr:grpSpPr bwMode="auto">
        <a:xfrm>
          <a:off x="314325" y="0"/>
          <a:ext cx="5648325" cy="459105"/>
          <a:chOff x="2538" y="0"/>
          <a:chExt cx="592" cy="44"/>
        </a:xfrm>
      </xdr:grpSpPr>
      <xdr:pic>
        <xdr:nvPicPr>
          <xdr:cNvPr id="32050" name="Picture 85" descr="ImagingService">
            <a:extLst>
              <a:ext uri="{FF2B5EF4-FFF2-40B4-BE49-F238E27FC236}">
                <a16:creationId xmlns:a16="http://schemas.microsoft.com/office/drawing/2014/main" id="{BB3E5854-6080-952F-5F01-C9FCF31437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051" name="Picture 86">
            <a:extLst>
              <a:ext uri="{FF2B5EF4-FFF2-40B4-BE49-F238E27FC236}">
                <a16:creationId xmlns:a16="http://schemas.microsoft.com/office/drawing/2014/main" id="{0280D59E-6659-5DC5-ECE2-6CD8B055CB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0</xdr:colOff>
      <xdr:row>2</xdr:row>
      <xdr:rowOff>45720</xdr:rowOff>
    </xdr:from>
    <xdr:to>
      <xdr:col>6</xdr:col>
      <xdr:colOff>358140</xdr:colOff>
      <xdr:row>3</xdr:row>
      <xdr:rowOff>217170</xdr:rowOff>
    </xdr:to>
    <xdr:pic>
      <xdr:nvPicPr>
        <xdr:cNvPr id="32011" name="Picture 87" descr="ImagingService">
          <a:extLst>
            <a:ext uri="{FF2B5EF4-FFF2-40B4-BE49-F238E27FC236}">
              <a16:creationId xmlns:a16="http://schemas.microsoft.com/office/drawing/2014/main" id="{E3CE2A10-F92F-9E35-A775-518DFD48748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20040" y="434340"/>
          <a:ext cx="381762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1150620</xdr:colOff>
      <xdr:row>0</xdr:row>
      <xdr:rowOff>289560</xdr:rowOff>
    </xdr:from>
    <xdr:to>
      <xdr:col>8</xdr:col>
      <xdr:colOff>758190</xdr:colOff>
      <xdr:row>3</xdr:row>
      <xdr:rowOff>1905</xdr:rowOff>
    </xdr:to>
    <xdr:pic>
      <xdr:nvPicPr>
        <xdr:cNvPr id="32012" name="Picture 88" descr="ImagingService">
          <a:extLst>
            <a:ext uri="{FF2B5EF4-FFF2-40B4-BE49-F238E27FC236}">
              <a16:creationId xmlns:a16="http://schemas.microsoft.com/office/drawing/2014/main" id="{713E5129-534A-5AAA-6ABD-8BAA72071F3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2" t="15334" r="84282" b="67999"/>
        <a:stretch>
          <a:fillRect/>
        </a:stretch>
      </xdr:blipFill>
      <xdr:spPr bwMode="auto">
        <a:xfrm>
          <a:off x="53492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0</xdr:row>
      <xdr:rowOff>0</xdr:rowOff>
    </xdr:from>
    <xdr:to>
      <xdr:col>18</xdr:col>
      <xdr:colOff>0</xdr:colOff>
      <xdr:row>2</xdr:row>
      <xdr:rowOff>68580</xdr:rowOff>
    </xdr:to>
    <xdr:grpSp>
      <xdr:nvGrpSpPr>
        <xdr:cNvPr id="32013" name="Group 89">
          <a:extLst>
            <a:ext uri="{FF2B5EF4-FFF2-40B4-BE49-F238E27FC236}">
              <a16:creationId xmlns:a16="http://schemas.microsoft.com/office/drawing/2014/main" id="{E5EC749B-ADB2-2B24-56F8-C70642A0AE36}"/>
            </a:ext>
          </a:extLst>
        </xdr:cNvPr>
        <xdr:cNvGrpSpPr>
          <a:grpSpLocks/>
        </xdr:cNvGrpSpPr>
      </xdr:nvGrpSpPr>
      <xdr:grpSpPr bwMode="auto">
        <a:xfrm>
          <a:off x="6276975" y="0"/>
          <a:ext cx="5648325" cy="459105"/>
          <a:chOff x="2538" y="0"/>
          <a:chExt cx="592" cy="44"/>
        </a:xfrm>
      </xdr:grpSpPr>
      <xdr:pic>
        <xdr:nvPicPr>
          <xdr:cNvPr id="32048" name="Picture 90" descr="ImagingService">
            <a:extLst>
              <a:ext uri="{FF2B5EF4-FFF2-40B4-BE49-F238E27FC236}">
                <a16:creationId xmlns:a16="http://schemas.microsoft.com/office/drawing/2014/main" id="{5A1E7D0A-B09F-D1E6-769F-4C6B708A03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049" name="Picture 91">
            <a:extLst>
              <a:ext uri="{FF2B5EF4-FFF2-40B4-BE49-F238E27FC236}">
                <a16:creationId xmlns:a16="http://schemas.microsoft.com/office/drawing/2014/main" id="{96EA1BD9-A4CD-A20C-1D4A-A1E1B09EA5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19</xdr:col>
      <xdr:colOff>0</xdr:colOff>
      <xdr:row>0</xdr:row>
      <xdr:rowOff>0</xdr:rowOff>
    </xdr:from>
    <xdr:to>
      <xdr:col>27</xdr:col>
      <xdr:colOff>0</xdr:colOff>
      <xdr:row>2</xdr:row>
      <xdr:rowOff>68580</xdr:rowOff>
    </xdr:to>
    <xdr:grpSp>
      <xdr:nvGrpSpPr>
        <xdr:cNvPr id="32014" name="Group 92">
          <a:extLst>
            <a:ext uri="{FF2B5EF4-FFF2-40B4-BE49-F238E27FC236}">
              <a16:creationId xmlns:a16="http://schemas.microsoft.com/office/drawing/2014/main" id="{8ACA39B5-81E5-2139-AD3D-9E9954CC957A}"/>
            </a:ext>
          </a:extLst>
        </xdr:cNvPr>
        <xdr:cNvGrpSpPr>
          <a:grpSpLocks/>
        </xdr:cNvGrpSpPr>
      </xdr:nvGrpSpPr>
      <xdr:grpSpPr bwMode="auto">
        <a:xfrm>
          <a:off x="12239625" y="0"/>
          <a:ext cx="5648325" cy="459105"/>
          <a:chOff x="2538" y="0"/>
          <a:chExt cx="592" cy="44"/>
        </a:xfrm>
      </xdr:grpSpPr>
      <xdr:pic>
        <xdr:nvPicPr>
          <xdr:cNvPr id="32046" name="Picture 93" descr="ImagingService">
            <a:extLst>
              <a:ext uri="{FF2B5EF4-FFF2-40B4-BE49-F238E27FC236}">
                <a16:creationId xmlns:a16="http://schemas.microsoft.com/office/drawing/2014/main" id="{2F7ACBD5-E833-0F12-EDAF-C932E529F5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047" name="Picture 94">
            <a:extLst>
              <a:ext uri="{FF2B5EF4-FFF2-40B4-BE49-F238E27FC236}">
                <a16:creationId xmlns:a16="http://schemas.microsoft.com/office/drawing/2014/main" id="{62C5FD49-C235-2F46-3D60-91C4960C7D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28</xdr:col>
      <xdr:colOff>0</xdr:colOff>
      <xdr:row>0</xdr:row>
      <xdr:rowOff>0</xdr:rowOff>
    </xdr:from>
    <xdr:to>
      <xdr:col>36</xdr:col>
      <xdr:colOff>0</xdr:colOff>
      <xdr:row>2</xdr:row>
      <xdr:rowOff>68580</xdr:rowOff>
    </xdr:to>
    <xdr:grpSp>
      <xdr:nvGrpSpPr>
        <xdr:cNvPr id="32015" name="Group 95">
          <a:extLst>
            <a:ext uri="{FF2B5EF4-FFF2-40B4-BE49-F238E27FC236}">
              <a16:creationId xmlns:a16="http://schemas.microsoft.com/office/drawing/2014/main" id="{F96B51DB-C35E-18AC-00AC-D4827C6AEB91}"/>
            </a:ext>
          </a:extLst>
        </xdr:cNvPr>
        <xdr:cNvGrpSpPr>
          <a:grpSpLocks/>
        </xdr:cNvGrpSpPr>
      </xdr:nvGrpSpPr>
      <xdr:grpSpPr bwMode="auto">
        <a:xfrm>
          <a:off x="18202275" y="0"/>
          <a:ext cx="5648325" cy="459105"/>
          <a:chOff x="2538" y="0"/>
          <a:chExt cx="592" cy="44"/>
        </a:xfrm>
      </xdr:grpSpPr>
      <xdr:pic>
        <xdr:nvPicPr>
          <xdr:cNvPr id="32044" name="Picture 96" descr="ImagingService">
            <a:extLst>
              <a:ext uri="{FF2B5EF4-FFF2-40B4-BE49-F238E27FC236}">
                <a16:creationId xmlns:a16="http://schemas.microsoft.com/office/drawing/2014/main" id="{D930AB7E-7164-CF78-4C08-74E658B575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045" name="Picture 97">
            <a:extLst>
              <a:ext uri="{FF2B5EF4-FFF2-40B4-BE49-F238E27FC236}">
                <a16:creationId xmlns:a16="http://schemas.microsoft.com/office/drawing/2014/main" id="{43BDA937-2973-86CA-C562-1BFE7C1A46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37</xdr:col>
      <xdr:colOff>0</xdr:colOff>
      <xdr:row>0</xdr:row>
      <xdr:rowOff>0</xdr:rowOff>
    </xdr:from>
    <xdr:to>
      <xdr:col>45</xdr:col>
      <xdr:colOff>0</xdr:colOff>
      <xdr:row>2</xdr:row>
      <xdr:rowOff>68580</xdr:rowOff>
    </xdr:to>
    <xdr:grpSp>
      <xdr:nvGrpSpPr>
        <xdr:cNvPr id="32016" name="Group 98">
          <a:extLst>
            <a:ext uri="{FF2B5EF4-FFF2-40B4-BE49-F238E27FC236}">
              <a16:creationId xmlns:a16="http://schemas.microsoft.com/office/drawing/2014/main" id="{66578D44-9E6F-5D93-B298-428D531F4360}"/>
            </a:ext>
          </a:extLst>
        </xdr:cNvPr>
        <xdr:cNvGrpSpPr>
          <a:grpSpLocks/>
        </xdr:cNvGrpSpPr>
      </xdr:nvGrpSpPr>
      <xdr:grpSpPr bwMode="auto">
        <a:xfrm>
          <a:off x="24164925" y="0"/>
          <a:ext cx="5648325" cy="459105"/>
          <a:chOff x="2538" y="0"/>
          <a:chExt cx="592" cy="44"/>
        </a:xfrm>
      </xdr:grpSpPr>
      <xdr:pic>
        <xdr:nvPicPr>
          <xdr:cNvPr id="32042" name="Picture 99" descr="ImagingService">
            <a:extLst>
              <a:ext uri="{FF2B5EF4-FFF2-40B4-BE49-F238E27FC236}">
                <a16:creationId xmlns:a16="http://schemas.microsoft.com/office/drawing/2014/main" id="{21C6C873-80D4-D00E-3584-9C7FC3482E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043" name="Picture 100">
            <a:extLst>
              <a:ext uri="{FF2B5EF4-FFF2-40B4-BE49-F238E27FC236}">
                <a16:creationId xmlns:a16="http://schemas.microsoft.com/office/drawing/2014/main" id="{D2BD94E5-F5A4-EFF1-14A2-5AC638A2FE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46</xdr:col>
      <xdr:colOff>0</xdr:colOff>
      <xdr:row>0</xdr:row>
      <xdr:rowOff>0</xdr:rowOff>
    </xdr:from>
    <xdr:to>
      <xdr:col>54</xdr:col>
      <xdr:colOff>0</xdr:colOff>
      <xdr:row>2</xdr:row>
      <xdr:rowOff>68580</xdr:rowOff>
    </xdr:to>
    <xdr:grpSp>
      <xdr:nvGrpSpPr>
        <xdr:cNvPr id="32017" name="Group 101">
          <a:extLst>
            <a:ext uri="{FF2B5EF4-FFF2-40B4-BE49-F238E27FC236}">
              <a16:creationId xmlns:a16="http://schemas.microsoft.com/office/drawing/2014/main" id="{ED4BA6D1-9A79-FB9E-ACD7-429D87CDA344}"/>
            </a:ext>
          </a:extLst>
        </xdr:cNvPr>
        <xdr:cNvGrpSpPr>
          <a:grpSpLocks/>
        </xdr:cNvGrpSpPr>
      </xdr:nvGrpSpPr>
      <xdr:grpSpPr bwMode="auto">
        <a:xfrm>
          <a:off x="30127575" y="0"/>
          <a:ext cx="5667375" cy="459105"/>
          <a:chOff x="2538" y="0"/>
          <a:chExt cx="592" cy="44"/>
        </a:xfrm>
      </xdr:grpSpPr>
      <xdr:pic>
        <xdr:nvPicPr>
          <xdr:cNvPr id="32040" name="Picture 102" descr="ImagingService">
            <a:extLst>
              <a:ext uri="{FF2B5EF4-FFF2-40B4-BE49-F238E27FC236}">
                <a16:creationId xmlns:a16="http://schemas.microsoft.com/office/drawing/2014/main" id="{D797B90C-9D19-5BB3-13F6-AA78FFDC6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041" name="Picture 103">
            <a:extLst>
              <a:ext uri="{FF2B5EF4-FFF2-40B4-BE49-F238E27FC236}">
                <a16:creationId xmlns:a16="http://schemas.microsoft.com/office/drawing/2014/main" id="{B0472E40-BF25-FFA3-00DA-035ED8A6D7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10</xdr:col>
      <xdr:colOff>0</xdr:colOff>
      <xdr:row>2</xdr:row>
      <xdr:rowOff>45720</xdr:rowOff>
    </xdr:from>
    <xdr:to>
      <xdr:col>15</xdr:col>
      <xdr:colOff>358140</xdr:colOff>
      <xdr:row>3</xdr:row>
      <xdr:rowOff>217170</xdr:rowOff>
    </xdr:to>
    <xdr:pic>
      <xdr:nvPicPr>
        <xdr:cNvPr id="32018" name="Picture 107" descr="ImagingService">
          <a:extLst>
            <a:ext uri="{FF2B5EF4-FFF2-40B4-BE49-F238E27FC236}">
              <a16:creationId xmlns:a16="http://schemas.microsoft.com/office/drawing/2014/main" id="{98A2051C-0FE0-D11B-F0D8-CB9DFF6026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6454140" y="434340"/>
          <a:ext cx="381762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2</xdr:row>
      <xdr:rowOff>45720</xdr:rowOff>
    </xdr:from>
    <xdr:to>
      <xdr:col>24</xdr:col>
      <xdr:colOff>358140</xdr:colOff>
      <xdr:row>3</xdr:row>
      <xdr:rowOff>217170</xdr:rowOff>
    </xdr:to>
    <xdr:pic>
      <xdr:nvPicPr>
        <xdr:cNvPr id="32019" name="Picture 108" descr="ImagingService">
          <a:extLst>
            <a:ext uri="{FF2B5EF4-FFF2-40B4-BE49-F238E27FC236}">
              <a16:creationId xmlns:a16="http://schemas.microsoft.com/office/drawing/2014/main" id="{2461B5D4-6A7E-706A-F874-93DD5130930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12588240" y="434340"/>
          <a:ext cx="381762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0</xdr:colOff>
      <xdr:row>2</xdr:row>
      <xdr:rowOff>45720</xdr:rowOff>
    </xdr:from>
    <xdr:to>
      <xdr:col>33</xdr:col>
      <xdr:colOff>358140</xdr:colOff>
      <xdr:row>3</xdr:row>
      <xdr:rowOff>217170</xdr:rowOff>
    </xdr:to>
    <xdr:pic>
      <xdr:nvPicPr>
        <xdr:cNvPr id="32020" name="Picture 109" descr="ImagingService">
          <a:extLst>
            <a:ext uri="{FF2B5EF4-FFF2-40B4-BE49-F238E27FC236}">
              <a16:creationId xmlns:a16="http://schemas.microsoft.com/office/drawing/2014/main" id="{902D0E71-3892-1745-35FE-B0552F545A8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18722340" y="434340"/>
          <a:ext cx="381762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0</xdr:colOff>
      <xdr:row>2</xdr:row>
      <xdr:rowOff>45720</xdr:rowOff>
    </xdr:from>
    <xdr:to>
      <xdr:col>42</xdr:col>
      <xdr:colOff>358140</xdr:colOff>
      <xdr:row>3</xdr:row>
      <xdr:rowOff>217170</xdr:rowOff>
    </xdr:to>
    <xdr:pic>
      <xdr:nvPicPr>
        <xdr:cNvPr id="32021" name="Picture 110" descr="ImagingService">
          <a:extLst>
            <a:ext uri="{FF2B5EF4-FFF2-40B4-BE49-F238E27FC236}">
              <a16:creationId xmlns:a16="http://schemas.microsoft.com/office/drawing/2014/main" id="{2F8266D9-143A-9C91-9135-96EBF53C2CC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24856440" y="434340"/>
          <a:ext cx="381762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2</xdr:row>
      <xdr:rowOff>45720</xdr:rowOff>
    </xdr:from>
    <xdr:to>
      <xdr:col>51</xdr:col>
      <xdr:colOff>358140</xdr:colOff>
      <xdr:row>3</xdr:row>
      <xdr:rowOff>217170</xdr:rowOff>
    </xdr:to>
    <xdr:pic>
      <xdr:nvPicPr>
        <xdr:cNvPr id="32022" name="Picture 111" descr="ImagingService">
          <a:extLst>
            <a:ext uri="{FF2B5EF4-FFF2-40B4-BE49-F238E27FC236}">
              <a16:creationId xmlns:a16="http://schemas.microsoft.com/office/drawing/2014/main" id="{AE32D760-A64A-43C3-BA5B-4F0D5A208EF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0990540" y="434340"/>
          <a:ext cx="381762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55</xdr:col>
      <xdr:colOff>0</xdr:colOff>
      <xdr:row>2</xdr:row>
      <xdr:rowOff>45720</xdr:rowOff>
    </xdr:from>
    <xdr:to>
      <xdr:col>59</xdr:col>
      <xdr:colOff>792480</xdr:colOff>
      <xdr:row>3</xdr:row>
      <xdr:rowOff>217170</xdr:rowOff>
    </xdr:to>
    <xdr:pic>
      <xdr:nvPicPr>
        <xdr:cNvPr id="32023" name="Picture 112" descr="ImagingService">
          <a:extLst>
            <a:ext uri="{FF2B5EF4-FFF2-40B4-BE49-F238E27FC236}">
              <a16:creationId xmlns:a16="http://schemas.microsoft.com/office/drawing/2014/main" id="{C364F002-6C38-C0EF-F2B2-CE6753D5EC0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7139880" y="434340"/>
          <a:ext cx="404622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1089660</xdr:colOff>
      <xdr:row>0</xdr:row>
      <xdr:rowOff>289560</xdr:rowOff>
    </xdr:from>
    <xdr:to>
      <xdr:col>18</xdr:col>
      <xdr:colOff>1905</xdr:colOff>
      <xdr:row>3</xdr:row>
      <xdr:rowOff>1905</xdr:rowOff>
    </xdr:to>
    <xdr:pic>
      <xdr:nvPicPr>
        <xdr:cNvPr id="32024" name="Picture 113" descr="ImagingService">
          <a:extLst>
            <a:ext uri="{FF2B5EF4-FFF2-40B4-BE49-F238E27FC236}">
              <a16:creationId xmlns:a16="http://schemas.microsoft.com/office/drawing/2014/main" id="{6FA525A3-2D1C-67E9-C3EB-5F28015B6D9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2" t="15334" r="84282" b="67999"/>
        <a:stretch>
          <a:fillRect/>
        </a:stretch>
      </xdr:blipFill>
      <xdr:spPr bwMode="auto">
        <a:xfrm>
          <a:off x="114833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1089660</xdr:colOff>
      <xdr:row>0</xdr:row>
      <xdr:rowOff>289560</xdr:rowOff>
    </xdr:from>
    <xdr:to>
      <xdr:col>27</xdr:col>
      <xdr:colOff>1905</xdr:colOff>
      <xdr:row>3</xdr:row>
      <xdr:rowOff>1905</xdr:rowOff>
    </xdr:to>
    <xdr:pic>
      <xdr:nvPicPr>
        <xdr:cNvPr id="32025" name="Picture 114" descr="ImagingService">
          <a:extLst>
            <a:ext uri="{FF2B5EF4-FFF2-40B4-BE49-F238E27FC236}">
              <a16:creationId xmlns:a16="http://schemas.microsoft.com/office/drawing/2014/main" id="{E77E9A54-1969-EF14-BB8E-B728440008B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2" t="15334" r="84282" b="67999"/>
        <a:stretch>
          <a:fillRect/>
        </a:stretch>
      </xdr:blipFill>
      <xdr:spPr bwMode="auto">
        <a:xfrm>
          <a:off x="176174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1089660</xdr:colOff>
      <xdr:row>0</xdr:row>
      <xdr:rowOff>259080</xdr:rowOff>
    </xdr:from>
    <xdr:to>
      <xdr:col>36</xdr:col>
      <xdr:colOff>1905</xdr:colOff>
      <xdr:row>2</xdr:row>
      <xdr:rowOff>236220</xdr:rowOff>
    </xdr:to>
    <xdr:pic>
      <xdr:nvPicPr>
        <xdr:cNvPr id="32026" name="Picture 115" descr="ImagingService">
          <a:extLst>
            <a:ext uri="{FF2B5EF4-FFF2-40B4-BE49-F238E27FC236}">
              <a16:creationId xmlns:a16="http://schemas.microsoft.com/office/drawing/2014/main" id="{61EE33DF-A817-B357-3910-0B908CFF035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2" t="15334" r="84282" b="67999"/>
        <a:stretch>
          <a:fillRect/>
        </a:stretch>
      </xdr:blipFill>
      <xdr:spPr bwMode="auto">
        <a:xfrm>
          <a:off x="237515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43</xdr:col>
      <xdr:colOff>1089660</xdr:colOff>
      <xdr:row>0</xdr:row>
      <xdr:rowOff>289560</xdr:rowOff>
    </xdr:from>
    <xdr:to>
      <xdr:col>45</xdr:col>
      <xdr:colOff>1905</xdr:colOff>
      <xdr:row>3</xdr:row>
      <xdr:rowOff>1905</xdr:rowOff>
    </xdr:to>
    <xdr:pic>
      <xdr:nvPicPr>
        <xdr:cNvPr id="32027" name="Picture 116" descr="ImagingService">
          <a:extLst>
            <a:ext uri="{FF2B5EF4-FFF2-40B4-BE49-F238E27FC236}">
              <a16:creationId xmlns:a16="http://schemas.microsoft.com/office/drawing/2014/main" id="{B33F9D62-E1C9-06A2-A76D-6FE4451A528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2" t="15334" r="84282" b="67999"/>
        <a:stretch>
          <a:fillRect/>
        </a:stretch>
      </xdr:blipFill>
      <xdr:spPr bwMode="auto">
        <a:xfrm>
          <a:off x="2988564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52</xdr:col>
      <xdr:colOff>1173480</xdr:colOff>
      <xdr:row>0</xdr:row>
      <xdr:rowOff>259080</xdr:rowOff>
    </xdr:from>
    <xdr:to>
      <xdr:col>54</xdr:col>
      <xdr:colOff>3810</xdr:colOff>
      <xdr:row>2</xdr:row>
      <xdr:rowOff>236220</xdr:rowOff>
    </xdr:to>
    <xdr:pic>
      <xdr:nvPicPr>
        <xdr:cNvPr id="32028" name="Picture 117" descr="ImagingService">
          <a:extLst>
            <a:ext uri="{FF2B5EF4-FFF2-40B4-BE49-F238E27FC236}">
              <a16:creationId xmlns:a16="http://schemas.microsoft.com/office/drawing/2014/main" id="{2B88DB09-B6C4-68EB-9E9B-5E5D8BBE70C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2" t="15334" r="84282" b="67999"/>
        <a:stretch>
          <a:fillRect/>
        </a:stretch>
      </xdr:blipFill>
      <xdr:spPr bwMode="auto">
        <a:xfrm>
          <a:off x="3602736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55</xdr:col>
      <xdr:colOff>0</xdr:colOff>
      <xdr:row>0</xdr:row>
      <xdr:rowOff>0</xdr:rowOff>
    </xdr:from>
    <xdr:to>
      <xdr:col>62</xdr:col>
      <xdr:colOff>0</xdr:colOff>
      <xdr:row>2</xdr:row>
      <xdr:rowOff>68580</xdr:rowOff>
    </xdr:to>
    <xdr:grpSp>
      <xdr:nvGrpSpPr>
        <xdr:cNvPr id="32029" name="Group 128">
          <a:extLst>
            <a:ext uri="{FF2B5EF4-FFF2-40B4-BE49-F238E27FC236}">
              <a16:creationId xmlns:a16="http://schemas.microsoft.com/office/drawing/2014/main" id="{E65A3A5A-9DD9-62B2-B024-5CCA95E3580C}"/>
            </a:ext>
          </a:extLst>
        </xdr:cNvPr>
        <xdr:cNvGrpSpPr>
          <a:grpSpLocks/>
        </xdr:cNvGrpSpPr>
      </xdr:nvGrpSpPr>
      <xdr:grpSpPr bwMode="auto">
        <a:xfrm>
          <a:off x="36109275" y="0"/>
          <a:ext cx="5657850" cy="459105"/>
          <a:chOff x="2538" y="0"/>
          <a:chExt cx="592" cy="44"/>
        </a:xfrm>
      </xdr:grpSpPr>
      <xdr:pic>
        <xdr:nvPicPr>
          <xdr:cNvPr id="32038" name="Picture 129" descr="ImagingService">
            <a:extLst>
              <a:ext uri="{FF2B5EF4-FFF2-40B4-BE49-F238E27FC236}">
                <a16:creationId xmlns:a16="http://schemas.microsoft.com/office/drawing/2014/main" id="{C9F18F4D-6DF0-F823-7368-92E779BC5A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2039" name="Picture 130">
            <a:extLst>
              <a:ext uri="{FF2B5EF4-FFF2-40B4-BE49-F238E27FC236}">
                <a16:creationId xmlns:a16="http://schemas.microsoft.com/office/drawing/2014/main" id="{ACD32CF1-39D1-E844-FE29-3922F0A50D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60</xdr:col>
      <xdr:colOff>899160</xdr:colOff>
      <xdr:row>0</xdr:row>
      <xdr:rowOff>289560</xdr:rowOff>
    </xdr:from>
    <xdr:to>
      <xdr:col>62</xdr:col>
      <xdr:colOff>1905</xdr:colOff>
      <xdr:row>3</xdr:row>
      <xdr:rowOff>1905</xdr:rowOff>
    </xdr:to>
    <xdr:pic>
      <xdr:nvPicPr>
        <xdr:cNvPr id="32030" name="Picture 131" descr="ImagingService">
          <a:extLst>
            <a:ext uri="{FF2B5EF4-FFF2-40B4-BE49-F238E27FC236}">
              <a16:creationId xmlns:a16="http://schemas.microsoft.com/office/drawing/2014/main" id="{97F66D2D-832D-262A-454D-5BD98759634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72" t="15334" r="84282" b="67999"/>
        <a:stretch>
          <a:fillRect/>
        </a:stretch>
      </xdr:blipFill>
      <xdr:spPr bwMode="auto">
        <a:xfrm>
          <a:off x="42161460" y="228600"/>
          <a:ext cx="7848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861060</xdr:colOff>
      <xdr:row>54</xdr:row>
      <xdr:rowOff>30480</xdr:rowOff>
    </xdr:from>
    <xdr:to>
      <xdr:col>9</xdr:col>
      <xdr:colOff>3810</xdr:colOff>
      <xdr:row>58</xdr:row>
      <xdr:rowOff>1905</xdr:rowOff>
    </xdr:to>
    <xdr:pic>
      <xdr:nvPicPr>
        <xdr:cNvPr id="32031" name="1 Imagen">
          <a:extLst>
            <a:ext uri="{FF2B5EF4-FFF2-40B4-BE49-F238E27FC236}">
              <a16:creationId xmlns:a16="http://schemas.microsoft.com/office/drawing/2014/main" id="{8D0D8AC2-0A0C-461B-0DDB-6FEF4690EAA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564380" y="9197340"/>
          <a:ext cx="156972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899160</xdr:colOff>
      <xdr:row>54</xdr:row>
      <xdr:rowOff>7620</xdr:rowOff>
    </xdr:from>
    <xdr:to>
      <xdr:col>18</xdr:col>
      <xdr:colOff>1905</xdr:colOff>
      <xdr:row>57</xdr:row>
      <xdr:rowOff>158115</xdr:rowOff>
    </xdr:to>
    <xdr:pic>
      <xdr:nvPicPr>
        <xdr:cNvPr id="32032" name="1 Imagen">
          <a:extLst>
            <a:ext uri="{FF2B5EF4-FFF2-40B4-BE49-F238E27FC236}">
              <a16:creationId xmlns:a16="http://schemas.microsoft.com/office/drawing/2014/main" id="{EA846693-39D2-1581-F3C8-CF22AFC47D8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698480" y="9174480"/>
          <a:ext cx="15697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944880</xdr:colOff>
      <xdr:row>54</xdr:row>
      <xdr:rowOff>30480</xdr:rowOff>
    </xdr:from>
    <xdr:to>
      <xdr:col>27</xdr:col>
      <xdr:colOff>1905</xdr:colOff>
      <xdr:row>58</xdr:row>
      <xdr:rowOff>0</xdr:rowOff>
    </xdr:to>
    <xdr:pic>
      <xdr:nvPicPr>
        <xdr:cNvPr id="32033" name="1 Imagen">
          <a:extLst>
            <a:ext uri="{FF2B5EF4-FFF2-40B4-BE49-F238E27FC236}">
              <a16:creationId xmlns:a16="http://schemas.microsoft.com/office/drawing/2014/main" id="{B31D1AB4-3A71-4601-0091-EF1F0049C6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832580" y="9197340"/>
          <a:ext cx="156972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33</xdr:col>
      <xdr:colOff>899160</xdr:colOff>
      <xdr:row>54</xdr:row>
      <xdr:rowOff>7620</xdr:rowOff>
    </xdr:from>
    <xdr:to>
      <xdr:col>36</xdr:col>
      <xdr:colOff>1905</xdr:colOff>
      <xdr:row>57</xdr:row>
      <xdr:rowOff>158115</xdr:rowOff>
    </xdr:to>
    <xdr:pic>
      <xdr:nvPicPr>
        <xdr:cNvPr id="32034" name="1 Imagen">
          <a:extLst>
            <a:ext uri="{FF2B5EF4-FFF2-40B4-BE49-F238E27FC236}">
              <a16:creationId xmlns:a16="http://schemas.microsoft.com/office/drawing/2014/main" id="{98B5DF8B-DAB0-DB6F-A73F-04F9C31A6E0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2966680" y="9174480"/>
          <a:ext cx="15697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42</xdr:col>
      <xdr:colOff>701040</xdr:colOff>
      <xdr:row>54</xdr:row>
      <xdr:rowOff>30480</xdr:rowOff>
    </xdr:from>
    <xdr:to>
      <xdr:col>44</xdr:col>
      <xdr:colOff>739140</xdr:colOff>
      <xdr:row>57</xdr:row>
      <xdr:rowOff>158115</xdr:rowOff>
    </xdr:to>
    <xdr:pic>
      <xdr:nvPicPr>
        <xdr:cNvPr id="32035" name="1 Imagen">
          <a:extLst>
            <a:ext uri="{FF2B5EF4-FFF2-40B4-BE49-F238E27FC236}">
              <a16:creationId xmlns:a16="http://schemas.microsoft.com/office/drawing/2014/main" id="{10554694-CB4F-3A8F-4993-6E830F41FD7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9016960" y="9197340"/>
          <a:ext cx="160782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51</xdr:col>
      <xdr:colOff>716280</xdr:colOff>
      <xdr:row>54</xdr:row>
      <xdr:rowOff>7620</xdr:rowOff>
    </xdr:from>
    <xdr:to>
      <xdr:col>53</xdr:col>
      <xdr:colOff>754380</xdr:colOff>
      <xdr:row>57</xdr:row>
      <xdr:rowOff>158115</xdr:rowOff>
    </xdr:to>
    <xdr:pic>
      <xdr:nvPicPr>
        <xdr:cNvPr id="32036" name="1 Imagen">
          <a:extLst>
            <a:ext uri="{FF2B5EF4-FFF2-40B4-BE49-F238E27FC236}">
              <a16:creationId xmlns:a16="http://schemas.microsoft.com/office/drawing/2014/main" id="{6B0D13B4-AF2D-9B5F-7C05-A6E9A54D4A5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5166300" y="9174480"/>
          <a:ext cx="161544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59</xdr:col>
      <xdr:colOff>1348740</xdr:colOff>
      <xdr:row>54</xdr:row>
      <xdr:rowOff>7620</xdr:rowOff>
    </xdr:from>
    <xdr:to>
      <xdr:col>61</xdr:col>
      <xdr:colOff>760095</xdr:colOff>
      <xdr:row>57</xdr:row>
      <xdr:rowOff>158115</xdr:rowOff>
    </xdr:to>
    <xdr:pic>
      <xdr:nvPicPr>
        <xdr:cNvPr id="32037" name="1 Imagen">
          <a:extLst>
            <a:ext uri="{FF2B5EF4-FFF2-40B4-BE49-F238E27FC236}">
              <a16:creationId xmlns:a16="http://schemas.microsoft.com/office/drawing/2014/main" id="{DDB30B7A-7A88-7260-59A4-CF6500C03FB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1468040" y="9174480"/>
          <a:ext cx="147828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480060</xdr:colOff>
      <xdr:row>6</xdr:row>
      <xdr:rowOff>45720</xdr:rowOff>
    </xdr:from>
    <xdr:to>
      <xdr:col>15</xdr:col>
      <xdr:colOff>0</xdr:colOff>
      <xdr:row>7</xdr:row>
      <xdr:rowOff>30480</xdr:rowOff>
    </xdr:to>
    <xdr:pic>
      <xdr:nvPicPr>
        <xdr:cNvPr id="23492" name="Picture 43" descr="ImagingService">
          <a:extLst>
            <a:ext uri="{FF2B5EF4-FFF2-40B4-BE49-F238E27FC236}">
              <a16:creationId xmlns:a16="http://schemas.microsoft.com/office/drawing/2014/main" id="{BFE28C1A-9029-CF26-54D5-788701913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3667"/>
        <a:stretch>
          <a:fillRect/>
        </a:stretch>
      </xdr:blipFill>
      <xdr:spPr bwMode="auto">
        <a:xfrm>
          <a:off x="320040" y="1173480"/>
          <a:ext cx="5768340" cy="350520"/>
        </a:xfrm>
        <a:prstGeom prst="rect">
          <a:avLst/>
        </a:prstGeom>
        <a:solidFill>
          <a:srgbClr val="CD005E"/>
        </a:solidFill>
        <a:ln w="28575" algn="ctr">
          <a:solidFill>
            <a:srgbClr val="CD005E"/>
          </a:solidFill>
          <a:prstDash val="sysDot"/>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0</xdr:row>
      <xdr:rowOff>0</xdr:rowOff>
    </xdr:from>
    <xdr:to>
      <xdr:col>15</xdr:col>
      <xdr:colOff>0</xdr:colOff>
      <xdr:row>2</xdr:row>
      <xdr:rowOff>68580</xdr:rowOff>
    </xdr:to>
    <xdr:grpSp>
      <xdr:nvGrpSpPr>
        <xdr:cNvPr id="23493" name="Group 66">
          <a:extLst>
            <a:ext uri="{FF2B5EF4-FFF2-40B4-BE49-F238E27FC236}">
              <a16:creationId xmlns:a16="http://schemas.microsoft.com/office/drawing/2014/main" id="{7F4B0525-7730-430C-0D59-B0CE7886201C}"/>
            </a:ext>
          </a:extLst>
        </xdr:cNvPr>
        <xdr:cNvGrpSpPr>
          <a:grpSpLocks/>
        </xdr:cNvGrpSpPr>
      </xdr:nvGrpSpPr>
      <xdr:grpSpPr bwMode="auto">
        <a:xfrm>
          <a:off x="314325" y="0"/>
          <a:ext cx="5648325" cy="459105"/>
          <a:chOff x="2538" y="0"/>
          <a:chExt cx="592" cy="44"/>
        </a:xfrm>
      </xdr:grpSpPr>
      <xdr:pic>
        <xdr:nvPicPr>
          <xdr:cNvPr id="23519" name="Picture 67" descr="ImagingService">
            <a:extLst>
              <a:ext uri="{FF2B5EF4-FFF2-40B4-BE49-F238E27FC236}">
                <a16:creationId xmlns:a16="http://schemas.microsoft.com/office/drawing/2014/main" id="{79800FD1-A8E8-8412-0906-687FE5D53F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3520" name="Picture 68">
            <a:extLst>
              <a:ext uri="{FF2B5EF4-FFF2-40B4-BE49-F238E27FC236}">
                <a16:creationId xmlns:a16="http://schemas.microsoft.com/office/drawing/2014/main" id="{DE0B01D3-DA7B-DA2B-720B-F693B00E369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0</xdr:colOff>
      <xdr:row>2</xdr:row>
      <xdr:rowOff>0</xdr:rowOff>
    </xdr:from>
    <xdr:to>
      <xdr:col>9</xdr:col>
      <xdr:colOff>342900</xdr:colOff>
      <xdr:row>4</xdr:row>
      <xdr:rowOff>3810</xdr:rowOff>
    </xdr:to>
    <xdr:pic>
      <xdr:nvPicPr>
        <xdr:cNvPr id="23494" name="Picture 69" descr="ImagingService">
          <a:extLst>
            <a:ext uri="{FF2B5EF4-FFF2-40B4-BE49-F238E27FC236}">
              <a16:creationId xmlns:a16="http://schemas.microsoft.com/office/drawing/2014/main" id="{3E6AE01F-CEB7-B566-7B04-AA55FCA2490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20040" y="388620"/>
          <a:ext cx="377952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0</xdr:rowOff>
    </xdr:from>
    <xdr:to>
      <xdr:col>5</xdr:col>
      <xdr:colOff>114300</xdr:colOff>
      <xdr:row>5</xdr:row>
      <xdr:rowOff>158115</xdr:rowOff>
    </xdr:to>
    <xdr:pic>
      <xdr:nvPicPr>
        <xdr:cNvPr id="23495" name="Picture 70">
          <a:extLst>
            <a:ext uri="{FF2B5EF4-FFF2-40B4-BE49-F238E27FC236}">
              <a16:creationId xmlns:a16="http://schemas.microsoft.com/office/drawing/2014/main" id="{12BE6C8D-949E-6DC0-4C33-88DC321796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040" y="792480"/>
          <a:ext cx="199644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304800</xdr:colOff>
      <xdr:row>0</xdr:row>
      <xdr:rowOff>327660</xdr:rowOff>
    </xdr:from>
    <xdr:to>
      <xdr:col>15</xdr:col>
      <xdr:colOff>3810</xdr:colOff>
      <xdr:row>3</xdr:row>
      <xdr:rowOff>1905</xdr:rowOff>
    </xdr:to>
    <xdr:pic>
      <xdr:nvPicPr>
        <xdr:cNvPr id="23496" name="Picture 71" descr="ImagingService">
          <a:extLst>
            <a:ext uri="{FF2B5EF4-FFF2-40B4-BE49-F238E27FC236}">
              <a16:creationId xmlns:a16="http://schemas.microsoft.com/office/drawing/2014/main" id="{625B2C43-B603-1A79-F7C9-38C104E4A7D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880" t="14999" r="58943" b="68001"/>
        <a:stretch>
          <a:fillRect/>
        </a:stretch>
      </xdr:blipFill>
      <xdr:spPr bwMode="auto">
        <a:xfrm>
          <a:off x="5227320" y="228600"/>
          <a:ext cx="8610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31</xdr:col>
      <xdr:colOff>0</xdr:colOff>
      <xdr:row>0</xdr:row>
      <xdr:rowOff>0</xdr:rowOff>
    </xdr:from>
    <xdr:to>
      <xdr:col>45</xdr:col>
      <xdr:colOff>0</xdr:colOff>
      <xdr:row>2</xdr:row>
      <xdr:rowOff>68580</xdr:rowOff>
    </xdr:to>
    <xdr:grpSp>
      <xdr:nvGrpSpPr>
        <xdr:cNvPr id="23497" name="Group 75">
          <a:extLst>
            <a:ext uri="{FF2B5EF4-FFF2-40B4-BE49-F238E27FC236}">
              <a16:creationId xmlns:a16="http://schemas.microsoft.com/office/drawing/2014/main" id="{E52987FF-120A-DD0D-A580-500E9575DB28}"/>
            </a:ext>
          </a:extLst>
        </xdr:cNvPr>
        <xdr:cNvGrpSpPr>
          <a:grpSpLocks/>
        </xdr:cNvGrpSpPr>
      </xdr:nvGrpSpPr>
      <xdr:grpSpPr bwMode="auto">
        <a:xfrm>
          <a:off x="12239625" y="0"/>
          <a:ext cx="5648325" cy="459105"/>
          <a:chOff x="2538" y="0"/>
          <a:chExt cx="592" cy="44"/>
        </a:xfrm>
      </xdr:grpSpPr>
      <xdr:pic>
        <xdr:nvPicPr>
          <xdr:cNvPr id="23517" name="Picture 76" descr="ImagingService">
            <a:extLst>
              <a:ext uri="{FF2B5EF4-FFF2-40B4-BE49-F238E27FC236}">
                <a16:creationId xmlns:a16="http://schemas.microsoft.com/office/drawing/2014/main" id="{B434CD97-8584-CE4C-DBE4-94B347BE2A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3518" name="Picture 77">
            <a:extLst>
              <a:ext uri="{FF2B5EF4-FFF2-40B4-BE49-F238E27FC236}">
                <a16:creationId xmlns:a16="http://schemas.microsoft.com/office/drawing/2014/main" id="{DB9858BF-891C-4546-98F4-05AE3A416F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46</xdr:col>
      <xdr:colOff>0</xdr:colOff>
      <xdr:row>0</xdr:row>
      <xdr:rowOff>0</xdr:rowOff>
    </xdr:from>
    <xdr:to>
      <xdr:col>59</xdr:col>
      <xdr:colOff>861060</xdr:colOff>
      <xdr:row>2</xdr:row>
      <xdr:rowOff>68580</xdr:rowOff>
    </xdr:to>
    <xdr:grpSp>
      <xdr:nvGrpSpPr>
        <xdr:cNvPr id="23498" name="Group 78">
          <a:extLst>
            <a:ext uri="{FF2B5EF4-FFF2-40B4-BE49-F238E27FC236}">
              <a16:creationId xmlns:a16="http://schemas.microsoft.com/office/drawing/2014/main" id="{6FBB3F0E-05DF-18B3-D834-4246C370B78C}"/>
            </a:ext>
          </a:extLst>
        </xdr:cNvPr>
        <xdr:cNvGrpSpPr>
          <a:grpSpLocks/>
        </xdr:cNvGrpSpPr>
      </xdr:nvGrpSpPr>
      <xdr:grpSpPr bwMode="auto">
        <a:xfrm>
          <a:off x="18202275" y="0"/>
          <a:ext cx="5661660" cy="459105"/>
          <a:chOff x="2538" y="0"/>
          <a:chExt cx="592" cy="44"/>
        </a:xfrm>
      </xdr:grpSpPr>
      <xdr:pic>
        <xdr:nvPicPr>
          <xdr:cNvPr id="23515" name="Picture 79" descr="ImagingService">
            <a:extLst>
              <a:ext uri="{FF2B5EF4-FFF2-40B4-BE49-F238E27FC236}">
                <a16:creationId xmlns:a16="http://schemas.microsoft.com/office/drawing/2014/main" id="{BE94D95D-7704-F1A4-9703-4CC1E31846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3516" name="Picture 80">
            <a:extLst>
              <a:ext uri="{FF2B5EF4-FFF2-40B4-BE49-F238E27FC236}">
                <a16:creationId xmlns:a16="http://schemas.microsoft.com/office/drawing/2014/main" id="{930E3F24-8CEB-CB78-8DA1-0D033A2976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16</xdr:col>
      <xdr:colOff>0</xdr:colOff>
      <xdr:row>0</xdr:row>
      <xdr:rowOff>0</xdr:rowOff>
    </xdr:from>
    <xdr:to>
      <xdr:col>30</xdr:col>
      <xdr:colOff>0</xdr:colOff>
      <xdr:row>2</xdr:row>
      <xdr:rowOff>68580</xdr:rowOff>
    </xdr:to>
    <xdr:grpSp>
      <xdr:nvGrpSpPr>
        <xdr:cNvPr id="23499" name="Group 81">
          <a:extLst>
            <a:ext uri="{FF2B5EF4-FFF2-40B4-BE49-F238E27FC236}">
              <a16:creationId xmlns:a16="http://schemas.microsoft.com/office/drawing/2014/main" id="{9064A829-2682-D983-E1D8-946AA06FDDFD}"/>
            </a:ext>
          </a:extLst>
        </xdr:cNvPr>
        <xdr:cNvGrpSpPr>
          <a:grpSpLocks/>
        </xdr:cNvGrpSpPr>
      </xdr:nvGrpSpPr>
      <xdr:grpSpPr bwMode="auto">
        <a:xfrm>
          <a:off x="6276975" y="0"/>
          <a:ext cx="5648325" cy="459105"/>
          <a:chOff x="2538" y="0"/>
          <a:chExt cx="592" cy="44"/>
        </a:xfrm>
      </xdr:grpSpPr>
      <xdr:pic>
        <xdr:nvPicPr>
          <xdr:cNvPr id="23513" name="Picture 82" descr="ImagingService">
            <a:extLst>
              <a:ext uri="{FF2B5EF4-FFF2-40B4-BE49-F238E27FC236}">
                <a16:creationId xmlns:a16="http://schemas.microsoft.com/office/drawing/2014/main" id="{1B81CC6E-181A-04D2-809A-C63F40F3BC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3514" name="Picture 83">
            <a:extLst>
              <a:ext uri="{FF2B5EF4-FFF2-40B4-BE49-F238E27FC236}">
                <a16:creationId xmlns:a16="http://schemas.microsoft.com/office/drawing/2014/main" id="{BBF0EF1F-32E2-3081-1ADA-C80775785B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27</xdr:col>
      <xdr:colOff>304800</xdr:colOff>
      <xdr:row>0</xdr:row>
      <xdr:rowOff>304800</xdr:rowOff>
    </xdr:from>
    <xdr:to>
      <xdr:col>30</xdr:col>
      <xdr:colOff>0</xdr:colOff>
      <xdr:row>3</xdr:row>
      <xdr:rowOff>0</xdr:rowOff>
    </xdr:to>
    <xdr:pic>
      <xdr:nvPicPr>
        <xdr:cNvPr id="23500" name="Picture 84" descr="ImagingService">
          <a:extLst>
            <a:ext uri="{FF2B5EF4-FFF2-40B4-BE49-F238E27FC236}">
              <a16:creationId xmlns:a16="http://schemas.microsoft.com/office/drawing/2014/main" id="{BB79FE65-EEDB-E613-7418-635533FC4C7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880" t="14999" r="58943" b="68001"/>
        <a:stretch>
          <a:fillRect/>
        </a:stretch>
      </xdr:blipFill>
      <xdr:spPr bwMode="auto">
        <a:xfrm>
          <a:off x="11315700" y="228600"/>
          <a:ext cx="8610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42</xdr:col>
      <xdr:colOff>304800</xdr:colOff>
      <xdr:row>0</xdr:row>
      <xdr:rowOff>289560</xdr:rowOff>
    </xdr:from>
    <xdr:to>
      <xdr:col>45</xdr:col>
      <xdr:colOff>0</xdr:colOff>
      <xdr:row>3</xdr:row>
      <xdr:rowOff>1905</xdr:rowOff>
    </xdr:to>
    <xdr:pic>
      <xdr:nvPicPr>
        <xdr:cNvPr id="23501" name="Picture 85" descr="ImagingService">
          <a:extLst>
            <a:ext uri="{FF2B5EF4-FFF2-40B4-BE49-F238E27FC236}">
              <a16:creationId xmlns:a16="http://schemas.microsoft.com/office/drawing/2014/main" id="{4174D362-5669-79F5-1096-9D482BB61E3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880" t="14999" r="58943" b="68001"/>
        <a:stretch>
          <a:fillRect/>
        </a:stretch>
      </xdr:blipFill>
      <xdr:spPr bwMode="auto">
        <a:xfrm>
          <a:off x="17404080" y="228600"/>
          <a:ext cx="8610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57</xdr:col>
      <xdr:colOff>304800</xdr:colOff>
      <xdr:row>0</xdr:row>
      <xdr:rowOff>289560</xdr:rowOff>
    </xdr:from>
    <xdr:to>
      <xdr:col>60</xdr:col>
      <xdr:colOff>0</xdr:colOff>
      <xdr:row>3</xdr:row>
      <xdr:rowOff>1905</xdr:rowOff>
    </xdr:to>
    <xdr:pic>
      <xdr:nvPicPr>
        <xdr:cNvPr id="23502" name="Picture 86" descr="ImagingService">
          <a:extLst>
            <a:ext uri="{FF2B5EF4-FFF2-40B4-BE49-F238E27FC236}">
              <a16:creationId xmlns:a16="http://schemas.microsoft.com/office/drawing/2014/main" id="{350C4433-3474-03F1-B2E4-CCC7201C01E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880" t="14999" r="58943" b="68001"/>
        <a:stretch>
          <a:fillRect/>
        </a:stretch>
      </xdr:blipFill>
      <xdr:spPr bwMode="auto">
        <a:xfrm>
          <a:off x="23500080" y="228600"/>
          <a:ext cx="86106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0</xdr:colOff>
      <xdr:row>2</xdr:row>
      <xdr:rowOff>0</xdr:rowOff>
    </xdr:from>
    <xdr:to>
      <xdr:col>24</xdr:col>
      <xdr:colOff>342900</xdr:colOff>
      <xdr:row>4</xdr:row>
      <xdr:rowOff>3810</xdr:rowOff>
    </xdr:to>
    <xdr:pic>
      <xdr:nvPicPr>
        <xdr:cNvPr id="23503" name="Picture 87" descr="ImagingService">
          <a:extLst>
            <a:ext uri="{FF2B5EF4-FFF2-40B4-BE49-F238E27FC236}">
              <a16:creationId xmlns:a16="http://schemas.microsoft.com/office/drawing/2014/main" id="{5F1DCBB2-DD5B-AAB7-CFB8-89574328B5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6408420" y="388620"/>
          <a:ext cx="377952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0</xdr:colOff>
      <xdr:row>2</xdr:row>
      <xdr:rowOff>0</xdr:rowOff>
    </xdr:from>
    <xdr:to>
      <xdr:col>39</xdr:col>
      <xdr:colOff>342900</xdr:colOff>
      <xdr:row>4</xdr:row>
      <xdr:rowOff>3810</xdr:rowOff>
    </xdr:to>
    <xdr:pic>
      <xdr:nvPicPr>
        <xdr:cNvPr id="23504" name="Picture 88" descr="ImagingService">
          <a:extLst>
            <a:ext uri="{FF2B5EF4-FFF2-40B4-BE49-F238E27FC236}">
              <a16:creationId xmlns:a16="http://schemas.microsoft.com/office/drawing/2014/main" id="{BB78FC10-DEC1-3AD7-C530-96E6D78931A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12496800" y="388620"/>
          <a:ext cx="377952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2</xdr:row>
      <xdr:rowOff>0</xdr:rowOff>
    </xdr:from>
    <xdr:to>
      <xdr:col>54</xdr:col>
      <xdr:colOff>335280</xdr:colOff>
      <xdr:row>4</xdr:row>
      <xdr:rowOff>3810</xdr:rowOff>
    </xdr:to>
    <xdr:pic>
      <xdr:nvPicPr>
        <xdr:cNvPr id="23505" name="Picture 89" descr="ImagingService">
          <a:extLst>
            <a:ext uri="{FF2B5EF4-FFF2-40B4-BE49-F238E27FC236}">
              <a16:creationId xmlns:a16="http://schemas.microsoft.com/office/drawing/2014/main" id="{B269831D-E6D0-EAA7-07EA-EDAA6988A7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18585180" y="388620"/>
          <a:ext cx="377952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0</xdr:colOff>
      <xdr:row>4</xdr:row>
      <xdr:rowOff>0</xdr:rowOff>
    </xdr:from>
    <xdr:to>
      <xdr:col>20</xdr:col>
      <xdr:colOff>114300</xdr:colOff>
      <xdr:row>5</xdr:row>
      <xdr:rowOff>158115</xdr:rowOff>
    </xdr:to>
    <xdr:pic>
      <xdr:nvPicPr>
        <xdr:cNvPr id="23506" name="Picture 91">
          <a:extLst>
            <a:ext uri="{FF2B5EF4-FFF2-40B4-BE49-F238E27FC236}">
              <a16:creationId xmlns:a16="http://schemas.microsoft.com/office/drawing/2014/main" id="{1E6E6E0F-D109-C30F-193C-6E8A6564AD1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408420" y="792480"/>
          <a:ext cx="199644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0</xdr:colOff>
      <xdr:row>4</xdr:row>
      <xdr:rowOff>0</xdr:rowOff>
    </xdr:from>
    <xdr:to>
      <xdr:col>35</xdr:col>
      <xdr:colOff>114300</xdr:colOff>
      <xdr:row>5</xdr:row>
      <xdr:rowOff>158115</xdr:rowOff>
    </xdr:to>
    <xdr:pic>
      <xdr:nvPicPr>
        <xdr:cNvPr id="23507" name="Picture 92">
          <a:extLst>
            <a:ext uri="{FF2B5EF4-FFF2-40B4-BE49-F238E27FC236}">
              <a16:creationId xmlns:a16="http://schemas.microsoft.com/office/drawing/2014/main" id="{6221CF87-6CF4-6ADE-EDE7-18B5FD378AC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96800" y="792480"/>
          <a:ext cx="199644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4</xdr:row>
      <xdr:rowOff>0</xdr:rowOff>
    </xdr:from>
    <xdr:to>
      <xdr:col>50</xdr:col>
      <xdr:colOff>83820</xdr:colOff>
      <xdr:row>5</xdr:row>
      <xdr:rowOff>158115</xdr:rowOff>
    </xdr:to>
    <xdr:pic>
      <xdr:nvPicPr>
        <xdr:cNvPr id="23508" name="Picture 94">
          <a:extLst>
            <a:ext uri="{FF2B5EF4-FFF2-40B4-BE49-F238E27FC236}">
              <a16:creationId xmlns:a16="http://schemas.microsoft.com/office/drawing/2014/main" id="{6F75DF52-289D-8806-1911-306019D2C15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585180" y="792480"/>
          <a:ext cx="197358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784860</xdr:colOff>
      <xdr:row>55</xdr:row>
      <xdr:rowOff>7620</xdr:rowOff>
    </xdr:from>
    <xdr:to>
      <xdr:col>29</xdr:col>
      <xdr:colOff>45720</xdr:colOff>
      <xdr:row>59</xdr:row>
      <xdr:rowOff>0</xdr:rowOff>
    </xdr:to>
    <xdr:pic>
      <xdr:nvPicPr>
        <xdr:cNvPr id="23509" name="1 Imagen">
          <a:extLst>
            <a:ext uri="{FF2B5EF4-FFF2-40B4-BE49-F238E27FC236}">
              <a16:creationId xmlns:a16="http://schemas.microsoft.com/office/drawing/2014/main" id="{46BF9534-61CE-C5AC-943D-040C8F9D93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233660" y="9540240"/>
          <a:ext cx="160020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0</xdr:colOff>
      <xdr:row>55</xdr:row>
      <xdr:rowOff>7620</xdr:rowOff>
    </xdr:from>
    <xdr:to>
      <xdr:col>44</xdr:col>
      <xdr:colOff>83820</xdr:colOff>
      <xdr:row>58</xdr:row>
      <xdr:rowOff>158115</xdr:rowOff>
    </xdr:to>
    <xdr:pic>
      <xdr:nvPicPr>
        <xdr:cNvPr id="23510" name="1 Imagen">
          <a:extLst>
            <a:ext uri="{FF2B5EF4-FFF2-40B4-BE49-F238E27FC236}">
              <a16:creationId xmlns:a16="http://schemas.microsoft.com/office/drawing/2014/main" id="{B1B48661-0FE6-657F-E6B5-82552360259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6322040" y="9540240"/>
          <a:ext cx="163830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54</xdr:col>
      <xdr:colOff>861060</xdr:colOff>
      <xdr:row>55</xdr:row>
      <xdr:rowOff>7620</xdr:rowOff>
    </xdr:from>
    <xdr:to>
      <xdr:col>59</xdr:col>
      <xdr:colOff>76200</xdr:colOff>
      <xdr:row>59</xdr:row>
      <xdr:rowOff>0</xdr:rowOff>
    </xdr:to>
    <xdr:pic>
      <xdr:nvPicPr>
        <xdr:cNvPr id="23511" name="1 Imagen">
          <a:extLst>
            <a:ext uri="{FF2B5EF4-FFF2-40B4-BE49-F238E27FC236}">
              <a16:creationId xmlns:a16="http://schemas.microsoft.com/office/drawing/2014/main" id="{65A2DC07-E183-180D-A188-C1C05A7BFFF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2418040" y="9540240"/>
          <a:ext cx="163068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845820</xdr:colOff>
      <xdr:row>55</xdr:row>
      <xdr:rowOff>7620</xdr:rowOff>
    </xdr:from>
    <xdr:to>
      <xdr:col>14</xdr:col>
      <xdr:colOff>144780</xdr:colOff>
      <xdr:row>58</xdr:row>
      <xdr:rowOff>158115</xdr:rowOff>
    </xdr:to>
    <xdr:pic>
      <xdr:nvPicPr>
        <xdr:cNvPr id="23512" name="1 Imagen">
          <a:extLst>
            <a:ext uri="{FF2B5EF4-FFF2-40B4-BE49-F238E27FC236}">
              <a16:creationId xmlns:a16="http://schemas.microsoft.com/office/drawing/2014/main" id="{0BA55CB0-EF21-6308-463B-38C3C340F17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145280" y="9540240"/>
          <a:ext cx="169926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7620</xdr:colOff>
      <xdr:row>3</xdr:row>
      <xdr:rowOff>472440</xdr:rowOff>
    </xdr:from>
    <xdr:to>
      <xdr:col>3</xdr:col>
      <xdr:colOff>556260</xdr:colOff>
      <xdr:row>5</xdr:row>
      <xdr:rowOff>158115</xdr:rowOff>
    </xdr:to>
    <xdr:pic>
      <xdr:nvPicPr>
        <xdr:cNvPr id="33061" name="Picture 31" descr="ImagingService">
          <a:extLst>
            <a:ext uri="{FF2B5EF4-FFF2-40B4-BE49-F238E27FC236}">
              <a16:creationId xmlns:a16="http://schemas.microsoft.com/office/drawing/2014/main" id="{793848D6-2D2C-80A6-2E7E-2F2AAE3BDA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7751" b="82333"/>
        <a:stretch>
          <a:fillRect/>
        </a:stretch>
      </xdr:blipFill>
      <xdr:spPr bwMode="auto">
        <a:xfrm>
          <a:off x="327660" y="845820"/>
          <a:ext cx="166116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4</xdr:row>
      <xdr:rowOff>0</xdr:rowOff>
    </xdr:from>
    <xdr:to>
      <xdr:col>12</xdr:col>
      <xdr:colOff>533400</xdr:colOff>
      <xdr:row>5</xdr:row>
      <xdr:rowOff>160020</xdr:rowOff>
    </xdr:to>
    <xdr:pic>
      <xdr:nvPicPr>
        <xdr:cNvPr id="33062" name="Picture 37" descr="ImagingService">
          <a:extLst>
            <a:ext uri="{FF2B5EF4-FFF2-40B4-BE49-F238E27FC236}">
              <a16:creationId xmlns:a16="http://schemas.microsoft.com/office/drawing/2014/main" id="{14D03896-97F2-5818-C2BD-7910739D0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7751" b="82333"/>
        <a:stretch>
          <a:fillRect/>
        </a:stretch>
      </xdr:blipFill>
      <xdr:spPr bwMode="auto">
        <a:xfrm>
          <a:off x="6713220" y="845820"/>
          <a:ext cx="164592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7620</xdr:colOff>
      <xdr:row>4</xdr:row>
      <xdr:rowOff>7620</xdr:rowOff>
    </xdr:from>
    <xdr:to>
      <xdr:col>21</xdr:col>
      <xdr:colOff>556260</xdr:colOff>
      <xdr:row>5</xdr:row>
      <xdr:rowOff>160020</xdr:rowOff>
    </xdr:to>
    <xdr:pic>
      <xdr:nvPicPr>
        <xdr:cNvPr id="33063" name="Picture 43" descr="ImagingService">
          <a:extLst>
            <a:ext uri="{FF2B5EF4-FFF2-40B4-BE49-F238E27FC236}">
              <a16:creationId xmlns:a16="http://schemas.microsoft.com/office/drawing/2014/main" id="{B4FF97B2-D147-BD4A-970C-07E52E5C2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7751" b="82333"/>
        <a:stretch>
          <a:fillRect/>
        </a:stretch>
      </xdr:blipFill>
      <xdr:spPr bwMode="auto">
        <a:xfrm>
          <a:off x="13114020" y="853440"/>
          <a:ext cx="16611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0</xdr:colOff>
      <xdr:row>4</xdr:row>
      <xdr:rowOff>7620</xdr:rowOff>
    </xdr:from>
    <xdr:to>
      <xdr:col>30</xdr:col>
      <xdr:colOff>533400</xdr:colOff>
      <xdr:row>5</xdr:row>
      <xdr:rowOff>160020</xdr:rowOff>
    </xdr:to>
    <xdr:pic>
      <xdr:nvPicPr>
        <xdr:cNvPr id="33064" name="Picture 49" descr="ImagingService">
          <a:extLst>
            <a:ext uri="{FF2B5EF4-FFF2-40B4-BE49-F238E27FC236}">
              <a16:creationId xmlns:a16="http://schemas.microsoft.com/office/drawing/2014/main" id="{1455AA9A-A213-DFE3-A731-8575B3FE05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7751" b="82333"/>
        <a:stretch>
          <a:fillRect/>
        </a:stretch>
      </xdr:blipFill>
      <xdr:spPr bwMode="auto">
        <a:xfrm>
          <a:off x="19499580" y="853440"/>
          <a:ext cx="164592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0</xdr:colOff>
      <xdr:row>4</xdr:row>
      <xdr:rowOff>7620</xdr:rowOff>
    </xdr:from>
    <xdr:to>
      <xdr:col>39</xdr:col>
      <xdr:colOff>533400</xdr:colOff>
      <xdr:row>5</xdr:row>
      <xdr:rowOff>160020</xdr:rowOff>
    </xdr:to>
    <xdr:pic>
      <xdr:nvPicPr>
        <xdr:cNvPr id="33065" name="Picture 55" descr="ImagingService">
          <a:extLst>
            <a:ext uri="{FF2B5EF4-FFF2-40B4-BE49-F238E27FC236}">
              <a16:creationId xmlns:a16="http://schemas.microsoft.com/office/drawing/2014/main" id="{326954FC-BDEA-68FF-45CF-BA987F1D8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7751" b="82333"/>
        <a:stretch>
          <a:fillRect/>
        </a:stretch>
      </xdr:blipFill>
      <xdr:spPr bwMode="auto">
        <a:xfrm>
          <a:off x="25892760" y="853440"/>
          <a:ext cx="164592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4</xdr:row>
      <xdr:rowOff>0</xdr:rowOff>
    </xdr:from>
    <xdr:to>
      <xdr:col>48</xdr:col>
      <xdr:colOff>533400</xdr:colOff>
      <xdr:row>5</xdr:row>
      <xdr:rowOff>160020</xdr:rowOff>
    </xdr:to>
    <xdr:pic>
      <xdr:nvPicPr>
        <xdr:cNvPr id="33066" name="Picture 61" descr="ImagingService">
          <a:extLst>
            <a:ext uri="{FF2B5EF4-FFF2-40B4-BE49-F238E27FC236}">
              <a16:creationId xmlns:a16="http://schemas.microsoft.com/office/drawing/2014/main" id="{C727EC1E-58F9-33B5-BD34-9EB9B30F52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7751" b="82333"/>
        <a:stretch>
          <a:fillRect/>
        </a:stretch>
      </xdr:blipFill>
      <xdr:spPr bwMode="auto">
        <a:xfrm>
          <a:off x="32285940" y="845820"/>
          <a:ext cx="164592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55</xdr:col>
      <xdr:colOff>7620</xdr:colOff>
      <xdr:row>4</xdr:row>
      <xdr:rowOff>0</xdr:rowOff>
    </xdr:from>
    <xdr:to>
      <xdr:col>57</xdr:col>
      <xdr:colOff>556260</xdr:colOff>
      <xdr:row>5</xdr:row>
      <xdr:rowOff>160020</xdr:rowOff>
    </xdr:to>
    <xdr:pic>
      <xdr:nvPicPr>
        <xdr:cNvPr id="33067" name="Picture 67" descr="ImagingService">
          <a:extLst>
            <a:ext uri="{FF2B5EF4-FFF2-40B4-BE49-F238E27FC236}">
              <a16:creationId xmlns:a16="http://schemas.microsoft.com/office/drawing/2014/main" id="{6A064A37-C20B-6E65-2380-7911DC26C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67751" b="82333"/>
        <a:stretch>
          <a:fillRect/>
        </a:stretch>
      </xdr:blipFill>
      <xdr:spPr bwMode="auto">
        <a:xfrm>
          <a:off x="38686740" y="845820"/>
          <a:ext cx="166116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9</xdr:col>
      <xdr:colOff>0</xdr:colOff>
      <xdr:row>2</xdr:row>
      <xdr:rowOff>68580</xdr:rowOff>
    </xdr:to>
    <xdr:grpSp>
      <xdr:nvGrpSpPr>
        <xdr:cNvPr id="33068" name="Group 131">
          <a:extLst>
            <a:ext uri="{FF2B5EF4-FFF2-40B4-BE49-F238E27FC236}">
              <a16:creationId xmlns:a16="http://schemas.microsoft.com/office/drawing/2014/main" id="{AECDC47B-E575-3E12-6AEE-DA7BBAA59064}"/>
            </a:ext>
          </a:extLst>
        </xdr:cNvPr>
        <xdr:cNvGrpSpPr>
          <a:grpSpLocks/>
        </xdr:cNvGrpSpPr>
      </xdr:nvGrpSpPr>
      <xdr:grpSpPr bwMode="auto">
        <a:xfrm>
          <a:off x="314325" y="0"/>
          <a:ext cx="5648325" cy="459105"/>
          <a:chOff x="2538" y="0"/>
          <a:chExt cx="592" cy="44"/>
        </a:xfrm>
      </xdr:grpSpPr>
      <xdr:pic>
        <xdr:nvPicPr>
          <xdr:cNvPr id="33108" name="Picture 132" descr="ImagingService">
            <a:extLst>
              <a:ext uri="{FF2B5EF4-FFF2-40B4-BE49-F238E27FC236}">
                <a16:creationId xmlns:a16="http://schemas.microsoft.com/office/drawing/2014/main" id="{D9741F75-F148-767D-E5B7-697162091D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109" name="Picture 133">
            <a:extLst>
              <a:ext uri="{FF2B5EF4-FFF2-40B4-BE49-F238E27FC236}">
                <a16:creationId xmlns:a16="http://schemas.microsoft.com/office/drawing/2014/main" id="{3F1960A2-0399-54DA-C9D4-5324B02AF6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10</xdr:col>
      <xdr:colOff>0</xdr:colOff>
      <xdr:row>0</xdr:row>
      <xdr:rowOff>0</xdr:rowOff>
    </xdr:from>
    <xdr:to>
      <xdr:col>18</xdr:col>
      <xdr:colOff>0</xdr:colOff>
      <xdr:row>2</xdr:row>
      <xdr:rowOff>68580</xdr:rowOff>
    </xdr:to>
    <xdr:grpSp>
      <xdr:nvGrpSpPr>
        <xdr:cNvPr id="33069" name="Group 134">
          <a:extLst>
            <a:ext uri="{FF2B5EF4-FFF2-40B4-BE49-F238E27FC236}">
              <a16:creationId xmlns:a16="http://schemas.microsoft.com/office/drawing/2014/main" id="{32847752-1890-CED8-599B-C32E0E53A456}"/>
            </a:ext>
          </a:extLst>
        </xdr:cNvPr>
        <xdr:cNvGrpSpPr>
          <a:grpSpLocks/>
        </xdr:cNvGrpSpPr>
      </xdr:nvGrpSpPr>
      <xdr:grpSpPr bwMode="auto">
        <a:xfrm>
          <a:off x="6477000" y="0"/>
          <a:ext cx="5648325" cy="459105"/>
          <a:chOff x="2538" y="0"/>
          <a:chExt cx="592" cy="44"/>
        </a:xfrm>
      </xdr:grpSpPr>
      <xdr:pic>
        <xdr:nvPicPr>
          <xdr:cNvPr id="33106" name="Picture 135" descr="ImagingService">
            <a:extLst>
              <a:ext uri="{FF2B5EF4-FFF2-40B4-BE49-F238E27FC236}">
                <a16:creationId xmlns:a16="http://schemas.microsoft.com/office/drawing/2014/main" id="{E98B0556-694B-60ED-5633-092914914B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107" name="Picture 136">
            <a:extLst>
              <a:ext uri="{FF2B5EF4-FFF2-40B4-BE49-F238E27FC236}">
                <a16:creationId xmlns:a16="http://schemas.microsoft.com/office/drawing/2014/main" id="{A4426AF6-B7CC-920F-135E-31F1F3B9537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19</xdr:col>
      <xdr:colOff>0</xdr:colOff>
      <xdr:row>0</xdr:row>
      <xdr:rowOff>0</xdr:rowOff>
    </xdr:from>
    <xdr:to>
      <xdr:col>27</xdr:col>
      <xdr:colOff>0</xdr:colOff>
      <xdr:row>2</xdr:row>
      <xdr:rowOff>68580</xdr:rowOff>
    </xdr:to>
    <xdr:grpSp>
      <xdr:nvGrpSpPr>
        <xdr:cNvPr id="33070" name="Group 137">
          <a:extLst>
            <a:ext uri="{FF2B5EF4-FFF2-40B4-BE49-F238E27FC236}">
              <a16:creationId xmlns:a16="http://schemas.microsoft.com/office/drawing/2014/main" id="{FF1681FA-A5CD-E4B9-01A3-F81011975B9C}"/>
            </a:ext>
          </a:extLst>
        </xdr:cNvPr>
        <xdr:cNvGrpSpPr>
          <a:grpSpLocks/>
        </xdr:cNvGrpSpPr>
      </xdr:nvGrpSpPr>
      <xdr:grpSpPr bwMode="auto">
        <a:xfrm>
          <a:off x="12639675" y="0"/>
          <a:ext cx="5648325" cy="459105"/>
          <a:chOff x="2538" y="0"/>
          <a:chExt cx="592" cy="44"/>
        </a:xfrm>
      </xdr:grpSpPr>
      <xdr:pic>
        <xdr:nvPicPr>
          <xdr:cNvPr id="33104" name="Picture 138" descr="ImagingService">
            <a:extLst>
              <a:ext uri="{FF2B5EF4-FFF2-40B4-BE49-F238E27FC236}">
                <a16:creationId xmlns:a16="http://schemas.microsoft.com/office/drawing/2014/main" id="{E144590E-57A7-3E71-4F70-576748453A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105" name="Picture 139">
            <a:extLst>
              <a:ext uri="{FF2B5EF4-FFF2-40B4-BE49-F238E27FC236}">
                <a16:creationId xmlns:a16="http://schemas.microsoft.com/office/drawing/2014/main" id="{CDBE5365-1E06-F659-FAC8-883ADF5834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28</xdr:col>
      <xdr:colOff>0</xdr:colOff>
      <xdr:row>0</xdr:row>
      <xdr:rowOff>0</xdr:rowOff>
    </xdr:from>
    <xdr:to>
      <xdr:col>36</xdr:col>
      <xdr:colOff>0</xdr:colOff>
      <xdr:row>2</xdr:row>
      <xdr:rowOff>68580</xdr:rowOff>
    </xdr:to>
    <xdr:grpSp>
      <xdr:nvGrpSpPr>
        <xdr:cNvPr id="33071" name="Group 140">
          <a:extLst>
            <a:ext uri="{FF2B5EF4-FFF2-40B4-BE49-F238E27FC236}">
              <a16:creationId xmlns:a16="http://schemas.microsoft.com/office/drawing/2014/main" id="{3D1EA59B-AA62-8984-3B8F-1B6AFDFE4546}"/>
            </a:ext>
          </a:extLst>
        </xdr:cNvPr>
        <xdr:cNvGrpSpPr>
          <a:grpSpLocks/>
        </xdr:cNvGrpSpPr>
      </xdr:nvGrpSpPr>
      <xdr:grpSpPr bwMode="auto">
        <a:xfrm>
          <a:off x="18802350" y="0"/>
          <a:ext cx="5648325" cy="459105"/>
          <a:chOff x="2538" y="0"/>
          <a:chExt cx="592" cy="44"/>
        </a:xfrm>
      </xdr:grpSpPr>
      <xdr:pic>
        <xdr:nvPicPr>
          <xdr:cNvPr id="33102" name="Picture 141" descr="ImagingService">
            <a:extLst>
              <a:ext uri="{FF2B5EF4-FFF2-40B4-BE49-F238E27FC236}">
                <a16:creationId xmlns:a16="http://schemas.microsoft.com/office/drawing/2014/main" id="{444CCDBB-2F87-B8B0-1FA8-6F34219D00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103" name="Picture 142">
            <a:extLst>
              <a:ext uri="{FF2B5EF4-FFF2-40B4-BE49-F238E27FC236}">
                <a16:creationId xmlns:a16="http://schemas.microsoft.com/office/drawing/2014/main" id="{269BC927-EF00-E60F-5F9B-A77EFD2C2B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37</xdr:col>
      <xdr:colOff>0</xdr:colOff>
      <xdr:row>0</xdr:row>
      <xdr:rowOff>0</xdr:rowOff>
    </xdr:from>
    <xdr:to>
      <xdr:col>45</xdr:col>
      <xdr:colOff>0</xdr:colOff>
      <xdr:row>2</xdr:row>
      <xdr:rowOff>68580</xdr:rowOff>
    </xdr:to>
    <xdr:grpSp>
      <xdr:nvGrpSpPr>
        <xdr:cNvPr id="33072" name="Group 143">
          <a:extLst>
            <a:ext uri="{FF2B5EF4-FFF2-40B4-BE49-F238E27FC236}">
              <a16:creationId xmlns:a16="http://schemas.microsoft.com/office/drawing/2014/main" id="{A6442889-4863-EFBE-B430-7AB9FBD2C3A0}"/>
            </a:ext>
          </a:extLst>
        </xdr:cNvPr>
        <xdr:cNvGrpSpPr>
          <a:grpSpLocks/>
        </xdr:cNvGrpSpPr>
      </xdr:nvGrpSpPr>
      <xdr:grpSpPr bwMode="auto">
        <a:xfrm>
          <a:off x="24965025" y="0"/>
          <a:ext cx="5648325" cy="459105"/>
          <a:chOff x="2538" y="0"/>
          <a:chExt cx="592" cy="44"/>
        </a:xfrm>
      </xdr:grpSpPr>
      <xdr:pic>
        <xdr:nvPicPr>
          <xdr:cNvPr id="33100" name="Picture 144" descr="ImagingService">
            <a:extLst>
              <a:ext uri="{FF2B5EF4-FFF2-40B4-BE49-F238E27FC236}">
                <a16:creationId xmlns:a16="http://schemas.microsoft.com/office/drawing/2014/main" id="{5DC846A2-F126-770D-CFB7-6B511EA6D2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101" name="Picture 145">
            <a:extLst>
              <a:ext uri="{FF2B5EF4-FFF2-40B4-BE49-F238E27FC236}">
                <a16:creationId xmlns:a16="http://schemas.microsoft.com/office/drawing/2014/main" id="{042C53D2-C1F4-CEF2-487E-2B19E74DED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46</xdr:col>
      <xdr:colOff>0</xdr:colOff>
      <xdr:row>0</xdr:row>
      <xdr:rowOff>0</xdr:rowOff>
    </xdr:from>
    <xdr:to>
      <xdr:col>54</xdr:col>
      <xdr:colOff>0</xdr:colOff>
      <xdr:row>2</xdr:row>
      <xdr:rowOff>68580</xdr:rowOff>
    </xdr:to>
    <xdr:grpSp>
      <xdr:nvGrpSpPr>
        <xdr:cNvPr id="33073" name="Group 146">
          <a:extLst>
            <a:ext uri="{FF2B5EF4-FFF2-40B4-BE49-F238E27FC236}">
              <a16:creationId xmlns:a16="http://schemas.microsoft.com/office/drawing/2014/main" id="{7C283220-F8F9-19FB-1AC8-FE7895941F09}"/>
            </a:ext>
          </a:extLst>
        </xdr:cNvPr>
        <xdr:cNvGrpSpPr>
          <a:grpSpLocks/>
        </xdr:cNvGrpSpPr>
      </xdr:nvGrpSpPr>
      <xdr:grpSpPr bwMode="auto">
        <a:xfrm>
          <a:off x="31127700" y="0"/>
          <a:ext cx="5648325" cy="459105"/>
          <a:chOff x="2538" y="0"/>
          <a:chExt cx="592" cy="44"/>
        </a:xfrm>
      </xdr:grpSpPr>
      <xdr:pic>
        <xdr:nvPicPr>
          <xdr:cNvPr id="33098" name="Picture 147" descr="ImagingService">
            <a:extLst>
              <a:ext uri="{FF2B5EF4-FFF2-40B4-BE49-F238E27FC236}">
                <a16:creationId xmlns:a16="http://schemas.microsoft.com/office/drawing/2014/main" id="{CA26474A-072F-EE91-F25A-4AF563A383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099" name="Picture 148">
            <a:extLst>
              <a:ext uri="{FF2B5EF4-FFF2-40B4-BE49-F238E27FC236}">
                <a16:creationId xmlns:a16="http://schemas.microsoft.com/office/drawing/2014/main" id="{27E8B9B4-A9E3-8777-4F13-E3E4F56FA0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55</xdr:col>
      <xdr:colOff>0</xdr:colOff>
      <xdr:row>0</xdr:row>
      <xdr:rowOff>0</xdr:rowOff>
    </xdr:from>
    <xdr:to>
      <xdr:col>63</xdr:col>
      <xdr:colOff>0</xdr:colOff>
      <xdr:row>2</xdr:row>
      <xdr:rowOff>68580</xdr:rowOff>
    </xdr:to>
    <xdr:grpSp>
      <xdr:nvGrpSpPr>
        <xdr:cNvPr id="33074" name="Group 149">
          <a:extLst>
            <a:ext uri="{FF2B5EF4-FFF2-40B4-BE49-F238E27FC236}">
              <a16:creationId xmlns:a16="http://schemas.microsoft.com/office/drawing/2014/main" id="{062DC497-EEB4-E9DB-A92C-70B7AF5AA004}"/>
            </a:ext>
          </a:extLst>
        </xdr:cNvPr>
        <xdr:cNvGrpSpPr>
          <a:grpSpLocks/>
        </xdr:cNvGrpSpPr>
      </xdr:nvGrpSpPr>
      <xdr:grpSpPr bwMode="auto">
        <a:xfrm>
          <a:off x="37290375" y="0"/>
          <a:ext cx="5648325" cy="459105"/>
          <a:chOff x="2538" y="0"/>
          <a:chExt cx="592" cy="44"/>
        </a:xfrm>
      </xdr:grpSpPr>
      <xdr:pic>
        <xdr:nvPicPr>
          <xdr:cNvPr id="33096" name="Picture 150" descr="ImagingService">
            <a:extLst>
              <a:ext uri="{FF2B5EF4-FFF2-40B4-BE49-F238E27FC236}">
                <a16:creationId xmlns:a16="http://schemas.microsoft.com/office/drawing/2014/main" id="{7B46F210-BEC1-1823-2203-2155874A53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3097" name="Picture 151">
            <a:extLst>
              <a:ext uri="{FF2B5EF4-FFF2-40B4-BE49-F238E27FC236}">
                <a16:creationId xmlns:a16="http://schemas.microsoft.com/office/drawing/2014/main" id="{E0B11AB6-11E4-9250-D8FA-601BD33B3D3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0</xdr:colOff>
      <xdr:row>2</xdr:row>
      <xdr:rowOff>45720</xdr:rowOff>
    </xdr:from>
    <xdr:to>
      <xdr:col>6</xdr:col>
      <xdr:colOff>358140</xdr:colOff>
      <xdr:row>4</xdr:row>
      <xdr:rowOff>0</xdr:rowOff>
    </xdr:to>
    <xdr:pic>
      <xdr:nvPicPr>
        <xdr:cNvPr id="33075" name="Picture 152" descr="ImagingService">
          <a:extLst>
            <a:ext uri="{FF2B5EF4-FFF2-40B4-BE49-F238E27FC236}">
              <a16:creationId xmlns:a16="http://schemas.microsoft.com/office/drawing/2014/main" id="{CEEA48BB-3FE4-E885-5B97-C2F7BE7524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20040" y="434340"/>
          <a:ext cx="384810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2</xdr:row>
      <xdr:rowOff>45720</xdr:rowOff>
    </xdr:from>
    <xdr:to>
      <xdr:col>15</xdr:col>
      <xdr:colOff>358140</xdr:colOff>
      <xdr:row>4</xdr:row>
      <xdr:rowOff>0</xdr:rowOff>
    </xdr:to>
    <xdr:pic>
      <xdr:nvPicPr>
        <xdr:cNvPr id="33076" name="Picture 153" descr="ImagingService">
          <a:extLst>
            <a:ext uri="{FF2B5EF4-FFF2-40B4-BE49-F238E27FC236}">
              <a16:creationId xmlns:a16="http://schemas.microsoft.com/office/drawing/2014/main" id="{6A6D5A9D-F32D-A4EC-0519-9CB0FABEA6E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6713220" y="434340"/>
          <a:ext cx="384810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2</xdr:row>
      <xdr:rowOff>45720</xdr:rowOff>
    </xdr:from>
    <xdr:to>
      <xdr:col>24</xdr:col>
      <xdr:colOff>358140</xdr:colOff>
      <xdr:row>4</xdr:row>
      <xdr:rowOff>0</xdr:rowOff>
    </xdr:to>
    <xdr:pic>
      <xdr:nvPicPr>
        <xdr:cNvPr id="33077" name="Picture 154" descr="ImagingService">
          <a:extLst>
            <a:ext uri="{FF2B5EF4-FFF2-40B4-BE49-F238E27FC236}">
              <a16:creationId xmlns:a16="http://schemas.microsoft.com/office/drawing/2014/main" id="{E4A3203E-F64E-09D7-013F-1EA69C428E0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13106400" y="434340"/>
          <a:ext cx="384810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0</xdr:colOff>
      <xdr:row>2</xdr:row>
      <xdr:rowOff>45720</xdr:rowOff>
    </xdr:from>
    <xdr:to>
      <xdr:col>33</xdr:col>
      <xdr:colOff>358140</xdr:colOff>
      <xdr:row>4</xdr:row>
      <xdr:rowOff>0</xdr:rowOff>
    </xdr:to>
    <xdr:pic>
      <xdr:nvPicPr>
        <xdr:cNvPr id="33078" name="Picture 155" descr="ImagingService">
          <a:extLst>
            <a:ext uri="{FF2B5EF4-FFF2-40B4-BE49-F238E27FC236}">
              <a16:creationId xmlns:a16="http://schemas.microsoft.com/office/drawing/2014/main" id="{C827F504-B524-BBB5-0CC0-B0DC7EEC3F3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19499580" y="434340"/>
          <a:ext cx="384810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37</xdr:col>
      <xdr:colOff>0</xdr:colOff>
      <xdr:row>2</xdr:row>
      <xdr:rowOff>45720</xdr:rowOff>
    </xdr:from>
    <xdr:to>
      <xdr:col>42</xdr:col>
      <xdr:colOff>358140</xdr:colOff>
      <xdr:row>4</xdr:row>
      <xdr:rowOff>0</xdr:rowOff>
    </xdr:to>
    <xdr:pic>
      <xdr:nvPicPr>
        <xdr:cNvPr id="33079" name="Picture 156" descr="ImagingService">
          <a:extLst>
            <a:ext uri="{FF2B5EF4-FFF2-40B4-BE49-F238E27FC236}">
              <a16:creationId xmlns:a16="http://schemas.microsoft.com/office/drawing/2014/main" id="{0A0D56F9-D8AC-C852-2B41-99D71DE9F26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25892760" y="434340"/>
          <a:ext cx="384810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0</xdr:colOff>
      <xdr:row>2</xdr:row>
      <xdr:rowOff>45720</xdr:rowOff>
    </xdr:from>
    <xdr:to>
      <xdr:col>51</xdr:col>
      <xdr:colOff>358140</xdr:colOff>
      <xdr:row>4</xdr:row>
      <xdr:rowOff>0</xdr:rowOff>
    </xdr:to>
    <xdr:pic>
      <xdr:nvPicPr>
        <xdr:cNvPr id="33080" name="Picture 157" descr="ImagingService">
          <a:extLst>
            <a:ext uri="{FF2B5EF4-FFF2-40B4-BE49-F238E27FC236}">
              <a16:creationId xmlns:a16="http://schemas.microsoft.com/office/drawing/2014/main" id="{461DB5D4-9E4B-31D0-D76D-4423C75110F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2285940" y="434340"/>
          <a:ext cx="384810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55</xdr:col>
      <xdr:colOff>0</xdr:colOff>
      <xdr:row>2</xdr:row>
      <xdr:rowOff>45720</xdr:rowOff>
    </xdr:from>
    <xdr:to>
      <xdr:col>60</xdr:col>
      <xdr:colOff>358140</xdr:colOff>
      <xdr:row>4</xdr:row>
      <xdr:rowOff>0</xdr:rowOff>
    </xdr:to>
    <xdr:pic>
      <xdr:nvPicPr>
        <xdr:cNvPr id="33081" name="Picture 158" descr="ImagingService">
          <a:extLst>
            <a:ext uri="{FF2B5EF4-FFF2-40B4-BE49-F238E27FC236}">
              <a16:creationId xmlns:a16="http://schemas.microsoft.com/office/drawing/2014/main" id="{3F6387EB-5FE8-8F11-C137-704FC0A2229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8679120" y="434340"/>
          <a:ext cx="3848100"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1082040</xdr:colOff>
      <xdr:row>0</xdr:row>
      <xdr:rowOff>304800</xdr:rowOff>
    </xdr:from>
    <xdr:to>
      <xdr:col>9</xdr:col>
      <xdr:colOff>0</xdr:colOff>
      <xdr:row>2</xdr:row>
      <xdr:rowOff>236220</xdr:rowOff>
    </xdr:to>
    <xdr:pic>
      <xdr:nvPicPr>
        <xdr:cNvPr id="33082" name="Picture 159" descr="ImagingService">
          <a:extLst>
            <a:ext uri="{FF2B5EF4-FFF2-40B4-BE49-F238E27FC236}">
              <a16:creationId xmlns:a16="http://schemas.microsoft.com/office/drawing/2014/main" id="{76E20F24-D653-7F20-FBE4-909A32BE1B4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51627" t="15334" r="32927" b="67999"/>
        <a:stretch>
          <a:fillRect/>
        </a:stretch>
      </xdr:blipFill>
      <xdr:spPr bwMode="auto">
        <a:xfrm>
          <a:off x="539496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1082040</xdr:colOff>
      <xdr:row>0</xdr:row>
      <xdr:rowOff>228600</xdr:rowOff>
    </xdr:from>
    <xdr:to>
      <xdr:col>18</xdr:col>
      <xdr:colOff>0</xdr:colOff>
      <xdr:row>3</xdr:row>
      <xdr:rowOff>1905</xdr:rowOff>
    </xdr:to>
    <xdr:pic>
      <xdr:nvPicPr>
        <xdr:cNvPr id="33083" name="Picture 160" descr="ImagingService">
          <a:extLst>
            <a:ext uri="{FF2B5EF4-FFF2-40B4-BE49-F238E27FC236}">
              <a16:creationId xmlns:a16="http://schemas.microsoft.com/office/drawing/2014/main" id="{001E160D-6E8F-8EA4-74D6-092980D5351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51627" t="15334" r="32927" b="67999"/>
        <a:stretch>
          <a:fillRect/>
        </a:stretch>
      </xdr:blipFill>
      <xdr:spPr bwMode="auto">
        <a:xfrm>
          <a:off x="1178814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1066800</xdr:colOff>
      <xdr:row>0</xdr:row>
      <xdr:rowOff>228600</xdr:rowOff>
    </xdr:from>
    <xdr:to>
      <xdr:col>26</xdr:col>
      <xdr:colOff>758190</xdr:colOff>
      <xdr:row>3</xdr:row>
      <xdr:rowOff>1905</xdr:rowOff>
    </xdr:to>
    <xdr:pic>
      <xdr:nvPicPr>
        <xdr:cNvPr id="33084" name="Picture 161" descr="ImagingService">
          <a:extLst>
            <a:ext uri="{FF2B5EF4-FFF2-40B4-BE49-F238E27FC236}">
              <a16:creationId xmlns:a16="http://schemas.microsoft.com/office/drawing/2014/main" id="{F2E59189-D81E-A350-EA98-19330029F6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51627" t="15334" r="32927" b="67999"/>
        <a:stretch>
          <a:fillRect/>
        </a:stretch>
      </xdr:blipFill>
      <xdr:spPr bwMode="auto">
        <a:xfrm>
          <a:off x="1818132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1082040</xdr:colOff>
      <xdr:row>0</xdr:row>
      <xdr:rowOff>289560</xdr:rowOff>
    </xdr:from>
    <xdr:to>
      <xdr:col>36</xdr:col>
      <xdr:colOff>0</xdr:colOff>
      <xdr:row>3</xdr:row>
      <xdr:rowOff>1905</xdr:rowOff>
    </xdr:to>
    <xdr:pic>
      <xdr:nvPicPr>
        <xdr:cNvPr id="33085" name="Picture 162" descr="ImagingService">
          <a:extLst>
            <a:ext uri="{FF2B5EF4-FFF2-40B4-BE49-F238E27FC236}">
              <a16:creationId xmlns:a16="http://schemas.microsoft.com/office/drawing/2014/main" id="{28638EB6-E32F-2A28-2C4B-F74637D950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51627" t="15334" r="32927" b="67999"/>
        <a:stretch>
          <a:fillRect/>
        </a:stretch>
      </xdr:blipFill>
      <xdr:spPr bwMode="auto">
        <a:xfrm>
          <a:off x="2457450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43</xdr:col>
      <xdr:colOff>1120140</xdr:colOff>
      <xdr:row>0</xdr:row>
      <xdr:rowOff>289560</xdr:rowOff>
    </xdr:from>
    <xdr:to>
      <xdr:col>45</xdr:col>
      <xdr:colOff>1905</xdr:colOff>
      <xdr:row>3</xdr:row>
      <xdr:rowOff>1905</xdr:rowOff>
    </xdr:to>
    <xdr:pic>
      <xdr:nvPicPr>
        <xdr:cNvPr id="33086" name="Picture 163" descr="ImagingService">
          <a:extLst>
            <a:ext uri="{FF2B5EF4-FFF2-40B4-BE49-F238E27FC236}">
              <a16:creationId xmlns:a16="http://schemas.microsoft.com/office/drawing/2014/main" id="{35FE96B1-855E-8092-609E-649F5AE7DD1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51627" t="15334" r="32927" b="67999"/>
        <a:stretch>
          <a:fillRect/>
        </a:stretch>
      </xdr:blipFill>
      <xdr:spPr bwMode="auto">
        <a:xfrm>
          <a:off x="3096768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52</xdr:col>
      <xdr:colOff>1082040</xdr:colOff>
      <xdr:row>0</xdr:row>
      <xdr:rowOff>289560</xdr:rowOff>
    </xdr:from>
    <xdr:to>
      <xdr:col>54</xdr:col>
      <xdr:colOff>0</xdr:colOff>
      <xdr:row>3</xdr:row>
      <xdr:rowOff>1905</xdr:rowOff>
    </xdr:to>
    <xdr:pic>
      <xdr:nvPicPr>
        <xdr:cNvPr id="33087" name="Picture 164" descr="ImagingService">
          <a:extLst>
            <a:ext uri="{FF2B5EF4-FFF2-40B4-BE49-F238E27FC236}">
              <a16:creationId xmlns:a16="http://schemas.microsoft.com/office/drawing/2014/main" id="{EBDBB84C-6958-D1BD-2E53-4E9D14F4855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51627" t="15334" r="32927" b="67999"/>
        <a:stretch>
          <a:fillRect/>
        </a:stretch>
      </xdr:blipFill>
      <xdr:spPr bwMode="auto">
        <a:xfrm>
          <a:off x="3736086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61</xdr:col>
      <xdr:colOff>1066800</xdr:colOff>
      <xdr:row>0</xdr:row>
      <xdr:rowOff>289560</xdr:rowOff>
    </xdr:from>
    <xdr:to>
      <xdr:col>63</xdr:col>
      <xdr:colOff>0</xdr:colOff>
      <xdr:row>2</xdr:row>
      <xdr:rowOff>236220</xdr:rowOff>
    </xdr:to>
    <xdr:pic>
      <xdr:nvPicPr>
        <xdr:cNvPr id="33088" name="Picture 165" descr="ImagingService">
          <a:extLst>
            <a:ext uri="{FF2B5EF4-FFF2-40B4-BE49-F238E27FC236}">
              <a16:creationId xmlns:a16="http://schemas.microsoft.com/office/drawing/2014/main" id="{D7003021-919A-D448-B35F-C00039CC3F1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72629" t="14999" r="11789" b="68001"/>
        <a:stretch>
          <a:fillRect/>
        </a:stretch>
      </xdr:blipFill>
      <xdr:spPr bwMode="auto">
        <a:xfrm>
          <a:off x="43754040" y="228600"/>
          <a:ext cx="79248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60</xdr:col>
      <xdr:colOff>670560</xdr:colOff>
      <xdr:row>56</xdr:row>
      <xdr:rowOff>30480</xdr:rowOff>
    </xdr:from>
    <xdr:to>
      <xdr:col>63</xdr:col>
      <xdr:colOff>1905</xdr:colOff>
      <xdr:row>60</xdr:row>
      <xdr:rowOff>0</xdr:rowOff>
    </xdr:to>
    <xdr:pic>
      <xdr:nvPicPr>
        <xdr:cNvPr id="33089" name="1 Imagen">
          <a:extLst>
            <a:ext uri="{FF2B5EF4-FFF2-40B4-BE49-F238E27FC236}">
              <a16:creationId xmlns:a16="http://schemas.microsoft.com/office/drawing/2014/main" id="{C5EF3B6E-705A-A0F2-0547-1119FA5B625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2839640" y="9319260"/>
          <a:ext cx="170688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51</xdr:col>
      <xdr:colOff>670560</xdr:colOff>
      <xdr:row>56</xdr:row>
      <xdr:rowOff>30480</xdr:rowOff>
    </xdr:from>
    <xdr:to>
      <xdr:col>54</xdr:col>
      <xdr:colOff>1905</xdr:colOff>
      <xdr:row>60</xdr:row>
      <xdr:rowOff>0</xdr:rowOff>
    </xdr:to>
    <xdr:pic>
      <xdr:nvPicPr>
        <xdr:cNvPr id="33090" name="1 Imagen">
          <a:extLst>
            <a:ext uri="{FF2B5EF4-FFF2-40B4-BE49-F238E27FC236}">
              <a16:creationId xmlns:a16="http://schemas.microsoft.com/office/drawing/2014/main" id="{48884547-F7EF-8E32-484A-294D3CF03C2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6446460" y="9319260"/>
          <a:ext cx="170688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42</xdr:col>
      <xdr:colOff>670560</xdr:colOff>
      <xdr:row>56</xdr:row>
      <xdr:rowOff>30480</xdr:rowOff>
    </xdr:from>
    <xdr:to>
      <xdr:col>45</xdr:col>
      <xdr:colOff>1905</xdr:colOff>
      <xdr:row>60</xdr:row>
      <xdr:rowOff>0</xdr:rowOff>
    </xdr:to>
    <xdr:pic>
      <xdr:nvPicPr>
        <xdr:cNvPr id="33091" name="1 Imagen">
          <a:extLst>
            <a:ext uri="{FF2B5EF4-FFF2-40B4-BE49-F238E27FC236}">
              <a16:creationId xmlns:a16="http://schemas.microsoft.com/office/drawing/2014/main" id="{2ABB0A99-71ED-EA63-F508-A7E2C386D4A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0053280" y="9319260"/>
          <a:ext cx="170688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33</xdr:col>
      <xdr:colOff>670560</xdr:colOff>
      <xdr:row>56</xdr:row>
      <xdr:rowOff>30480</xdr:rowOff>
    </xdr:from>
    <xdr:to>
      <xdr:col>36</xdr:col>
      <xdr:colOff>3810</xdr:colOff>
      <xdr:row>60</xdr:row>
      <xdr:rowOff>0</xdr:rowOff>
    </xdr:to>
    <xdr:pic>
      <xdr:nvPicPr>
        <xdr:cNvPr id="33092" name="1 Imagen">
          <a:extLst>
            <a:ext uri="{FF2B5EF4-FFF2-40B4-BE49-F238E27FC236}">
              <a16:creationId xmlns:a16="http://schemas.microsoft.com/office/drawing/2014/main" id="{73234767-6F49-8FAC-85B3-FC8D045B786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660100" y="9319260"/>
          <a:ext cx="170688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670560</xdr:colOff>
      <xdr:row>56</xdr:row>
      <xdr:rowOff>30480</xdr:rowOff>
    </xdr:from>
    <xdr:to>
      <xdr:col>27</xdr:col>
      <xdr:colOff>3810</xdr:colOff>
      <xdr:row>60</xdr:row>
      <xdr:rowOff>0</xdr:rowOff>
    </xdr:to>
    <xdr:pic>
      <xdr:nvPicPr>
        <xdr:cNvPr id="33093" name="1 Imagen">
          <a:extLst>
            <a:ext uri="{FF2B5EF4-FFF2-40B4-BE49-F238E27FC236}">
              <a16:creationId xmlns:a16="http://schemas.microsoft.com/office/drawing/2014/main" id="{AD5F095B-CC29-D5A8-00BF-A1E6E8D363D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266920" y="9319260"/>
          <a:ext cx="170688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670560</xdr:colOff>
      <xdr:row>56</xdr:row>
      <xdr:rowOff>30480</xdr:rowOff>
    </xdr:from>
    <xdr:to>
      <xdr:col>18</xdr:col>
      <xdr:colOff>3810</xdr:colOff>
      <xdr:row>60</xdr:row>
      <xdr:rowOff>0</xdr:rowOff>
    </xdr:to>
    <xdr:pic>
      <xdr:nvPicPr>
        <xdr:cNvPr id="33094" name="1 Imagen">
          <a:extLst>
            <a:ext uri="{FF2B5EF4-FFF2-40B4-BE49-F238E27FC236}">
              <a16:creationId xmlns:a16="http://schemas.microsoft.com/office/drawing/2014/main" id="{7583CDDD-7115-E8F1-4097-2E763372139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873740" y="9319260"/>
          <a:ext cx="170688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670560</xdr:colOff>
      <xdr:row>56</xdr:row>
      <xdr:rowOff>30480</xdr:rowOff>
    </xdr:from>
    <xdr:to>
      <xdr:col>9</xdr:col>
      <xdr:colOff>3810</xdr:colOff>
      <xdr:row>60</xdr:row>
      <xdr:rowOff>0</xdr:rowOff>
    </xdr:to>
    <xdr:pic>
      <xdr:nvPicPr>
        <xdr:cNvPr id="33095" name="1 Imagen">
          <a:extLst>
            <a:ext uri="{FF2B5EF4-FFF2-40B4-BE49-F238E27FC236}">
              <a16:creationId xmlns:a16="http://schemas.microsoft.com/office/drawing/2014/main" id="{AE395BF0-0F5A-96BD-FE9E-A42F174BD5B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480560" y="9319260"/>
          <a:ext cx="170688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655320</xdr:colOff>
      <xdr:row>3</xdr:row>
      <xdr:rowOff>342900</xdr:rowOff>
    </xdr:from>
    <xdr:to>
      <xdr:col>4</xdr:col>
      <xdr:colOff>373380</xdr:colOff>
      <xdr:row>6</xdr:row>
      <xdr:rowOff>3810</xdr:rowOff>
    </xdr:to>
    <xdr:pic>
      <xdr:nvPicPr>
        <xdr:cNvPr id="14809" name="Picture 8" descr="ImagingService">
          <a:extLst>
            <a:ext uri="{FF2B5EF4-FFF2-40B4-BE49-F238E27FC236}">
              <a16:creationId xmlns:a16="http://schemas.microsoft.com/office/drawing/2014/main" id="{CC002A5A-8155-FD29-EF5B-DACBD3B230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37398" b="83000"/>
        <a:stretch>
          <a:fillRect/>
        </a:stretch>
      </xdr:blipFill>
      <xdr:spPr bwMode="auto">
        <a:xfrm>
          <a:off x="434340" y="769620"/>
          <a:ext cx="27279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8</xdr:col>
      <xdr:colOff>0</xdr:colOff>
      <xdr:row>2</xdr:row>
      <xdr:rowOff>60960</xdr:rowOff>
    </xdr:to>
    <xdr:grpSp>
      <xdr:nvGrpSpPr>
        <xdr:cNvPr id="14810" name="Group 11">
          <a:extLst>
            <a:ext uri="{FF2B5EF4-FFF2-40B4-BE49-F238E27FC236}">
              <a16:creationId xmlns:a16="http://schemas.microsoft.com/office/drawing/2014/main" id="{D5141687-34AA-3755-3D11-DB51604D9614}"/>
            </a:ext>
          </a:extLst>
        </xdr:cNvPr>
        <xdr:cNvGrpSpPr>
          <a:grpSpLocks/>
        </xdr:cNvGrpSpPr>
      </xdr:nvGrpSpPr>
      <xdr:grpSpPr bwMode="auto">
        <a:xfrm>
          <a:off x="314325" y="0"/>
          <a:ext cx="5448300" cy="441960"/>
          <a:chOff x="2538" y="0"/>
          <a:chExt cx="592" cy="44"/>
        </a:xfrm>
      </xdr:grpSpPr>
      <xdr:pic>
        <xdr:nvPicPr>
          <xdr:cNvPr id="14814" name="Picture 12" descr="ImagingService">
            <a:extLst>
              <a:ext uri="{FF2B5EF4-FFF2-40B4-BE49-F238E27FC236}">
                <a16:creationId xmlns:a16="http://schemas.microsoft.com/office/drawing/2014/main" id="{263D5625-E4D7-59E1-15C8-9B55E107C6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815" name="Picture 13">
            <a:extLst>
              <a:ext uri="{FF2B5EF4-FFF2-40B4-BE49-F238E27FC236}">
                <a16:creationId xmlns:a16="http://schemas.microsoft.com/office/drawing/2014/main" id="{7FF4F514-272F-F581-AEA6-C46C5C091B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0</xdr:colOff>
      <xdr:row>2</xdr:row>
      <xdr:rowOff>30480</xdr:rowOff>
    </xdr:from>
    <xdr:to>
      <xdr:col>6</xdr:col>
      <xdr:colOff>3810</xdr:colOff>
      <xdr:row>4</xdr:row>
      <xdr:rowOff>1905</xdr:rowOff>
    </xdr:to>
    <xdr:pic>
      <xdr:nvPicPr>
        <xdr:cNvPr id="14811" name="Picture 14" descr="ImagingService">
          <a:extLst>
            <a:ext uri="{FF2B5EF4-FFF2-40B4-BE49-F238E27FC236}">
              <a16:creationId xmlns:a16="http://schemas.microsoft.com/office/drawing/2014/main" id="{DC742F05-3B4A-DAA2-C5E3-DE6D8CC0FC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20040" y="419100"/>
          <a:ext cx="40386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998220</xdr:colOff>
      <xdr:row>0</xdr:row>
      <xdr:rowOff>297180</xdr:rowOff>
    </xdr:from>
    <xdr:to>
      <xdr:col>8</xdr:col>
      <xdr:colOff>1905</xdr:colOff>
      <xdr:row>2</xdr:row>
      <xdr:rowOff>217170</xdr:rowOff>
    </xdr:to>
    <xdr:pic>
      <xdr:nvPicPr>
        <xdr:cNvPr id="14812" name="Picture 15" descr="ImagingService">
          <a:extLst>
            <a:ext uri="{FF2B5EF4-FFF2-40B4-BE49-F238E27FC236}">
              <a16:creationId xmlns:a16="http://schemas.microsoft.com/office/drawing/2014/main" id="{67EDAF7C-36A7-3402-ACCB-945634D6F7E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36" t="14667" r="81572" b="67667"/>
        <a:stretch>
          <a:fillRect/>
        </a:stretch>
      </xdr:blipFill>
      <xdr:spPr bwMode="auto">
        <a:xfrm>
          <a:off x="5143500" y="220980"/>
          <a:ext cx="7848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1066800</xdr:colOff>
      <xdr:row>57</xdr:row>
      <xdr:rowOff>7620</xdr:rowOff>
    </xdr:from>
    <xdr:to>
      <xdr:col>8</xdr:col>
      <xdr:colOff>3810</xdr:colOff>
      <xdr:row>61</xdr:row>
      <xdr:rowOff>0</xdr:rowOff>
    </xdr:to>
    <xdr:pic>
      <xdr:nvPicPr>
        <xdr:cNvPr id="14813" name="1 Imagen">
          <a:extLst>
            <a:ext uri="{FF2B5EF4-FFF2-40B4-BE49-F238E27FC236}">
              <a16:creationId xmlns:a16="http://schemas.microsoft.com/office/drawing/2014/main" id="{E1A729DD-D74A-6CCF-DB36-FB8C6A397D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358640" y="9547860"/>
          <a:ext cx="15697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4</xdr:row>
      <xdr:rowOff>7620</xdr:rowOff>
    </xdr:from>
    <xdr:to>
      <xdr:col>2</xdr:col>
      <xdr:colOff>760095</xdr:colOff>
      <xdr:row>5</xdr:row>
      <xdr:rowOff>152400</xdr:rowOff>
    </xdr:to>
    <xdr:pic>
      <xdr:nvPicPr>
        <xdr:cNvPr id="15834" name="Picture 7" descr="ImagingService">
          <a:extLst>
            <a:ext uri="{FF2B5EF4-FFF2-40B4-BE49-F238E27FC236}">
              <a16:creationId xmlns:a16="http://schemas.microsoft.com/office/drawing/2014/main" id="{D8680A24-98A9-C0CD-7D1F-8121A9F86F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77371" b="85001"/>
        <a:stretch>
          <a:fillRect/>
        </a:stretch>
      </xdr:blipFill>
      <xdr:spPr bwMode="auto">
        <a:xfrm>
          <a:off x="320040" y="815340"/>
          <a:ext cx="11049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7</xdr:col>
      <xdr:colOff>0</xdr:colOff>
      <xdr:row>2</xdr:row>
      <xdr:rowOff>60960</xdr:rowOff>
    </xdr:to>
    <xdr:grpSp>
      <xdr:nvGrpSpPr>
        <xdr:cNvPr id="15835" name="Group 12">
          <a:extLst>
            <a:ext uri="{FF2B5EF4-FFF2-40B4-BE49-F238E27FC236}">
              <a16:creationId xmlns:a16="http://schemas.microsoft.com/office/drawing/2014/main" id="{38700B8F-1AF0-91E0-ECC7-9D892F50660E}"/>
            </a:ext>
          </a:extLst>
        </xdr:cNvPr>
        <xdr:cNvGrpSpPr>
          <a:grpSpLocks/>
        </xdr:cNvGrpSpPr>
      </xdr:nvGrpSpPr>
      <xdr:grpSpPr bwMode="auto">
        <a:xfrm>
          <a:off x="314325" y="0"/>
          <a:ext cx="5543550" cy="441960"/>
          <a:chOff x="2538" y="0"/>
          <a:chExt cx="592" cy="44"/>
        </a:xfrm>
      </xdr:grpSpPr>
      <xdr:pic>
        <xdr:nvPicPr>
          <xdr:cNvPr id="15839" name="Picture 13" descr="ImagingService">
            <a:extLst>
              <a:ext uri="{FF2B5EF4-FFF2-40B4-BE49-F238E27FC236}">
                <a16:creationId xmlns:a16="http://schemas.microsoft.com/office/drawing/2014/main" id="{3BF397CE-FA79-ACF1-81D7-897F37E947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16333" r="13280" b="66000"/>
          <a:stretch>
            <a:fillRect/>
          </a:stretch>
        </xdr:blipFill>
        <xdr:spPr bwMode="auto">
          <a:xfrm>
            <a:off x="2601" y="0"/>
            <a:ext cx="529" cy="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840" name="Picture 14">
            <a:extLst>
              <a:ext uri="{FF2B5EF4-FFF2-40B4-BE49-F238E27FC236}">
                <a16:creationId xmlns:a16="http://schemas.microsoft.com/office/drawing/2014/main" id="{887877CE-5C94-74E1-4B5E-FA14FCCDFD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2676" t="52605" r="45215" b="36588"/>
          <a:stretch>
            <a:fillRect/>
          </a:stretch>
        </xdr:blipFill>
        <xdr:spPr bwMode="auto">
          <a:xfrm>
            <a:off x="2538" y="0"/>
            <a:ext cx="64" cy="4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1</xdr:col>
      <xdr:colOff>0</xdr:colOff>
      <xdr:row>2</xdr:row>
      <xdr:rowOff>30480</xdr:rowOff>
    </xdr:from>
    <xdr:to>
      <xdr:col>5</xdr:col>
      <xdr:colOff>0</xdr:colOff>
      <xdr:row>3</xdr:row>
      <xdr:rowOff>198120</xdr:rowOff>
    </xdr:to>
    <xdr:pic>
      <xdr:nvPicPr>
        <xdr:cNvPr id="15836" name="Picture 15" descr="ImagingService">
          <a:extLst>
            <a:ext uri="{FF2B5EF4-FFF2-40B4-BE49-F238E27FC236}">
              <a16:creationId xmlns:a16="http://schemas.microsoft.com/office/drawing/2014/main" id="{E54A183B-DC19-3672-EFC1-D8F4D6187DB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5334" r="22765" b="66667"/>
        <a:stretch>
          <a:fillRect/>
        </a:stretch>
      </xdr:blipFill>
      <xdr:spPr bwMode="auto">
        <a:xfrm>
          <a:off x="320040" y="419100"/>
          <a:ext cx="393192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1463040</xdr:colOff>
      <xdr:row>0</xdr:row>
      <xdr:rowOff>297180</xdr:rowOff>
    </xdr:from>
    <xdr:to>
      <xdr:col>7</xdr:col>
      <xdr:colOff>0</xdr:colOff>
      <xdr:row>2</xdr:row>
      <xdr:rowOff>217170</xdr:rowOff>
    </xdr:to>
    <xdr:pic>
      <xdr:nvPicPr>
        <xdr:cNvPr id="15837" name="Picture 16" descr="ImagingService">
          <a:extLst>
            <a:ext uri="{FF2B5EF4-FFF2-40B4-BE49-F238E27FC236}">
              <a16:creationId xmlns:a16="http://schemas.microsoft.com/office/drawing/2014/main" id="{731102AB-38E5-F2FB-E511-11DA427FF04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29268" t="14667" r="53387" b="67667"/>
        <a:stretch>
          <a:fillRect/>
        </a:stretch>
      </xdr:blipFill>
      <xdr:spPr bwMode="auto">
        <a:xfrm>
          <a:off x="5166360" y="220980"/>
          <a:ext cx="8610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1577340</xdr:colOff>
      <xdr:row>43</xdr:row>
      <xdr:rowOff>30480</xdr:rowOff>
    </xdr:from>
    <xdr:to>
      <xdr:col>7</xdr:col>
      <xdr:colOff>0</xdr:colOff>
      <xdr:row>47</xdr:row>
      <xdr:rowOff>30480</xdr:rowOff>
    </xdr:to>
    <xdr:pic>
      <xdr:nvPicPr>
        <xdr:cNvPr id="15838" name="1 Imagen">
          <a:extLst>
            <a:ext uri="{FF2B5EF4-FFF2-40B4-BE49-F238E27FC236}">
              <a16:creationId xmlns:a16="http://schemas.microsoft.com/office/drawing/2014/main" id="{A55B06B7-F4E8-6D79-561A-3CA6DC55FE6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251960" y="9136380"/>
          <a:ext cx="177546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0</xdr:colOff>
      <xdr:row>2</xdr:row>
      <xdr:rowOff>1905</xdr:rowOff>
    </xdr:to>
    <xdr:pic>
      <xdr:nvPicPr>
        <xdr:cNvPr id="16453" name="Picture 1" descr="ImagingService">
          <a:extLst>
            <a:ext uri="{FF2B5EF4-FFF2-40B4-BE49-F238E27FC236}">
              <a16:creationId xmlns:a16="http://schemas.microsoft.com/office/drawing/2014/main" id="{ADCA987A-D5ED-714E-4937-556A3D921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0305" b="84746"/>
        <a:stretch>
          <a:fillRect/>
        </a:stretch>
      </xdr:blipFill>
      <xdr:spPr bwMode="auto">
        <a:xfrm>
          <a:off x="0" y="0"/>
          <a:ext cx="7498080" cy="434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Usuario invitado" id="{F3789F34-213E-43FA-A8CA-99C3049262A7}" userId="" providerId="Windows Live"/>
  <person displayName="Alicia Berta Díaz Trabanco" id="{6622EFE2-5BAA-46B5-87AC-3360272DB435}" userId="1d3a8940e7616dbd" providerId="Windows Live"/>
  <person displayName="iago lopez gomez" id="{27A74B9E-4081-4586-AE5E-3DA2408FB19A}" userId="95ed8fd51900ad5a"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O12" dT="2024-05-07T17:32:25.30" personId="{F3789F34-213E-43FA-A8CA-99C3049262A7}" id="{4458BD1C-42BD-4E70-9CCB-20C42BF8D5D5}">
    <text>por cuanto vendemos la licencia de nuestro juego al mes</text>
  </threadedComment>
  <threadedComment ref="BO25" dT="2024-05-07T17:32:54.84" personId="{F3789F34-213E-43FA-A8CA-99C3049262A7}" id="{1AE12B85-6F7E-48C0-8EF9-D5D94065D10B}">
    <text>meter aquí más</text>
  </threadedComment>
  <threadedComment ref="BK34" dT="2024-04-27T10:39:28.09" personId="{27A74B9E-4081-4586-AE5E-3DA2408FB19A}" id="{178847E6-0A41-4C17-9850-C8D70F35AF75}">
    <text xml:space="preserve">ni idea </text>
  </threadedComment>
  <threadedComment ref="BK35" dT="2024-05-07T17:33:57.39" personId="{F3789F34-213E-43FA-A8CA-99C3049262A7}" id="{A913CBA6-5AAD-4C13-8EFD-8E6AB23F979F}">
    <text>meter mucho más aquí</text>
  </threadedComment>
  <threadedComment ref="BO39" dT="2024-05-07T17:34:20.06" personId="{F3789F34-213E-43FA-A8CA-99C3049262A7}" id="{CD6751EC-EDD2-4CFA-AAD5-55499F932DFC}">
    <text>Invertir en marketing mucho más</text>
  </threadedComment>
</ThreadedComments>
</file>

<file path=xl/threadedComments/threadedComment2.xml><?xml version="1.0" encoding="utf-8"?>
<ThreadedComments xmlns="http://schemas.microsoft.com/office/spreadsheetml/2018/threadedcomments" xmlns:x="http://schemas.openxmlformats.org/spreadsheetml/2006/main">
  <threadedComment ref="F28" dT="2024-05-07T17:01:28.05" personId="{F3789F34-213E-43FA-A8CA-99C3049262A7}" id="{15C972EF-5823-4119-8B33-84C701B8E4E4}">
    <text>Muy poco</text>
  </threadedComment>
</ThreadedComments>
</file>

<file path=xl/threadedComments/threadedComment3.xml><?xml version="1.0" encoding="utf-8"?>
<ThreadedComments xmlns="http://schemas.microsoft.com/office/spreadsheetml/2018/threadedcomments" xmlns:x="http://schemas.openxmlformats.org/spreadsheetml/2006/main">
  <threadedComment ref="N12" dT="2024-04-27T11:41:51.59" personId="{6622EFE2-5BAA-46B5-87AC-3360272DB435}" id="{8A72891D-6029-419A-BC09-E62C555E8355}">
    <text>mil euros por cada miembro como dinero simbólico</text>
  </threadedComment>
  <threadedComment ref="G14" dT="2024-04-27T11:24:35.09" personId="{6622EFE2-5BAA-46B5-87AC-3360272DB435}" id="{9C1E186B-CE22-4D7A-8927-46C690B595ED}">
    <text>6.PEF 2-3: Patentes y marcas: Uno nos trae con IVA y el otro sin IVA. El Registro de marca no nos indica el IVA ni nada, luego Registro de diseño industrial nos viene con IVA y tasas incluidas. ¿Tenemos que calcular el IVA del Registro de marca?</text>
  </threadedComment>
  <threadedComment ref="G14" dT="2024-04-27T11:29:01.31" personId="{F3789F34-213E-43FA-A8CA-99C3049262A7}" id="{179DD625-008C-4714-B92A-98CEB3EBC64D}" parentId="{9C1E186B-CE22-4D7A-8927-46C690B595ED}">
    <text xml:space="preserve">
APARTADO PATENTES Y MARCAS (INMOVILIZADO INMATERIAL)
Marca (registro logo y nombre) 339€ sin IVA, IVA: 71,19€.
Registro de diseño industrial (personajes, concepts y arte): 322,31 sin IVA, IVA:67,69€</text>
  </threadedComment>
  <threadedComment ref="N14" dT="2024-04-27T11:39:31.71" personId="{6622EFE2-5BAA-46B5-87AC-3360272DB435}" id="{26832EE5-DB6A-4878-8CAD-839B7F311106}">
    <text>No pedimos ningún préstamo a largo o corto plazo</text>
  </threadedComment>
  <threadedComment ref="N14" dT="2024-05-07T17:06:57.10" personId="{F3789F34-213E-43FA-A8CA-99C3049262A7}" id="{F1F688A2-7CBC-4B7A-97B4-CF6190403D53}" parentId="{26832EE5-DB6A-4878-8CAD-839B7F311106}">
    <text>Poner mínimo 20 mil</text>
  </threadedComment>
  <threadedComment ref="F19" dT="2024-05-11T11:49:38.29" personId="{6622EFE2-5BAA-46B5-87AC-3360272DB435}" id="{7B54CEFD-013C-4845-A861-B2595B680DEC}">
    <text>AQUÍ VAMOS A PONER EL GASTO DEL ALQUILER DE NUESTROS PISOS, POR PONER ALGO UWU
(ESTE COMENTARIO ES NUEVO)</text>
  </threadedComment>
  <threadedComment ref="N21" dT="2024-05-07T17:07:11.32" personId="{F3789F34-213E-43FA-A8CA-99C3049262A7}" id="{400FE963-72FE-4D7C-8B92-AD89CD11EB4A}">
    <text>Poner mínimo 10 ml</text>
  </threadedComment>
  <threadedComment ref="F23" dT="2024-05-11T12:27:07.80" personId="{6622EFE2-5BAA-46B5-87AC-3360272DB435}" id="{33A0AE16-7CBF-4AB3-93C2-CF8176E1876B}">
    <text>(COMENTARIO NUEVO)
He puesto esto como si fuésemos 4 personas en una oficina, cada uno con una mesa y una silla</text>
  </threadedComment>
  <threadedComment ref="F24" dT="2024-04-27T11:26:53.03" personId="{6622EFE2-5BAA-46B5-87AC-3360272DB435}" id="{1B88705E-F60B-4AB8-BB89-E4124A77A591}">
    <text>Aquí pusimos las compras de partes/dispositivos informáticos que tuvimos que comprar a lo largo del curso</text>
  </threadedComment>
  <threadedComment ref="F24" dT="2024-04-27T11:30:56.57" personId="{F3789F34-213E-43FA-A8CA-99C3049262A7}" id="{A936E301-797D-4DA1-B61B-6F71893A4444}" parentId="{1B88705E-F60B-4AB8-BB89-E4124A77A591}">
    <text>Lo tiene Ari en su libreta, algunos están en "El Oasis de la Paz de Ali"</text>
  </threadedComment>
  <threadedComment ref="F28" dT="2024-04-27T11:29:31.91" personId="{6622EFE2-5BAA-46B5-87AC-3360272DB435}" id="{2D60140F-69F3-417C-9759-C4C56F90462C}">
    <text>No pedimos ninguna fianza para financiar el juego</text>
  </threadedComment>
  <threadedComment ref="F28" dT="2024-05-11T13:19:01.12" personId="{6622EFE2-5BAA-46B5-87AC-3360272DB435}" id="{DE6992F0-5EB8-4FD0-8259-A278DF79CB26}" parentId="{2D60140F-69F3-417C-9759-C4C56F90462C}">
    <text>15% de 20,000 euros = 0.15 × 20,000 = 3,000 euros.</text>
  </threadedComment>
  <threadedComment ref="F36" dT="2024-04-27T11:34:16.08" personId="{F3789F34-213E-43FA-A8CA-99C3049262A7}" id="{D17213BA-A60E-44F1-AAF6-8EF858F0824F}">
    <text>Tema de activo circulante: tenemos duda con el tema de NeoMediaMusic, pero a día de hoy no tenemos un contrato en firme ni sabemos a ciencia cierta si entra dentro de este apartado.</text>
  </threadedComment>
  <threadedComment ref="F36" dT="2024-04-27T11:35:40.95" personId="{F3789F34-213E-43FA-A8CA-99C3049262A7}" id="{AB713E0F-DA92-49C7-9C36-238D7685D8C1}" parentId="{D17213BA-A60E-44F1-AAF6-8EF858F0824F}">
    <text>En tesoreria, aportamos 50€ cada uno de cara a imprevistos futuros que necesiten "cash". Total 350€</text>
  </threadedComment>
  <threadedComment ref="F36" dT="2024-04-27T11:38:32.30" personId="{F3789F34-213E-43FA-A8CA-99C3049262A7}" id="{7AD78295-3C5D-4A06-8377-6ED8805A1AC8}" parentId="{D17213BA-A60E-44F1-AAF6-8EF858F0824F}">
    <text>En cuanto a existencias, ponemos 0 ya que se tratan de "keys" que no tienen un valor intrínseco y no tiene un coste de producción real.</text>
  </threadedComment>
  <threadedComment ref="F39" dT="2024-05-11T13:25:57.01" personId="{6622EFE2-5BAA-46B5-87AC-3360272DB435}" id="{913D5B1A-C01E-44B1-8849-8EE411C2F303}">
    <text>LO CALCULÓ EL PROFE, VER COMO CALCULARLO</text>
  </threadedComment>
</ThreadedComments>
</file>

<file path=xl/threadedComments/threadedComment4.xml><?xml version="1.0" encoding="utf-8"?>
<ThreadedComments xmlns="http://schemas.microsoft.com/office/spreadsheetml/2018/threadedcomments" xmlns:x="http://schemas.openxmlformats.org/spreadsheetml/2006/main">
  <threadedComment ref="D10" dT="2024-04-27T11:48:55.23" personId="{6622EFE2-5BAA-46B5-87AC-3360272DB435}" id="{32835812-3490-4EE2-8DBB-4DDA98330C86}">
    <text>ponemos 1 año ya que no podemos poner 0. El tipo de interés era de 5.0% y 3.0%, pero como no tenemos ningún préstamo vamos a poner 0</text>
  </threadedComment>
  <threadedComment ref="F26" dT="2024-04-27T11:50:47.98" personId="{6622EFE2-5BAA-46B5-87AC-3360272DB435}" id="{FC3925A2-9DCF-4117-9E44-9BD02ABEB056}">
    <text>Ponemos valor 1, ya que 0 da errores</text>
  </threadedComment>
  <threadedComment ref="F30" dT="2024-04-27T11:55:34.16" personId="{6622EFE2-5BAA-46B5-87AC-3360272DB435}" id="{DAFDD3B0-D3B3-438C-9F1D-AA39125B677E}">
    <text>DUDA PARA EL PROFESOR: ¿porqué se repite los costes de los equipos informáticos en todos los años? Solo tendríamos que pagarlo una vez</text>
  </threadedComment>
</ThreadedComments>
</file>

<file path=xl/threadedComments/threadedComment5.xml><?xml version="1.0" encoding="utf-8"?>
<ThreadedComments xmlns="http://schemas.microsoft.com/office/spreadsheetml/2018/threadedcomments" xmlns:x="http://schemas.openxmlformats.org/spreadsheetml/2006/main">
  <threadedComment ref="F15" dT="2024-04-28T09:20:52.56" personId="{F3789F34-213E-43FA-A8CA-99C3049262A7}" id="{649ED611-9734-4D67-AE95-11B9E8BECB5B}">
    <text>Coste de trabajo de Alicia, Ariel, Iago, Lucas y Miguel</text>
  </threadedComment>
  <threadedComment ref="F15" dT="2024-05-11T12:42:37.84" personId="{6622EFE2-5BAA-46B5-87AC-3360272DB435}" id="{BCA1D476-4BB1-4B61-8461-46C049852A7A}" parentId="{649ED611-9734-4D67-AE95-11B9E8BECB5B}">
    <text>63504 (ESTO CREIO QUE ES LO QUE TENEMOS POR SER 5, LO PONEMOS CON ¿4?)</text>
  </threadedComment>
  <threadedComment ref="F15" dT="2024-05-11T12:44:04.58" personId="{6622EFE2-5BAA-46B5-87AC-3360272DB435}" id="{3A7DA337-F1FB-47FA-A870-9B26AC579666}" parentId="{649ED611-9734-4D67-AE95-11B9E8BECB5B}">
    <text>Lo digo porque estamos pagando 4 salarios, para ponerlo todo bien</text>
  </threadedComment>
  <threadedComment ref="F21" dT="2024-04-28T09:23:28.47" personId="{F3789F34-213E-43FA-A8CA-99C3049262A7}" id="{4CA8F62B-0867-434D-96A8-5C2B27B7A305}">
    <text>Ponemos el precio de nuestras casas o que? Lo mis con comunicaciones, hablamos por discord, no gastamos nada</text>
  </threadedComment>
  <threadedComment ref="F23" dT="2024-05-07T17:16:24.40" personId="{F3789F34-213E-43FA-A8CA-99C3049262A7}" id="{8836D5AF-FBD2-4081-9821-48B3AAF8A2A3}">
    <text>Hacer un escenario realista. De como serían los verdaderos gastos, no solo poner 1 euro.</text>
  </threadedComment>
  <threadedComment ref="F23" dT="2024-05-07T17:17:53.02" personId="{F3789F34-213E-43FA-A8CA-99C3049262A7}" id="{FF3598A4-5606-433E-9B87-7DB633A71456}" parentId="{8836D5AF-FBD2-4081-9821-48B3AAF8A2A3}">
    <text xml:space="preserve">Impuestos que pagamos por existir. No dependen de nuestras ganancias. </text>
  </threadedComment>
  <threadedComment ref="F24" dT="2024-04-28T09:19:25.72" personId="{F3789F34-213E-43FA-A8CA-99C3049262A7}" id="{F47D8D5B-5DBF-4893-A145-F4D29ADA5067}">
    <text>Coste de trabajo de Paloma y Celia</text>
  </threadedComment>
  <threadedComment ref="F24" dT="2024-04-28T09:21:10.53" personId="{F3789F34-213E-43FA-A8CA-99C3049262A7}" id="{6CA08CA2-9436-4A98-BE5B-1330988E825B}" parentId="{F47D8D5B-5DBF-4893-A145-F4D29ADA5067}">
    <text>NeoMedia Music, Maya</text>
  </threadedComment>
  <threadedComment ref="F24" dT="2024-05-11T13:33:24.06" personId="{6622EFE2-5BAA-46B5-87AC-3360272DB435}" id="{D9711273-EFF1-4CB2-B57B-5D58843C79C1}" parentId="{F47D8D5B-5DBF-4893-A145-F4D29ADA5067}">
    <text>Paloma, Celia y Maya como FreeLancer, con un sueldo de 1323 por 6 meses cada una
(NOTA NUEVA)</text>
  </threadedComment>
  <threadedComment ref="F25" dT="2024-04-28T09:22:32.19" personId="{F3789F34-213E-43FA-A8CA-99C3049262A7}" id="{C94BE0B5-D7D3-40D5-8B9F-F81E656A6FA9}">
    <text>20 por uso de bolis y libretas?</text>
  </threadedComment>
  <threadedComment ref="F26" dT="2024-04-28T09:24:29.80" personId="{F3789F34-213E-43FA-A8CA-99C3049262A7}" id="{5B4DB299-CAC5-4314-8D13-A7704FAE4471}">
    <text>Reparaciones a nuestros ordenadores y tal</text>
  </threadedComment>
  <threadedComment ref="F28" dT="2024-04-28T09:26:46.87" personId="{F3789F34-213E-43FA-A8CA-99C3049262A7}" id="{E7DB1E00-6F98-423F-99D6-6440ACD1B2BC}">
    <text>No tenemos seguridad social, explotamos a nuestros trabajadores :D</text>
  </threadedComment>
  <threadedComment ref="F43" dT="2024-04-28T09:31:55.38" personId="{F3789F34-213E-43FA-A8CA-99C3049262A7}" id="{D6079A5B-F8C8-4600-AB74-BE60CFED1FB7}">
    <text>Puse esto por el incremento de mano de obra (contratamos a Maya)</text>
  </threadedComment>
  <threadedComment ref="F44" dT="2024-04-28T09:29:40.83" personId="{F3789F34-213E-43FA-A8CA-99C3049262A7}" id="{F5969A92-2615-404A-9835-E5979D3B37AD}">
    <text>https://getquipu.com/blog/novedades-impuesto-de-sociedades/</text>
    <extLst>
      <x:ext xmlns:xltc2="http://schemas.microsoft.com/office/spreadsheetml/2020/threadedcomments2" uri="{F7C98A9C-CBB3-438F-8F68-D28B6AF4A901}">
        <xltc2:checksum>1549072257</xltc2:checksum>
        <xltc2:hyperlink startIndex="0" length="59" url="https://getquipu.com/blog/novedades-impuesto-de-sociedades/"/>
      </x:ext>
    </extLst>
  </threadedComment>
</ThreadedComments>
</file>

<file path=xl/threadedComments/threadedComment6.xml><?xml version="1.0" encoding="utf-8"?>
<ThreadedComments xmlns="http://schemas.microsoft.com/office/spreadsheetml/2018/threadedcomments" xmlns:x="http://schemas.openxmlformats.org/spreadsheetml/2006/main">
  <threadedComment ref="N28" dT="2024-05-07T17:27:58.83" personId="{F3789F34-213E-43FA-A8CA-99C3049262A7}" id="{1E353F0E-881C-40BD-9CF1-23455FB400FD}">
    <text>Intentar cambiar el chip, tipo con ingresos mensuales como haría una empresa potente real. No verlo con ojos de estudiante.</text>
  </threadedComment>
</ThreadedComments>
</file>

<file path=xl/threadedComments/threadedComment7.xml><?xml version="1.0" encoding="utf-8"?>
<ThreadedComments xmlns="http://schemas.microsoft.com/office/spreadsheetml/2018/threadedcomments" xmlns:x="http://schemas.openxmlformats.org/spreadsheetml/2006/main">
  <threadedComment ref="F6" dT="2024-05-07T17:30:35.77" personId="{F3789F34-213E-43FA-A8CA-99C3049262A7}" id="{16DCE0CA-2385-4392-A702-8DC35B1CB448}">
    <text xml:space="preserve">Calculadora, más como herramienta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30"/>
  </sheetPr>
  <dimension ref="B1:R60"/>
  <sheetViews>
    <sheetView showGridLines="0" topLeftCell="A28" zoomScale="115" zoomScaleNormal="115" zoomScaleSheetLayoutView="100" workbookViewId="0">
      <selection activeCell="K32" sqref="K32"/>
    </sheetView>
  </sheetViews>
  <sheetFormatPr defaultColWidth="11.42578125" defaultRowHeight="13.15"/>
  <cols>
    <col min="1" max="1" width="4.28515625" customWidth="1"/>
    <col min="2" max="2" width="4.7109375" customWidth="1"/>
    <col min="10" max="10" width="4.28515625" customWidth="1"/>
    <col min="11" max="11" width="4.7109375" customWidth="1"/>
  </cols>
  <sheetData>
    <row r="1" spans="2:18" ht="18" customHeight="1">
      <c r="B1" s="81"/>
      <c r="C1" s="81"/>
      <c r="D1" s="82"/>
      <c r="I1" s="173"/>
      <c r="K1" s="81"/>
      <c r="L1" s="81"/>
      <c r="M1" s="82"/>
      <c r="R1" s="171"/>
    </row>
    <row r="2" spans="2:18" ht="12.75" customHeight="1">
      <c r="I2" s="173"/>
      <c r="R2" s="171"/>
    </row>
    <row r="3" spans="2:18" ht="18.75" customHeight="1">
      <c r="B3" s="81"/>
      <c r="D3" s="8"/>
      <c r="I3" s="173"/>
      <c r="K3" s="81"/>
      <c r="L3" s="8"/>
      <c r="M3" s="8"/>
      <c r="R3" s="171"/>
    </row>
    <row r="5" spans="2:18" ht="13.9">
      <c r="B5" s="167"/>
      <c r="C5" s="167"/>
      <c r="D5" s="167"/>
      <c r="E5" s="167"/>
      <c r="K5" s="84"/>
      <c r="M5" s="84"/>
      <c r="N5" s="84"/>
    </row>
    <row r="7" spans="2:18" ht="15" customHeight="1">
      <c r="B7" s="169" t="s">
        <v>0</v>
      </c>
      <c r="C7" s="169"/>
      <c r="D7" s="169"/>
      <c r="E7" s="169"/>
      <c r="F7" s="169"/>
      <c r="G7" s="169"/>
      <c r="H7" s="169"/>
      <c r="I7" s="169"/>
      <c r="K7" s="165" t="s">
        <v>1</v>
      </c>
      <c r="L7" s="165"/>
      <c r="M7" s="165"/>
      <c r="N7" s="165"/>
      <c r="O7" s="165"/>
      <c r="P7" s="165"/>
      <c r="Q7" s="165"/>
      <c r="R7" s="165"/>
    </row>
    <row r="8" spans="2:18" ht="15" customHeight="1">
      <c r="B8" s="169"/>
      <c r="C8" s="169"/>
      <c r="D8" s="169"/>
      <c r="E8" s="169"/>
      <c r="F8" s="169"/>
      <c r="G8" s="169"/>
      <c r="H8" s="169"/>
      <c r="I8" s="169"/>
      <c r="K8" s="165"/>
      <c r="L8" s="165"/>
      <c r="M8" s="165"/>
      <c r="N8" s="165"/>
      <c r="O8" s="165"/>
      <c r="P8" s="165"/>
      <c r="Q8" s="165"/>
      <c r="R8" s="165"/>
    </row>
    <row r="9" spans="2:18" ht="15" customHeight="1">
      <c r="B9" s="51"/>
      <c r="C9" s="51"/>
      <c r="D9" s="51"/>
      <c r="G9" s="51"/>
      <c r="H9" s="51"/>
      <c r="K9" s="165"/>
      <c r="L9" s="165"/>
      <c r="M9" s="165"/>
      <c r="N9" s="165"/>
      <c r="O9" s="165"/>
      <c r="P9" s="165"/>
      <c r="Q9" s="165"/>
      <c r="R9" s="165"/>
    </row>
    <row r="10" spans="2:18" ht="15" customHeight="1">
      <c r="B10" s="167"/>
      <c r="C10" s="167"/>
      <c r="D10" s="167"/>
      <c r="E10" s="167"/>
      <c r="K10" s="165"/>
      <c r="L10" s="165"/>
      <c r="M10" s="165"/>
      <c r="N10" s="165"/>
      <c r="O10" s="165"/>
      <c r="P10" s="165"/>
      <c r="Q10" s="165"/>
      <c r="R10" s="165"/>
    </row>
    <row r="11" spans="2:18" ht="15" customHeight="1">
      <c r="K11" s="165"/>
      <c r="L11" s="165"/>
      <c r="M11" s="165"/>
      <c r="N11" s="165"/>
      <c r="O11" s="165"/>
      <c r="P11" s="165"/>
      <c r="Q11" s="165"/>
      <c r="R11" s="165"/>
    </row>
    <row r="12" spans="2:18" ht="12.75" customHeight="1">
      <c r="B12" s="172"/>
      <c r="C12" s="170"/>
      <c r="D12" s="170"/>
      <c r="E12" s="169" t="s">
        <v>2</v>
      </c>
      <c r="F12" s="169"/>
      <c r="G12" s="169"/>
      <c r="H12" s="169"/>
      <c r="I12" s="169"/>
      <c r="K12" s="165"/>
      <c r="L12" s="165"/>
      <c r="M12" s="165"/>
      <c r="N12" s="165"/>
      <c r="O12" s="165"/>
      <c r="P12" s="165"/>
      <c r="Q12" s="165"/>
      <c r="R12" s="165"/>
    </row>
    <row r="13" spans="2:18" ht="12.75" customHeight="1">
      <c r="B13" s="172"/>
      <c r="C13" s="170"/>
      <c r="D13" s="170"/>
      <c r="E13" s="170"/>
      <c r="F13" s="170"/>
      <c r="G13" s="170"/>
      <c r="H13" s="170"/>
      <c r="I13" s="85"/>
      <c r="K13" s="165"/>
      <c r="L13" s="165"/>
      <c r="M13" s="165"/>
      <c r="N13" s="165"/>
      <c r="O13" s="165"/>
      <c r="P13" s="165"/>
      <c r="Q13" s="165"/>
      <c r="R13" s="165"/>
    </row>
    <row r="14" spans="2:18" ht="12.75" customHeight="1">
      <c r="B14" s="165" t="s">
        <v>3</v>
      </c>
      <c r="C14" s="165"/>
      <c r="D14" s="165"/>
      <c r="E14" s="165"/>
      <c r="F14" s="165"/>
      <c r="G14" s="165"/>
      <c r="H14" s="165"/>
      <c r="I14" s="165"/>
      <c r="K14" s="165"/>
      <c r="L14" s="165"/>
      <c r="M14" s="165"/>
      <c r="N14" s="165"/>
      <c r="O14" s="165"/>
      <c r="P14" s="165"/>
      <c r="Q14" s="165"/>
      <c r="R14" s="165"/>
    </row>
    <row r="15" spans="2:18" ht="12.75">
      <c r="B15" s="165"/>
      <c r="C15" s="165"/>
      <c r="D15" s="165"/>
      <c r="E15" s="165"/>
      <c r="F15" s="165"/>
      <c r="G15" s="165"/>
      <c r="H15" s="165"/>
      <c r="I15" s="165"/>
      <c r="K15" s="165"/>
      <c r="L15" s="165"/>
      <c r="M15" s="165"/>
      <c r="N15" s="165"/>
      <c r="O15" s="165"/>
      <c r="P15" s="165"/>
      <c r="Q15" s="165"/>
      <c r="R15" s="165"/>
    </row>
    <row r="16" spans="2:18" ht="12.75">
      <c r="B16" s="165"/>
      <c r="C16" s="165"/>
      <c r="D16" s="165"/>
      <c r="E16" s="165"/>
      <c r="F16" s="165"/>
      <c r="G16" s="165"/>
      <c r="H16" s="165"/>
      <c r="I16" s="165"/>
      <c r="K16" s="165"/>
      <c r="L16" s="165"/>
      <c r="M16" s="165"/>
      <c r="N16" s="165"/>
      <c r="O16" s="165"/>
      <c r="P16" s="165"/>
      <c r="Q16" s="165"/>
      <c r="R16" s="165"/>
    </row>
    <row r="17" spans="2:18" ht="12.75">
      <c r="B17" s="165"/>
      <c r="C17" s="165"/>
      <c r="D17" s="165"/>
      <c r="E17" s="165"/>
      <c r="F17" s="165"/>
      <c r="G17" s="165"/>
      <c r="H17" s="165"/>
      <c r="I17" s="165"/>
      <c r="K17" s="165"/>
      <c r="L17" s="165"/>
      <c r="M17" s="165"/>
      <c r="N17" s="165"/>
      <c r="O17" s="165"/>
      <c r="P17" s="165"/>
      <c r="Q17" s="165"/>
      <c r="R17" s="165"/>
    </row>
    <row r="18" spans="2:18" ht="12.75">
      <c r="B18" s="165"/>
      <c r="C18" s="165"/>
      <c r="D18" s="165"/>
      <c r="E18" s="165"/>
      <c r="F18" s="165"/>
      <c r="G18" s="165"/>
      <c r="H18" s="165"/>
      <c r="I18" s="165"/>
      <c r="K18" s="165"/>
      <c r="L18" s="165"/>
      <c r="M18" s="165"/>
      <c r="N18" s="165"/>
      <c r="O18" s="165"/>
      <c r="P18" s="165"/>
      <c r="Q18" s="165"/>
      <c r="R18" s="165"/>
    </row>
    <row r="19" spans="2:18" ht="12.75">
      <c r="B19" s="165"/>
      <c r="C19" s="165"/>
      <c r="D19" s="165"/>
      <c r="E19" s="165"/>
      <c r="F19" s="165"/>
      <c r="G19" s="165"/>
      <c r="H19" s="165"/>
      <c r="I19" s="165"/>
      <c r="K19" s="165"/>
      <c r="L19" s="165"/>
      <c r="M19" s="165"/>
      <c r="N19" s="165"/>
      <c r="O19" s="165"/>
      <c r="P19" s="165"/>
      <c r="Q19" s="165"/>
      <c r="R19" s="165"/>
    </row>
    <row r="20" spans="2:18" ht="12.75">
      <c r="K20" s="165"/>
      <c r="L20" s="165"/>
      <c r="M20" s="165"/>
      <c r="N20" s="165"/>
      <c r="O20" s="165"/>
      <c r="P20" s="165"/>
      <c r="Q20" s="165"/>
      <c r="R20" s="165"/>
    </row>
    <row r="21" spans="2:18" ht="12.75" customHeight="1">
      <c r="B21" s="168"/>
      <c r="C21" s="167"/>
      <c r="D21" s="167"/>
      <c r="E21" s="169" t="s">
        <v>4</v>
      </c>
      <c r="F21" s="169"/>
      <c r="G21" s="169"/>
      <c r="H21" s="169"/>
      <c r="I21" s="169"/>
      <c r="K21" s="165"/>
      <c r="L21" s="165"/>
      <c r="M21" s="165"/>
      <c r="N21" s="165"/>
      <c r="O21" s="165"/>
      <c r="P21" s="165"/>
      <c r="Q21" s="165"/>
      <c r="R21" s="165"/>
    </row>
    <row r="22" spans="2:18" ht="12.75" customHeight="1">
      <c r="B22" s="168"/>
      <c r="C22" s="167"/>
      <c r="D22" s="167"/>
      <c r="E22" s="167"/>
      <c r="F22" s="167"/>
      <c r="G22" s="167"/>
      <c r="H22" s="167"/>
      <c r="I22" s="83"/>
      <c r="K22" s="165"/>
      <c r="L22" s="165"/>
      <c r="M22" s="165"/>
      <c r="N22" s="165"/>
      <c r="O22" s="165"/>
      <c r="P22" s="165"/>
      <c r="Q22" s="165"/>
      <c r="R22" s="165"/>
    </row>
    <row r="23" spans="2:18" ht="12.75" customHeight="1">
      <c r="B23" s="165" t="s">
        <v>5</v>
      </c>
      <c r="C23" s="165"/>
      <c r="D23" s="165"/>
      <c r="E23" s="165"/>
      <c r="F23" s="165"/>
      <c r="G23" s="165"/>
      <c r="H23" s="165"/>
      <c r="I23" s="165"/>
      <c r="K23" s="165"/>
      <c r="L23" s="165"/>
      <c r="M23" s="165"/>
      <c r="N23" s="165"/>
      <c r="O23" s="165"/>
      <c r="P23" s="165"/>
      <c r="Q23" s="165"/>
      <c r="R23" s="165"/>
    </row>
    <row r="24" spans="2:18" ht="12.75">
      <c r="B24" s="165"/>
      <c r="C24" s="165"/>
      <c r="D24" s="165"/>
      <c r="E24" s="165"/>
      <c r="F24" s="165"/>
      <c r="G24" s="165"/>
      <c r="H24" s="165"/>
      <c r="I24" s="165"/>
      <c r="K24" s="165"/>
      <c r="L24" s="165"/>
      <c r="M24" s="165"/>
      <c r="N24" s="165"/>
      <c r="O24" s="165"/>
      <c r="P24" s="165"/>
      <c r="Q24" s="165"/>
      <c r="R24" s="165"/>
    </row>
    <row r="25" spans="2:18" ht="12.75">
      <c r="B25" s="165"/>
      <c r="C25" s="165"/>
      <c r="D25" s="165"/>
      <c r="E25" s="165"/>
      <c r="F25" s="165"/>
      <c r="G25" s="165"/>
      <c r="H25" s="165"/>
      <c r="I25" s="165"/>
      <c r="K25" s="165"/>
      <c r="L25" s="165"/>
      <c r="M25" s="165"/>
      <c r="N25" s="165"/>
      <c r="O25" s="165"/>
      <c r="P25" s="165"/>
      <c r="Q25" s="165"/>
      <c r="R25" s="165"/>
    </row>
    <row r="26" spans="2:18" ht="12.75">
      <c r="B26" s="165"/>
      <c r="C26" s="165"/>
      <c r="D26" s="165"/>
      <c r="E26" s="165"/>
      <c r="F26" s="165"/>
      <c r="G26" s="165"/>
      <c r="H26" s="165"/>
      <c r="I26" s="165"/>
      <c r="K26" s="165"/>
      <c r="L26" s="165"/>
      <c r="M26" s="165"/>
      <c r="N26" s="165"/>
      <c r="O26" s="165"/>
      <c r="P26" s="165"/>
      <c r="Q26" s="165"/>
      <c r="R26" s="165"/>
    </row>
    <row r="27" spans="2:18" ht="12.75">
      <c r="B27" s="165"/>
      <c r="C27" s="165"/>
      <c r="D27" s="165"/>
      <c r="E27" s="165"/>
      <c r="F27" s="165"/>
      <c r="G27" s="165"/>
      <c r="H27" s="165"/>
      <c r="I27" s="165"/>
      <c r="K27" s="165"/>
      <c r="L27" s="165"/>
      <c r="M27" s="165"/>
      <c r="N27" s="165"/>
      <c r="O27" s="165"/>
      <c r="P27" s="165"/>
      <c r="Q27" s="165"/>
      <c r="R27" s="165"/>
    </row>
    <row r="28" spans="2:18" ht="12.75">
      <c r="B28" s="165"/>
      <c r="C28" s="165"/>
      <c r="D28" s="165"/>
      <c r="E28" s="165"/>
      <c r="F28" s="165"/>
      <c r="G28" s="165"/>
      <c r="H28" s="165"/>
      <c r="I28" s="165"/>
      <c r="K28" s="165"/>
      <c r="L28" s="165"/>
      <c r="M28" s="165"/>
      <c r="N28" s="165"/>
      <c r="O28" s="165"/>
      <c r="P28" s="165"/>
      <c r="Q28" s="165"/>
      <c r="R28" s="165"/>
    </row>
    <row r="30" spans="2:18" ht="12.75" customHeight="1">
      <c r="B30" s="168"/>
      <c r="C30" s="167"/>
      <c r="D30" s="167"/>
      <c r="E30" s="169" t="s">
        <v>6</v>
      </c>
      <c r="F30" s="169"/>
      <c r="G30" s="169"/>
      <c r="H30" s="169"/>
      <c r="I30" s="169"/>
      <c r="K30" s="84"/>
      <c r="L30" s="84"/>
      <c r="M30" s="84"/>
      <c r="N30" s="84"/>
    </row>
    <row r="31" spans="2:18" ht="12.75" customHeight="1">
      <c r="B31" s="168"/>
      <c r="C31" s="167"/>
      <c r="D31" s="167"/>
      <c r="E31" s="167"/>
      <c r="F31" s="167"/>
      <c r="G31" s="167"/>
      <c r="H31" s="167"/>
      <c r="I31" s="83"/>
      <c r="K31" s="52"/>
      <c r="N31" s="53"/>
      <c r="O31" s="53"/>
      <c r="P31" s="53"/>
      <c r="Q31" s="53"/>
      <c r="R31" s="53"/>
    </row>
    <row r="32" spans="2:18" ht="12.75" customHeight="1">
      <c r="B32" s="165" t="s">
        <v>3</v>
      </c>
      <c r="C32" s="165"/>
      <c r="D32" s="165"/>
      <c r="E32" s="165"/>
      <c r="F32" s="165"/>
      <c r="G32" s="165"/>
      <c r="H32" s="165"/>
      <c r="I32" s="165"/>
      <c r="K32" s="165" t="s">
        <v>7</v>
      </c>
      <c r="L32" s="165"/>
      <c r="M32" s="165"/>
      <c r="N32" s="165"/>
      <c r="O32" s="165"/>
      <c r="P32" s="165"/>
      <c r="Q32" s="165"/>
      <c r="R32" s="165"/>
    </row>
    <row r="33" spans="2:18" ht="12.75">
      <c r="B33" s="165"/>
      <c r="C33" s="165"/>
      <c r="D33" s="165"/>
      <c r="E33" s="165"/>
      <c r="F33" s="165"/>
      <c r="G33" s="165"/>
      <c r="H33" s="165"/>
      <c r="I33" s="165"/>
      <c r="K33" s="165"/>
      <c r="L33" s="165"/>
      <c r="M33" s="165"/>
      <c r="N33" s="165"/>
      <c r="O33" s="165"/>
      <c r="P33" s="165"/>
      <c r="Q33" s="165"/>
      <c r="R33" s="165"/>
    </row>
    <row r="34" spans="2:18">
      <c r="B34" s="165"/>
      <c r="C34" s="165"/>
      <c r="D34" s="165"/>
      <c r="E34" s="165"/>
      <c r="F34" s="165"/>
      <c r="G34" s="165"/>
      <c r="H34" s="165"/>
      <c r="I34" s="165"/>
      <c r="K34" s="165"/>
      <c r="L34" s="165"/>
      <c r="M34" s="165"/>
      <c r="N34" s="165"/>
      <c r="O34" s="165"/>
      <c r="P34" s="165"/>
      <c r="Q34" s="165"/>
      <c r="R34" s="165"/>
    </row>
    <row r="35" spans="2:18" ht="12.75">
      <c r="B35" s="165"/>
      <c r="C35" s="165"/>
      <c r="D35" s="165"/>
      <c r="E35" s="165"/>
      <c r="F35" s="165"/>
      <c r="G35" s="165"/>
      <c r="H35" s="165"/>
      <c r="I35" s="165"/>
      <c r="K35" s="165"/>
      <c r="L35" s="165"/>
      <c r="M35" s="165"/>
      <c r="N35" s="165"/>
      <c r="O35" s="165"/>
      <c r="P35" s="165"/>
      <c r="Q35" s="165"/>
      <c r="R35" s="165"/>
    </row>
    <row r="36" spans="2:18">
      <c r="B36" s="165"/>
      <c r="C36" s="165"/>
      <c r="D36" s="165"/>
      <c r="E36" s="165"/>
      <c r="F36" s="165"/>
      <c r="G36" s="165"/>
      <c r="H36" s="165"/>
      <c r="I36" s="165"/>
      <c r="K36" s="165"/>
      <c r="L36" s="165"/>
      <c r="M36" s="165"/>
      <c r="N36" s="165"/>
      <c r="O36" s="165"/>
      <c r="P36" s="165"/>
      <c r="Q36" s="165"/>
      <c r="R36" s="165"/>
    </row>
    <row r="37" spans="2:18">
      <c r="B37" s="165"/>
      <c r="C37" s="165"/>
      <c r="D37" s="165"/>
      <c r="E37" s="165"/>
      <c r="F37" s="165"/>
      <c r="G37" s="165"/>
      <c r="H37" s="165"/>
      <c r="I37" s="165"/>
      <c r="K37" s="165"/>
      <c r="L37" s="165"/>
      <c r="M37" s="165"/>
      <c r="N37" s="165"/>
      <c r="O37" s="165"/>
      <c r="P37" s="165"/>
      <c r="Q37" s="165"/>
      <c r="R37" s="165"/>
    </row>
    <row r="38" spans="2:18">
      <c r="K38" s="165"/>
      <c r="L38" s="165"/>
      <c r="M38" s="165"/>
      <c r="N38" s="165"/>
      <c r="O38" s="165"/>
      <c r="P38" s="165"/>
      <c r="Q38" s="165"/>
      <c r="R38" s="165"/>
    </row>
    <row r="39" spans="2:18" ht="12.75" customHeight="1">
      <c r="B39" s="168"/>
      <c r="C39" s="167"/>
      <c r="D39" s="167"/>
      <c r="E39" s="169" t="s">
        <v>8</v>
      </c>
      <c r="F39" s="169"/>
      <c r="G39" s="169"/>
      <c r="H39" s="169"/>
      <c r="I39" s="169"/>
      <c r="K39" s="165"/>
      <c r="L39" s="165"/>
      <c r="M39" s="165"/>
      <c r="N39" s="165"/>
      <c r="O39" s="165"/>
      <c r="P39" s="165"/>
      <c r="Q39" s="165"/>
      <c r="R39" s="165"/>
    </row>
    <row r="40" spans="2:18" ht="12.75" customHeight="1">
      <c r="B40" s="168"/>
      <c r="C40" s="167"/>
      <c r="D40" s="167"/>
      <c r="E40" s="167"/>
      <c r="F40" s="167"/>
      <c r="G40" s="167"/>
      <c r="H40" s="167"/>
      <c r="I40" s="83"/>
      <c r="K40" s="165"/>
      <c r="L40" s="165"/>
      <c r="M40" s="165"/>
      <c r="N40" s="165"/>
      <c r="O40" s="165"/>
      <c r="P40" s="165"/>
      <c r="Q40" s="165"/>
      <c r="R40" s="165"/>
    </row>
    <row r="41" spans="2:18" ht="12.75" customHeight="1">
      <c r="B41" s="165" t="s">
        <v>3</v>
      </c>
      <c r="C41" s="165"/>
      <c r="D41" s="165"/>
      <c r="E41" s="165"/>
      <c r="F41" s="165"/>
      <c r="G41" s="165"/>
      <c r="H41" s="165"/>
      <c r="I41" s="165"/>
      <c r="K41" s="165"/>
      <c r="L41" s="165"/>
      <c r="M41" s="165"/>
      <c r="N41" s="165"/>
      <c r="O41" s="165"/>
      <c r="P41" s="165"/>
      <c r="Q41" s="165"/>
      <c r="R41" s="165"/>
    </row>
    <row r="42" spans="2:18">
      <c r="B42" s="165"/>
      <c r="C42" s="165"/>
      <c r="D42" s="165"/>
      <c r="E42" s="165"/>
      <c r="F42" s="165"/>
      <c r="G42" s="165"/>
      <c r="H42" s="165"/>
      <c r="I42" s="165"/>
      <c r="K42" s="165"/>
      <c r="L42" s="165"/>
      <c r="M42" s="165"/>
      <c r="N42" s="165"/>
      <c r="O42" s="165"/>
      <c r="P42" s="165"/>
      <c r="Q42" s="165"/>
      <c r="R42" s="165"/>
    </row>
    <row r="43" spans="2:18">
      <c r="B43" s="165"/>
      <c r="C43" s="165"/>
      <c r="D43" s="165"/>
      <c r="E43" s="165"/>
      <c r="F43" s="165"/>
      <c r="G43" s="165"/>
      <c r="H43" s="165"/>
      <c r="I43" s="165"/>
      <c r="K43" s="165"/>
      <c r="L43" s="165"/>
      <c r="M43" s="165"/>
      <c r="N43" s="165"/>
      <c r="O43" s="165"/>
      <c r="P43" s="165"/>
      <c r="Q43" s="165"/>
      <c r="R43" s="165"/>
    </row>
    <row r="44" spans="2:18">
      <c r="B44" s="165"/>
      <c r="C44" s="165"/>
      <c r="D44" s="165"/>
      <c r="E44" s="165"/>
      <c r="F44" s="165"/>
      <c r="G44" s="165"/>
      <c r="H44" s="165"/>
      <c r="I44" s="165"/>
      <c r="K44" s="165"/>
      <c r="L44" s="165"/>
      <c r="M44" s="165"/>
      <c r="N44" s="165"/>
      <c r="O44" s="165"/>
      <c r="P44" s="165"/>
      <c r="Q44" s="165"/>
      <c r="R44" s="165"/>
    </row>
    <row r="45" spans="2:18">
      <c r="B45" s="165"/>
      <c r="C45" s="165"/>
      <c r="D45" s="165"/>
      <c r="E45" s="165"/>
      <c r="F45" s="165"/>
      <c r="G45" s="165"/>
      <c r="H45" s="165"/>
      <c r="I45" s="165"/>
      <c r="K45" s="165"/>
      <c r="L45" s="165"/>
      <c r="M45" s="165"/>
      <c r="N45" s="165"/>
      <c r="O45" s="165"/>
      <c r="P45" s="165"/>
      <c r="Q45" s="165"/>
      <c r="R45" s="165"/>
    </row>
    <row r="46" spans="2:18">
      <c r="B46" s="165"/>
      <c r="C46" s="165"/>
      <c r="D46" s="165"/>
      <c r="E46" s="165"/>
      <c r="F46" s="165"/>
      <c r="G46" s="165"/>
      <c r="H46" s="165"/>
      <c r="I46" s="165"/>
      <c r="K46" s="165"/>
      <c r="L46" s="165"/>
      <c r="M46" s="165"/>
      <c r="N46" s="165"/>
      <c r="O46" s="165"/>
      <c r="P46" s="165"/>
      <c r="Q46" s="165"/>
      <c r="R46" s="165"/>
    </row>
    <row r="47" spans="2:18">
      <c r="K47" s="165"/>
      <c r="L47" s="165"/>
      <c r="M47" s="165"/>
      <c r="N47" s="165"/>
      <c r="O47" s="165"/>
      <c r="P47" s="165"/>
      <c r="Q47" s="165"/>
      <c r="R47" s="165"/>
    </row>
    <row r="48" spans="2:18" ht="12.75" customHeight="1">
      <c r="B48" s="168"/>
      <c r="C48" s="167"/>
      <c r="D48" s="167"/>
      <c r="E48" s="169" t="s">
        <v>9</v>
      </c>
      <c r="F48" s="169"/>
      <c r="G48" s="169"/>
      <c r="H48" s="169"/>
      <c r="I48" s="169"/>
      <c r="K48" s="165"/>
      <c r="L48" s="165"/>
      <c r="M48" s="165"/>
      <c r="N48" s="165"/>
      <c r="O48" s="165"/>
      <c r="P48" s="165"/>
      <c r="Q48" s="165"/>
      <c r="R48" s="165"/>
    </row>
    <row r="49" spans="2:18" ht="12.75" customHeight="1">
      <c r="B49" s="168"/>
      <c r="C49" s="167"/>
      <c r="D49" s="167"/>
      <c r="E49" s="167"/>
      <c r="F49" s="167"/>
      <c r="G49" s="167"/>
      <c r="H49" s="167"/>
      <c r="I49" s="83"/>
      <c r="K49" s="165"/>
      <c r="L49" s="165"/>
      <c r="M49" s="165"/>
      <c r="N49" s="165"/>
      <c r="O49" s="165"/>
      <c r="P49" s="165"/>
      <c r="Q49" s="165"/>
      <c r="R49" s="165"/>
    </row>
    <row r="50" spans="2:18" ht="12.75" customHeight="1">
      <c r="B50" s="165" t="s">
        <v>3</v>
      </c>
      <c r="C50" s="165"/>
      <c r="D50" s="165"/>
      <c r="E50" s="165"/>
      <c r="F50" s="165"/>
      <c r="G50" s="165"/>
      <c r="H50" s="165"/>
      <c r="I50" s="165"/>
      <c r="K50" s="165"/>
      <c r="L50" s="165"/>
      <c r="M50" s="165"/>
      <c r="N50" s="165"/>
      <c r="O50" s="165"/>
      <c r="P50" s="165"/>
      <c r="Q50" s="165"/>
      <c r="R50" s="165"/>
    </row>
    <row r="51" spans="2:18">
      <c r="B51" s="165"/>
      <c r="C51" s="165"/>
      <c r="D51" s="165"/>
      <c r="E51" s="165"/>
      <c r="F51" s="165"/>
      <c r="G51" s="165"/>
      <c r="H51" s="165"/>
      <c r="I51" s="165"/>
      <c r="K51" s="165"/>
      <c r="L51" s="165"/>
      <c r="M51" s="165"/>
      <c r="N51" s="165"/>
      <c r="O51" s="165"/>
      <c r="P51" s="165"/>
      <c r="Q51" s="165"/>
      <c r="R51" s="165"/>
    </row>
    <row r="52" spans="2:18">
      <c r="B52" s="165"/>
      <c r="C52" s="165"/>
      <c r="D52" s="165"/>
      <c r="E52" s="165"/>
      <c r="F52" s="165"/>
      <c r="G52" s="165"/>
      <c r="H52" s="165"/>
      <c r="I52" s="165"/>
      <c r="K52" s="165"/>
      <c r="L52" s="165"/>
      <c r="M52" s="165"/>
      <c r="N52" s="165"/>
      <c r="O52" s="165"/>
      <c r="P52" s="165"/>
      <c r="Q52" s="165"/>
      <c r="R52" s="165"/>
    </row>
    <row r="53" spans="2:18">
      <c r="B53" s="165"/>
      <c r="C53" s="165"/>
      <c r="D53" s="165"/>
      <c r="E53" s="165"/>
      <c r="F53" s="165"/>
      <c r="G53" s="165"/>
      <c r="H53" s="165"/>
      <c r="I53" s="165"/>
      <c r="K53" s="165"/>
      <c r="L53" s="165"/>
      <c r="M53" s="165"/>
      <c r="N53" s="165"/>
      <c r="O53" s="165"/>
      <c r="P53" s="165"/>
      <c r="Q53" s="165"/>
      <c r="R53" s="165"/>
    </row>
    <row r="54" spans="2:18">
      <c r="B54" s="165"/>
      <c r="C54" s="165"/>
      <c r="D54" s="165"/>
      <c r="E54" s="165"/>
      <c r="F54" s="165"/>
      <c r="G54" s="165"/>
      <c r="H54" s="165"/>
      <c r="I54" s="165"/>
      <c r="K54" s="165"/>
      <c r="L54" s="165"/>
      <c r="M54" s="165"/>
      <c r="N54" s="165"/>
      <c r="O54" s="165"/>
      <c r="P54" s="165"/>
      <c r="Q54" s="165"/>
      <c r="R54" s="165"/>
    </row>
    <row r="55" spans="2:18">
      <c r="B55" s="165"/>
      <c r="C55" s="165"/>
      <c r="D55" s="165"/>
      <c r="E55" s="165"/>
      <c r="F55" s="165"/>
      <c r="G55" s="165"/>
      <c r="H55" s="165"/>
      <c r="I55" s="165"/>
      <c r="K55" s="165"/>
      <c r="L55" s="165"/>
      <c r="M55" s="165"/>
      <c r="N55" s="165"/>
      <c r="O55" s="165"/>
      <c r="P55" s="165"/>
      <c r="Q55" s="165"/>
      <c r="R55" s="165"/>
    </row>
    <row r="56" spans="2:18">
      <c r="B56" s="73"/>
      <c r="C56" s="73"/>
      <c r="D56" s="73"/>
      <c r="E56" s="73"/>
      <c r="F56" s="73"/>
      <c r="G56" s="73"/>
      <c r="H56" s="73"/>
      <c r="I56" s="73"/>
    </row>
    <row r="57" spans="2:18">
      <c r="B57" s="166"/>
      <c r="C57" s="166"/>
      <c r="D57" s="166"/>
      <c r="E57" s="166"/>
      <c r="F57" s="166"/>
      <c r="G57" s="166"/>
      <c r="H57" s="166"/>
      <c r="I57" s="166"/>
      <c r="K57" s="166"/>
      <c r="L57" s="166"/>
      <c r="M57" s="166"/>
      <c r="N57" s="166"/>
      <c r="O57" s="166"/>
      <c r="P57" s="166"/>
      <c r="Q57" s="166"/>
      <c r="R57" s="166"/>
    </row>
    <row r="59" spans="2:18" ht="17.45">
      <c r="B59" s="72"/>
      <c r="K59" s="72"/>
    </row>
    <row r="60" spans="2:18" ht="9.4" customHeight="1"/>
  </sheetData>
  <sheetProtection password="F817" sheet="1" objects="1" scenarios="1" selectLockedCells="1"/>
  <mergeCells count="44">
    <mergeCell ref="C21:D21"/>
    <mergeCell ref="G22:H22"/>
    <mergeCell ref="E21:I21"/>
    <mergeCell ref="C22:D22"/>
    <mergeCell ref="E22:F22"/>
    <mergeCell ref="C39:D39"/>
    <mergeCell ref="B39:B40"/>
    <mergeCell ref="E39:I39"/>
    <mergeCell ref="B30:B31"/>
    <mergeCell ref="E30:I30"/>
    <mergeCell ref="C30:D30"/>
    <mergeCell ref="C31:D31"/>
    <mergeCell ref="G49:H49"/>
    <mergeCell ref="B41:I46"/>
    <mergeCell ref="G13:H13"/>
    <mergeCell ref="R1:R3"/>
    <mergeCell ref="B12:B13"/>
    <mergeCell ref="B7:I8"/>
    <mergeCell ref="E12:I12"/>
    <mergeCell ref="I1:I3"/>
    <mergeCell ref="B10:E10"/>
    <mergeCell ref="C13:D13"/>
    <mergeCell ref="C12:D12"/>
    <mergeCell ref="B5:E5"/>
    <mergeCell ref="E13:F13"/>
    <mergeCell ref="B21:B22"/>
    <mergeCell ref="B14:I19"/>
    <mergeCell ref="B23:I28"/>
    <mergeCell ref="B50:I55"/>
    <mergeCell ref="K7:R28"/>
    <mergeCell ref="K32:R55"/>
    <mergeCell ref="B57:I57"/>
    <mergeCell ref="K57:R57"/>
    <mergeCell ref="E31:F31"/>
    <mergeCell ref="G31:H31"/>
    <mergeCell ref="C40:D40"/>
    <mergeCell ref="E40:F40"/>
    <mergeCell ref="G40:H40"/>
    <mergeCell ref="B48:B49"/>
    <mergeCell ref="E48:I48"/>
    <mergeCell ref="B32:I37"/>
    <mergeCell ref="C48:D48"/>
    <mergeCell ref="C49:D49"/>
    <mergeCell ref="E49:F49"/>
  </mergeCells>
  <phoneticPr fontId="2" type="noConversion"/>
  <pageMargins left="0.59055118110236227" right="0.59055118110236227" top="0.39370078740157483" bottom="0.39370078740157483"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indexed="50"/>
  </sheetPr>
  <dimension ref="B1:BZ61"/>
  <sheetViews>
    <sheetView showGridLines="0" topLeftCell="BE23" zoomScaleNormal="100" workbookViewId="0">
      <selection activeCell="BY29" sqref="BY29:BZ29"/>
    </sheetView>
  </sheetViews>
  <sheetFormatPr defaultColWidth="11.42578125" defaultRowHeight="13.15"/>
  <cols>
    <col min="1" max="2" width="4.7109375" customWidth="1"/>
    <col min="10" max="11" width="4.7109375" customWidth="1"/>
    <col min="19" max="20" width="4.7109375" customWidth="1"/>
    <col min="28" max="29" width="4.7109375" customWidth="1"/>
    <col min="37" max="38" width="4.7109375" customWidth="1"/>
    <col min="46" max="47" width="4.7109375" customWidth="1"/>
    <col min="55" max="56" width="4.7109375" customWidth="1"/>
    <col min="64" max="65" width="4.7109375" customWidth="1"/>
    <col min="67" max="78" width="5.7109375" customWidth="1"/>
  </cols>
  <sheetData>
    <row r="1" spans="2:78" ht="18" customHeight="1">
      <c r="B1" s="81"/>
      <c r="C1" s="93"/>
      <c r="D1" s="93"/>
      <c r="I1" s="171"/>
      <c r="K1" s="81"/>
      <c r="L1" s="93"/>
      <c r="M1" s="93"/>
      <c r="R1" s="171"/>
      <c r="T1" s="81"/>
      <c r="U1" s="93"/>
      <c r="V1" s="93"/>
      <c r="AA1" s="171"/>
      <c r="AC1" s="81"/>
      <c r="AD1" s="93"/>
      <c r="AE1" s="93"/>
      <c r="AJ1" s="171"/>
      <c r="AL1" s="81"/>
      <c r="AM1" s="93"/>
      <c r="AN1" s="93"/>
      <c r="AS1" s="171"/>
      <c r="AU1" s="81"/>
      <c r="AV1" s="93"/>
      <c r="AW1" s="93"/>
      <c r="BB1" s="171"/>
      <c r="BD1" s="81"/>
      <c r="BE1" s="93"/>
      <c r="BF1" s="93"/>
      <c r="BK1" s="171"/>
      <c r="BM1" s="194"/>
      <c r="BN1" s="194"/>
      <c r="BO1" s="194"/>
      <c r="BP1" s="194"/>
      <c r="BQ1" s="194"/>
      <c r="BY1" s="171"/>
      <c r="BZ1" s="171"/>
    </row>
    <row r="2" spans="2:78" ht="12.75" customHeight="1">
      <c r="I2" s="171"/>
      <c r="R2" s="171"/>
      <c r="AA2" s="171"/>
      <c r="AJ2" s="171"/>
      <c r="AS2" s="171"/>
      <c r="BB2" s="171"/>
      <c r="BK2" s="171"/>
      <c r="BY2" s="171"/>
      <c r="BZ2" s="171"/>
    </row>
    <row r="3" spans="2:78" ht="18.75" customHeight="1">
      <c r="B3" s="194"/>
      <c r="C3" s="194"/>
      <c r="D3" s="194"/>
      <c r="E3" s="194"/>
      <c r="I3" s="171"/>
      <c r="K3" s="194"/>
      <c r="L3" s="194"/>
      <c r="M3" s="194"/>
      <c r="N3" s="194"/>
      <c r="R3" s="171"/>
      <c r="T3" s="194"/>
      <c r="U3" s="194"/>
      <c r="V3" s="194"/>
      <c r="W3" s="194"/>
      <c r="AA3" s="171"/>
      <c r="AC3" s="194"/>
      <c r="AD3" s="194"/>
      <c r="AE3" s="194"/>
      <c r="AF3" s="194"/>
      <c r="AJ3" s="171"/>
      <c r="AL3" s="194"/>
      <c r="AM3" s="194"/>
      <c r="AN3" s="194"/>
      <c r="AO3" s="194"/>
      <c r="AS3" s="171"/>
      <c r="AU3" s="194"/>
      <c r="AV3" s="194"/>
      <c r="AW3" s="194"/>
      <c r="AX3" s="194"/>
      <c r="BB3" s="171"/>
      <c r="BD3" s="194"/>
      <c r="BE3" s="194"/>
      <c r="BF3" s="194"/>
      <c r="BG3" s="194"/>
      <c r="BK3" s="171"/>
      <c r="BM3" s="94"/>
      <c r="BN3" s="94"/>
      <c r="BO3" s="94"/>
      <c r="BP3" s="94"/>
      <c r="BQ3" s="94"/>
      <c r="BY3" s="171"/>
      <c r="BZ3" s="171"/>
    </row>
    <row r="5" spans="2:78" ht="13.9">
      <c r="B5" s="167"/>
      <c r="C5" s="167"/>
      <c r="D5" s="167"/>
      <c r="E5" s="167"/>
      <c r="K5" s="167"/>
      <c r="L5" s="167"/>
      <c r="M5" s="167"/>
      <c r="N5" s="167"/>
      <c r="T5" s="167"/>
      <c r="U5" s="167"/>
      <c r="V5" s="167"/>
      <c r="W5" s="167"/>
      <c r="AC5" s="167"/>
      <c r="AD5" s="167"/>
      <c r="AE5" s="167"/>
      <c r="AF5" s="167"/>
      <c r="AL5" s="167"/>
      <c r="AM5" s="167"/>
      <c r="AN5" s="167"/>
      <c r="AO5" s="167"/>
      <c r="AU5" s="167"/>
      <c r="AV5" s="167"/>
      <c r="AW5" s="167"/>
      <c r="AX5" s="167"/>
      <c r="AY5" s="95"/>
      <c r="AZ5" s="95"/>
      <c r="BA5" s="95"/>
      <c r="BB5" s="95"/>
      <c r="BD5" s="167"/>
      <c r="BE5" s="167"/>
      <c r="BF5" s="167"/>
      <c r="BG5" s="167"/>
      <c r="BM5" s="167"/>
      <c r="BN5" s="167"/>
      <c r="BO5" s="167"/>
      <c r="BP5" s="167"/>
      <c r="BQ5" s="167"/>
      <c r="BR5" s="167"/>
      <c r="BS5" s="167"/>
      <c r="BT5" s="96"/>
    </row>
    <row r="6" spans="2:78">
      <c r="AU6" s="95"/>
      <c r="AV6" s="95"/>
      <c r="AW6" s="95"/>
      <c r="AY6" s="95"/>
      <c r="AZ6" s="95"/>
      <c r="BA6" s="95"/>
      <c r="BB6" s="95"/>
    </row>
    <row r="7" spans="2:78" ht="13.5" customHeight="1">
      <c r="B7" s="195" t="s">
        <v>10</v>
      </c>
      <c r="C7" s="195"/>
      <c r="D7" s="195"/>
      <c r="E7" s="195"/>
      <c r="F7" s="195"/>
      <c r="G7" s="195"/>
      <c r="H7" s="195"/>
      <c r="I7" s="195"/>
      <c r="K7" s="195" t="s">
        <v>11</v>
      </c>
      <c r="L7" s="195"/>
      <c r="M7" s="195"/>
      <c r="N7" s="195"/>
      <c r="O7" s="195"/>
      <c r="P7" s="195"/>
      <c r="Q7" s="195"/>
      <c r="R7" s="195"/>
      <c r="T7" s="195" t="s">
        <v>12</v>
      </c>
      <c r="U7" s="195"/>
      <c r="V7" s="195"/>
      <c r="W7" s="195"/>
      <c r="X7" s="195"/>
      <c r="Y7" s="195"/>
      <c r="Z7" s="195"/>
      <c r="AA7" s="195"/>
      <c r="AC7" s="61"/>
      <c r="AD7" s="61"/>
      <c r="AE7" s="196" t="s">
        <v>13</v>
      </c>
      <c r="AF7" s="196"/>
      <c r="AG7" s="196" t="s">
        <v>14</v>
      </c>
      <c r="AH7" s="196"/>
      <c r="AI7" s="196" t="s">
        <v>15</v>
      </c>
      <c r="AJ7" s="196"/>
      <c r="AL7" s="165" t="s">
        <v>16</v>
      </c>
      <c r="AM7" s="165"/>
      <c r="AN7" s="165"/>
      <c r="AO7" s="165"/>
      <c r="AP7" s="165"/>
      <c r="AQ7" s="165"/>
      <c r="AR7" s="165"/>
      <c r="AS7" s="165"/>
      <c r="AU7" s="183" t="s">
        <v>17</v>
      </c>
      <c r="AV7" s="183"/>
      <c r="AW7" s="183"/>
      <c r="AX7" s="97"/>
      <c r="AY7" s="97"/>
      <c r="AZ7" s="97"/>
      <c r="BA7" s="97"/>
      <c r="BB7" s="97"/>
      <c r="BD7" s="203"/>
      <c r="BE7" s="203"/>
      <c r="BF7" s="203"/>
      <c r="BG7" s="97"/>
      <c r="BH7" s="97"/>
      <c r="BI7" s="97"/>
      <c r="BJ7" s="97"/>
      <c r="BK7" s="97"/>
      <c r="BM7" s="183" t="s">
        <v>18</v>
      </c>
      <c r="BN7" s="183"/>
      <c r="BO7" s="183"/>
      <c r="BP7" s="183"/>
      <c r="BQ7" s="98"/>
      <c r="BR7" s="98"/>
      <c r="BS7" s="98"/>
      <c r="BT7" s="98"/>
    </row>
    <row r="8" spans="2:78" ht="12.75" customHeight="1">
      <c r="B8" s="195"/>
      <c r="C8" s="195"/>
      <c r="D8" s="195"/>
      <c r="E8" s="195"/>
      <c r="F8" s="195"/>
      <c r="G8" s="195"/>
      <c r="H8" s="195"/>
      <c r="I8" s="195"/>
      <c r="K8" s="195"/>
      <c r="L8" s="195"/>
      <c r="M8" s="195"/>
      <c r="N8" s="195"/>
      <c r="O8" s="195"/>
      <c r="P8" s="195"/>
      <c r="Q8" s="195"/>
      <c r="R8" s="195"/>
      <c r="T8" s="195"/>
      <c r="U8" s="195"/>
      <c r="V8" s="195"/>
      <c r="W8" s="195"/>
      <c r="X8" s="195"/>
      <c r="Y8" s="195"/>
      <c r="Z8" s="195"/>
      <c r="AA8" s="195"/>
      <c r="AC8" s="175" t="s">
        <v>19</v>
      </c>
      <c r="AD8" s="175"/>
      <c r="AE8" s="174" t="s">
        <v>20</v>
      </c>
      <c r="AF8" s="174"/>
      <c r="AG8" s="174" t="s">
        <v>21</v>
      </c>
      <c r="AH8" s="174"/>
      <c r="AI8" s="174" t="s">
        <v>21</v>
      </c>
      <c r="AJ8" s="174"/>
      <c r="AL8" s="165"/>
      <c r="AM8" s="165"/>
      <c r="AN8" s="165"/>
      <c r="AO8" s="165"/>
      <c r="AP8" s="165"/>
      <c r="AQ8" s="165"/>
      <c r="AR8" s="165"/>
      <c r="AS8" s="165"/>
      <c r="AU8" s="165" t="s">
        <v>22</v>
      </c>
      <c r="AV8" s="165"/>
      <c r="AW8" s="165"/>
      <c r="AX8" s="165"/>
      <c r="AY8" s="165"/>
      <c r="AZ8" s="165"/>
      <c r="BA8" s="165"/>
      <c r="BB8" s="165"/>
      <c r="BD8" s="165" t="s">
        <v>23</v>
      </c>
      <c r="BE8" s="165"/>
      <c r="BF8" s="165"/>
      <c r="BG8" s="165"/>
      <c r="BH8" s="165"/>
      <c r="BI8" s="165"/>
      <c r="BJ8" s="165"/>
      <c r="BK8" s="165"/>
    </row>
    <row r="9" spans="2:78">
      <c r="B9" s="195"/>
      <c r="C9" s="195"/>
      <c r="D9" s="195"/>
      <c r="E9" s="195"/>
      <c r="F9" s="195"/>
      <c r="G9" s="195"/>
      <c r="H9" s="195"/>
      <c r="I9" s="195"/>
      <c r="K9" s="195"/>
      <c r="L9" s="195"/>
      <c r="M9" s="195"/>
      <c r="N9" s="195"/>
      <c r="O9" s="195"/>
      <c r="P9" s="195"/>
      <c r="Q9" s="195"/>
      <c r="R9" s="195"/>
      <c r="T9" s="195"/>
      <c r="U9" s="195"/>
      <c r="V9" s="195"/>
      <c r="W9" s="195"/>
      <c r="X9" s="195"/>
      <c r="Y9" s="195"/>
      <c r="Z9" s="195"/>
      <c r="AA9" s="195"/>
      <c r="AC9" s="175" t="s">
        <v>24</v>
      </c>
      <c r="AD9" s="175"/>
      <c r="AE9" s="174">
        <v>100</v>
      </c>
      <c r="AF9" s="174"/>
      <c r="AG9" s="174">
        <v>150</v>
      </c>
      <c r="AH9" s="174"/>
      <c r="AI9" s="174">
        <v>200</v>
      </c>
      <c r="AJ9" s="174"/>
      <c r="AL9" s="165"/>
      <c r="AM9" s="165"/>
      <c r="AN9" s="165"/>
      <c r="AO9" s="165"/>
      <c r="AP9" s="165"/>
      <c r="AQ9" s="165"/>
      <c r="AR9" s="165"/>
      <c r="AS9" s="165"/>
      <c r="AU9" s="97"/>
      <c r="AV9" s="97"/>
      <c r="AW9" s="97"/>
      <c r="AX9" s="97"/>
      <c r="AY9" s="97"/>
      <c r="AZ9" s="97"/>
      <c r="BA9" s="97"/>
      <c r="BB9" s="97"/>
      <c r="BD9" s="165"/>
      <c r="BE9" s="165"/>
      <c r="BF9" s="165"/>
      <c r="BG9" s="165"/>
      <c r="BH9" s="165"/>
      <c r="BI9" s="165"/>
      <c r="BJ9" s="165"/>
      <c r="BK9" s="165"/>
      <c r="BO9" s="193" t="s">
        <v>25</v>
      </c>
      <c r="BP9" s="193"/>
      <c r="BQ9" s="193"/>
      <c r="BR9" s="193" t="s">
        <v>26</v>
      </c>
      <c r="BS9" s="193"/>
      <c r="BT9" s="193"/>
      <c r="BU9" s="193" t="s">
        <v>27</v>
      </c>
      <c r="BV9" s="193"/>
      <c r="BW9" s="193"/>
      <c r="BX9" s="193" t="s">
        <v>28</v>
      </c>
      <c r="BY9" s="193"/>
      <c r="BZ9" s="193"/>
    </row>
    <row r="10" spans="2:78" ht="12.75" customHeight="1">
      <c r="B10" s="195"/>
      <c r="C10" s="195"/>
      <c r="D10" s="195"/>
      <c r="E10" s="195"/>
      <c r="F10" s="195"/>
      <c r="G10" s="195"/>
      <c r="H10" s="195"/>
      <c r="I10" s="195"/>
      <c r="K10" s="195"/>
      <c r="L10" s="195"/>
      <c r="M10" s="195"/>
      <c r="N10" s="195"/>
      <c r="O10" s="195"/>
      <c r="P10" s="195"/>
      <c r="Q10" s="195"/>
      <c r="R10" s="195"/>
      <c r="T10" s="195"/>
      <c r="U10" s="195"/>
      <c r="V10" s="195"/>
      <c r="W10" s="195"/>
      <c r="X10" s="195"/>
      <c r="Y10" s="195"/>
      <c r="Z10" s="195"/>
      <c r="AA10" s="195"/>
      <c r="AC10" s="175" t="s">
        <v>29</v>
      </c>
      <c r="AD10" s="175"/>
      <c r="AE10" s="174" t="s">
        <v>30</v>
      </c>
      <c r="AF10" s="174"/>
      <c r="AG10" s="174" t="s">
        <v>31</v>
      </c>
      <c r="AH10" s="174"/>
      <c r="AI10" s="174" t="s">
        <v>32</v>
      </c>
      <c r="AJ10" s="174"/>
      <c r="AL10" s="165"/>
      <c r="AM10" s="165"/>
      <c r="AN10" s="165"/>
      <c r="AO10" s="165"/>
      <c r="AP10" s="165"/>
      <c r="AQ10" s="165"/>
      <c r="AR10" s="165"/>
      <c r="AS10" s="165"/>
      <c r="AU10" s="183" t="s">
        <v>33</v>
      </c>
      <c r="AV10" s="183"/>
      <c r="AW10" s="183"/>
      <c r="AX10" s="97"/>
      <c r="AY10" s="97"/>
      <c r="AZ10" s="97"/>
      <c r="BA10" s="97"/>
      <c r="BB10" s="97"/>
      <c r="BD10" s="165"/>
      <c r="BE10" s="165"/>
      <c r="BF10" s="165"/>
      <c r="BG10" s="165"/>
      <c r="BH10" s="165"/>
      <c r="BI10" s="165"/>
      <c r="BJ10" s="165"/>
      <c r="BK10" s="165"/>
      <c r="BO10" s="193"/>
      <c r="BP10" s="193"/>
      <c r="BQ10" s="193"/>
      <c r="BR10" s="193"/>
      <c r="BS10" s="193"/>
      <c r="BT10" s="193"/>
      <c r="BU10" s="193"/>
      <c r="BV10" s="193"/>
      <c r="BW10" s="193"/>
      <c r="BX10" s="193"/>
      <c r="BY10" s="193"/>
      <c r="BZ10" s="193"/>
    </row>
    <row r="11" spans="2:78" ht="12.75" customHeight="1">
      <c r="B11" s="195"/>
      <c r="C11" s="195"/>
      <c r="D11" s="195"/>
      <c r="E11" s="195"/>
      <c r="F11" s="195"/>
      <c r="G11" s="195"/>
      <c r="H11" s="195"/>
      <c r="I11" s="195"/>
      <c r="K11" s="195"/>
      <c r="L11" s="195"/>
      <c r="M11" s="195"/>
      <c r="N11" s="195"/>
      <c r="O11" s="195"/>
      <c r="P11" s="195"/>
      <c r="Q11" s="195"/>
      <c r="R11" s="195"/>
      <c r="T11" s="195"/>
      <c r="U11" s="195"/>
      <c r="V11" s="195"/>
      <c r="W11" s="195"/>
      <c r="X11" s="195"/>
      <c r="Y11" s="195"/>
      <c r="Z11" s="195"/>
      <c r="AA11" s="195"/>
      <c r="AC11" s="175" t="s">
        <v>34</v>
      </c>
      <c r="AD11" s="175"/>
      <c r="AE11" s="174" t="s">
        <v>35</v>
      </c>
      <c r="AF11" s="174"/>
      <c r="AG11" s="174" t="s">
        <v>35</v>
      </c>
      <c r="AH11" s="174"/>
      <c r="AI11" s="174" t="s">
        <v>35</v>
      </c>
      <c r="AJ11" s="174"/>
      <c r="AL11" s="165"/>
      <c r="AM11" s="165"/>
      <c r="AN11" s="165"/>
      <c r="AO11" s="165"/>
      <c r="AP11" s="165"/>
      <c r="AQ11" s="165"/>
      <c r="AR11" s="165"/>
      <c r="AS11" s="165"/>
      <c r="AU11" s="165" t="s">
        <v>36</v>
      </c>
      <c r="AV11" s="165"/>
      <c r="AW11" s="165"/>
      <c r="AX11" s="165"/>
      <c r="AY11" s="165"/>
      <c r="AZ11" s="165"/>
      <c r="BA11" s="165"/>
      <c r="BB11" s="165"/>
      <c r="BD11" s="165"/>
      <c r="BE11" s="165"/>
      <c r="BF11" s="165"/>
      <c r="BG11" s="165"/>
      <c r="BH11" s="165"/>
      <c r="BI11" s="165"/>
      <c r="BJ11" s="165"/>
      <c r="BK11" s="165"/>
      <c r="BM11" s="182" t="s">
        <v>37</v>
      </c>
      <c r="BN11" s="182"/>
      <c r="BO11" s="192">
        <v>1</v>
      </c>
      <c r="BP11" s="192"/>
      <c r="BQ11" s="192"/>
      <c r="BR11" s="192">
        <v>10</v>
      </c>
      <c r="BS11" s="192"/>
      <c r="BT11" s="192"/>
      <c r="BU11" s="192">
        <v>5</v>
      </c>
      <c r="BV11" s="192"/>
      <c r="BW11" s="192"/>
      <c r="BX11" s="192">
        <v>1</v>
      </c>
      <c r="BY11" s="192"/>
      <c r="BZ11" s="192"/>
    </row>
    <row r="12" spans="2:78" ht="12.75" customHeight="1">
      <c r="B12" s="195"/>
      <c r="C12" s="195"/>
      <c r="D12" s="195"/>
      <c r="E12" s="195"/>
      <c r="F12" s="195"/>
      <c r="G12" s="195"/>
      <c r="H12" s="195"/>
      <c r="I12" s="195"/>
      <c r="K12" s="195"/>
      <c r="L12" s="195"/>
      <c r="M12" s="195"/>
      <c r="N12" s="195"/>
      <c r="O12" s="195"/>
      <c r="P12" s="195"/>
      <c r="Q12" s="195"/>
      <c r="R12" s="195"/>
      <c r="T12" s="195"/>
      <c r="U12" s="195"/>
      <c r="V12" s="195"/>
      <c r="W12" s="195"/>
      <c r="X12" s="195"/>
      <c r="Y12" s="195"/>
      <c r="Z12" s="195"/>
      <c r="AA12" s="195"/>
      <c r="AC12" s="175" t="s">
        <v>38</v>
      </c>
      <c r="AD12" s="175"/>
      <c r="AE12" s="174" t="s">
        <v>39</v>
      </c>
      <c r="AF12" s="174"/>
      <c r="AG12" s="174" t="s">
        <v>40</v>
      </c>
      <c r="AH12" s="174"/>
      <c r="AI12" s="174" t="s">
        <v>41</v>
      </c>
      <c r="AJ12" s="174"/>
      <c r="AL12" s="165"/>
      <c r="AM12" s="165"/>
      <c r="AN12" s="165"/>
      <c r="AO12" s="165"/>
      <c r="AP12" s="165"/>
      <c r="AQ12" s="165"/>
      <c r="AR12" s="165"/>
      <c r="AS12" s="165"/>
      <c r="AU12" s="165"/>
      <c r="AV12" s="165"/>
      <c r="AW12" s="165"/>
      <c r="AX12" s="165"/>
      <c r="AY12" s="165"/>
      <c r="AZ12" s="165"/>
      <c r="BA12" s="165"/>
      <c r="BB12" s="165"/>
      <c r="BD12" s="165"/>
      <c r="BE12" s="165"/>
      <c r="BF12" s="165"/>
      <c r="BG12" s="165"/>
      <c r="BH12" s="165"/>
      <c r="BI12" s="165"/>
      <c r="BJ12" s="165"/>
      <c r="BK12" s="165"/>
      <c r="BM12" s="182" t="s">
        <v>42</v>
      </c>
      <c r="BN12" s="182"/>
      <c r="BO12" s="192"/>
      <c r="BP12" s="192"/>
      <c r="BQ12" s="192"/>
      <c r="BR12" s="192"/>
      <c r="BS12" s="192"/>
      <c r="BT12" s="192"/>
      <c r="BU12" s="192"/>
      <c r="BV12" s="192"/>
      <c r="BW12" s="192"/>
      <c r="BX12" s="192"/>
      <c r="BY12" s="192"/>
      <c r="BZ12" s="192"/>
    </row>
    <row r="13" spans="2:78" ht="12.75" customHeight="1">
      <c r="B13" s="195"/>
      <c r="C13" s="195"/>
      <c r="D13" s="195"/>
      <c r="E13" s="195"/>
      <c r="F13" s="195"/>
      <c r="G13" s="195"/>
      <c r="H13" s="195"/>
      <c r="I13" s="195"/>
      <c r="K13" s="195"/>
      <c r="L13" s="195"/>
      <c r="M13" s="195"/>
      <c r="N13" s="195"/>
      <c r="O13" s="195"/>
      <c r="P13" s="195"/>
      <c r="Q13" s="195"/>
      <c r="R13" s="195"/>
      <c r="T13" s="195"/>
      <c r="U13" s="195"/>
      <c r="V13" s="195"/>
      <c r="W13" s="195"/>
      <c r="X13" s="195"/>
      <c r="Y13" s="195"/>
      <c r="Z13" s="195"/>
      <c r="AA13" s="195"/>
      <c r="AC13" s="175" t="s">
        <v>43</v>
      </c>
      <c r="AD13" s="175"/>
      <c r="AE13" s="174" t="s">
        <v>44</v>
      </c>
      <c r="AF13" s="174"/>
      <c r="AG13" s="174" t="s">
        <v>30</v>
      </c>
      <c r="AH13" s="174"/>
      <c r="AI13" s="174" t="s">
        <v>32</v>
      </c>
      <c r="AJ13" s="174"/>
      <c r="AL13" s="165"/>
      <c r="AM13" s="165"/>
      <c r="AN13" s="165"/>
      <c r="AO13" s="165"/>
      <c r="AP13" s="165"/>
      <c r="AQ13" s="165"/>
      <c r="AR13" s="165"/>
      <c r="AS13" s="165"/>
      <c r="AU13" s="97"/>
      <c r="AV13" s="97"/>
      <c r="AW13" s="97"/>
      <c r="AX13" s="97"/>
      <c r="AY13" s="97"/>
      <c r="AZ13" s="97"/>
      <c r="BA13" s="97"/>
      <c r="BB13" s="97"/>
      <c r="BD13" s="204"/>
      <c r="BE13" s="204"/>
      <c r="BF13" s="204"/>
      <c r="BG13" s="204"/>
      <c r="BH13" s="204"/>
      <c r="BI13" s="204"/>
      <c r="BJ13" s="204"/>
      <c r="BK13" s="204"/>
      <c r="BM13" s="182" t="s">
        <v>45</v>
      </c>
      <c r="BN13" s="182"/>
      <c r="BO13" s="192"/>
      <c r="BP13" s="192"/>
      <c r="BQ13" s="192"/>
      <c r="BR13" s="192"/>
      <c r="BS13" s="192"/>
      <c r="BT13" s="192"/>
      <c r="BU13" s="192"/>
      <c r="BV13" s="192"/>
      <c r="BW13" s="192"/>
      <c r="BX13" s="192"/>
      <c r="BY13" s="192"/>
      <c r="BZ13" s="192"/>
    </row>
    <row r="14" spans="2:78">
      <c r="B14" s="195"/>
      <c r="C14" s="195"/>
      <c r="D14" s="195"/>
      <c r="E14" s="195"/>
      <c r="F14" s="195"/>
      <c r="G14" s="195"/>
      <c r="H14" s="195"/>
      <c r="I14" s="195"/>
      <c r="K14" s="195"/>
      <c r="L14" s="195"/>
      <c r="M14" s="195"/>
      <c r="N14" s="195"/>
      <c r="O14" s="195"/>
      <c r="P14" s="195"/>
      <c r="Q14" s="195"/>
      <c r="R14" s="195"/>
      <c r="T14" s="195"/>
      <c r="U14" s="195"/>
      <c r="V14" s="195"/>
      <c r="W14" s="195"/>
      <c r="X14" s="195"/>
      <c r="Y14" s="195"/>
      <c r="Z14" s="195"/>
      <c r="AA14" s="195"/>
      <c r="AC14" s="175" t="s">
        <v>46</v>
      </c>
      <c r="AD14" s="175"/>
      <c r="AE14" s="174" t="s">
        <v>47</v>
      </c>
      <c r="AF14" s="174"/>
      <c r="AG14" s="174" t="s">
        <v>48</v>
      </c>
      <c r="AH14" s="174"/>
      <c r="AI14" s="174" t="s">
        <v>48</v>
      </c>
      <c r="AJ14" s="174"/>
      <c r="AL14" s="165"/>
      <c r="AM14" s="165"/>
      <c r="AN14" s="165"/>
      <c r="AO14" s="165"/>
      <c r="AP14" s="165"/>
      <c r="AQ14" s="165"/>
      <c r="AR14" s="165"/>
      <c r="AS14" s="165"/>
      <c r="AU14" s="183" t="s">
        <v>49</v>
      </c>
      <c r="AV14" s="183"/>
      <c r="AW14" s="183"/>
      <c r="AX14" s="99"/>
      <c r="AY14" s="99"/>
      <c r="AZ14" s="99"/>
      <c r="BA14" s="99"/>
      <c r="BB14" s="99"/>
      <c r="BD14" s="310"/>
      <c r="BE14" s="310"/>
      <c r="BF14" s="310"/>
      <c r="BG14" s="310"/>
      <c r="BH14" s="310"/>
      <c r="BI14" s="310"/>
      <c r="BJ14" s="310"/>
      <c r="BK14" s="310"/>
      <c r="BM14" s="182" t="s">
        <v>50</v>
      </c>
      <c r="BN14" s="182"/>
      <c r="BO14" s="192"/>
      <c r="BP14" s="192"/>
      <c r="BQ14" s="192"/>
      <c r="BR14" s="192"/>
      <c r="BS14" s="192"/>
      <c r="BT14" s="192"/>
      <c r="BU14" s="192"/>
      <c r="BV14" s="192"/>
      <c r="BW14" s="192"/>
      <c r="BX14" s="192"/>
      <c r="BY14" s="192"/>
      <c r="BZ14" s="192"/>
    </row>
    <row r="15" spans="2:78">
      <c r="B15" s="195"/>
      <c r="C15" s="195"/>
      <c r="D15" s="195"/>
      <c r="E15" s="195"/>
      <c r="F15" s="195"/>
      <c r="G15" s="195"/>
      <c r="H15" s="195"/>
      <c r="I15" s="195"/>
      <c r="K15" s="195"/>
      <c r="L15" s="195"/>
      <c r="M15" s="195"/>
      <c r="N15" s="195"/>
      <c r="O15" s="195"/>
      <c r="P15" s="195"/>
      <c r="Q15" s="195"/>
      <c r="R15" s="195"/>
      <c r="T15" s="195"/>
      <c r="U15" s="195"/>
      <c r="V15" s="195"/>
      <c r="W15" s="195"/>
      <c r="X15" s="195"/>
      <c r="Y15" s="195"/>
      <c r="Z15" s="195"/>
      <c r="AA15" s="195"/>
      <c r="AC15" s="175" t="s">
        <v>51</v>
      </c>
      <c r="AD15" s="175"/>
      <c r="AE15" s="174" t="s">
        <v>52</v>
      </c>
      <c r="AF15" s="174"/>
      <c r="AG15" s="174" t="s">
        <v>52</v>
      </c>
      <c r="AH15" s="174"/>
      <c r="AI15" s="174" t="s">
        <v>52</v>
      </c>
      <c r="AJ15" s="174"/>
      <c r="AL15" s="165"/>
      <c r="AM15" s="165"/>
      <c r="AN15" s="165"/>
      <c r="AO15" s="165"/>
      <c r="AP15" s="165"/>
      <c r="AQ15" s="165"/>
      <c r="AR15" s="165"/>
      <c r="AS15" s="165"/>
      <c r="AU15" s="201"/>
      <c r="AV15" s="201"/>
      <c r="AW15" s="201"/>
      <c r="AX15" s="201"/>
      <c r="AY15" s="201"/>
      <c r="AZ15" s="201"/>
      <c r="BA15" s="201"/>
      <c r="BB15" s="201"/>
      <c r="BD15" s="310"/>
      <c r="BE15" s="310"/>
      <c r="BF15" s="310"/>
      <c r="BG15" s="310"/>
      <c r="BH15" s="310"/>
      <c r="BI15" s="310"/>
      <c r="BJ15" s="310"/>
      <c r="BK15" s="310"/>
      <c r="BM15" s="182" t="s">
        <v>53</v>
      </c>
      <c r="BN15" s="182"/>
      <c r="BO15" s="192"/>
      <c r="BP15" s="192"/>
      <c r="BQ15" s="192"/>
      <c r="BR15" s="192"/>
      <c r="BS15" s="192"/>
      <c r="BT15" s="192"/>
      <c r="BU15" s="192"/>
      <c r="BV15" s="192"/>
      <c r="BW15" s="192"/>
      <c r="BX15" s="192"/>
      <c r="BY15" s="192"/>
      <c r="BZ15" s="192"/>
    </row>
    <row r="16" spans="2:78">
      <c r="B16" s="195"/>
      <c r="C16" s="195"/>
      <c r="D16" s="195"/>
      <c r="E16" s="195"/>
      <c r="F16" s="195"/>
      <c r="G16" s="195"/>
      <c r="H16" s="195"/>
      <c r="I16" s="195"/>
      <c r="K16" s="195"/>
      <c r="L16" s="195"/>
      <c r="M16" s="195"/>
      <c r="N16" s="195"/>
      <c r="O16" s="195"/>
      <c r="P16" s="195"/>
      <c r="Q16" s="195"/>
      <c r="R16" s="195"/>
      <c r="T16" s="195"/>
      <c r="U16" s="195"/>
      <c r="V16" s="195"/>
      <c r="W16" s="195"/>
      <c r="X16" s="195"/>
      <c r="Y16" s="195"/>
      <c r="Z16" s="195"/>
      <c r="AA16" s="195"/>
      <c r="AC16" s="175" t="s">
        <v>54</v>
      </c>
      <c r="AD16" s="175"/>
      <c r="AE16" s="174" t="s">
        <v>44</v>
      </c>
      <c r="AF16" s="174"/>
      <c r="AG16" s="174" t="s">
        <v>44</v>
      </c>
      <c r="AH16" s="174"/>
      <c r="AI16" s="174" t="s">
        <v>44</v>
      </c>
      <c r="AJ16" s="174"/>
      <c r="AL16" s="165"/>
      <c r="AM16" s="165"/>
      <c r="AN16" s="165"/>
      <c r="AO16" s="165"/>
      <c r="AP16" s="165"/>
      <c r="AQ16" s="165"/>
      <c r="AR16" s="165"/>
      <c r="AS16" s="165"/>
      <c r="AU16" s="201"/>
      <c r="AV16" s="201"/>
      <c r="AW16" s="201"/>
      <c r="AX16" s="201"/>
      <c r="AY16" s="201"/>
      <c r="AZ16" s="201"/>
      <c r="BA16" s="201"/>
      <c r="BB16" s="201"/>
      <c r="BD16" s="310"/>
      <c r="BE16" s="310"/>
      <c r="BF16" s="310"/>
      <c r="BG16" s="310"/>
      <c r="BH16" s="310"/>
      <c r="BI16" s="310"/>
      <c r="BJ16" s="310"/>
      <c r="BK16" s="310"/>
      <c r="BM16" s="182" t="s">
        <v>55</v>
      </c>
      <c r="BN16" s="182"/>
      <c r="BO16" s="192"/>
      <c r="BP16" s="192"/>
      <c r="BQ16" s="192"/>
      <c r="BR16" s="192"/>
      <c r="BS16" s="192"/>
      <c r="BT16" s="192"/>
      <c r="BU16" s="192"/>
      <c r="BV16" s="192"/>
      <c r="BW16" s="192"/>
      <c r="BX16" s="192"/>
      <c r="BY16" s="192"/>
      <c r="BZ16" s="192"/>
    </row>
    <row r="17" spans="2:78">
      <c r="B17" s="195"/>
      <c r="C17" s="195"/>
      <c r="D17" s="195"/>
      <c r="E17" s="195"/>
      <c r="F17" s="195"/>
      <c r="G17" s="195"/>
      <c r="H17" s="195"/>
      <c r="I17" s="195"/>
      <c r="K17" s="195"/>
      <c r="L17" s="195"/>
      <c r="M17" s="195"/>
      <c r="N17" s="195"/>
      <c r="O17" s="195"/>
      <c r="P17" s="195"/>
      <c r="Q17" s="195"/>
      <c r="R17" s="195"/>
      <c r="T17" s="195"/>
      <c r="U17" s="195"/>
      <c r="V17" s="195"/>
      <c r="W17" s="195"/>
      <c r="X17" s="195"/>
      <c r="Y17" s="195"/>
      <c r="Z17" s="195"/>
      <c r="AA17" s="195"/>
      <c r="AC17" s="97"/>
      <c r="AD17" s="97"/>
      <c r="AE17" s="97"/>
      <c r="AF17" s="97"/>
      <c r="AG17" s="97"/>
      <c r="AH17" s="97"/>
      <c r="AI17" s="97"/>
      <c r="AJ17" s="97"/>
      <c r="AL17" s="95"/>
      <c r="AM17" s="95"/>
      <c r="AN17" s="95"/>
      <c r="AO17" s="95"/>
      <c r="AP17" s="95"/>
      <c r="AQ17" s="95"/>
      <c r="AR17" s="95"/>
      <c r="AS17" s="95"/>
      <c r="AU17" s="201"/>
      <c r="AV17" s="201"/>
      <c r="AW17" s="201"/>
      <c r="AX17" s="201"/>
      <c r="AY17" s="201"/>
      <c r="AZ17" s="201"/>
      <c r="BA17" s="201"/>
      <c r="BB17" s="201"/>
      <c r="BD17" s="310"/>
      <c r="BE17" s="310"/>
      <c r="BF17" s="310"/>
      <c r="BG17" s="310"/>
      <c r="BH17" s="310"/>
      <c r="BI17" s="310"/>
      <c r="BJ17" s="310"/>
      <c r="BK17" s="310"/>
      <c r="BM17" s="182" t="s">
        <v>56</v>
      </c>
      <c r="BN17" s="182"/>
      <c r="BO17" s="192"/>
      <c r="BP17" s="192"/>
      <c r="BQ17" s="192"/>
      <c r="BR17" s="192"/>
      <c r="BS17" s="192"/>
      <c r="BT17" s="192"/>
      <c r="BU17" s="192"/>
      <c r="BV17" s="192"/>
      <c r="BW17" s="192"/>
      <c r="BX17" s="192"/>
      <c r="BY17" s="192"/>
      <c r="BZ17" s="192"/>
    </row>
    <row r="18" spans="2:78" ht="13.9">
      <c r="B18" s="195"/>
      <c r="C18" s="195"/>
      <c r="D18" s="195"/>
      <c r="E18" s="195"/>
      <c r="F18" s="195"/>
      <c r="G18" s="195"/>
      <c r="H18" s="195"/>
      <c r="I18" s="195"/>
      <c r="K18" s="195"/>
      <c r="L18" s="195"/>
      <c r="M18" s="195"/>
      <c r="N18" s="195"/>
      <c r="O18" s="195"/>
      <c r="P18" s="195"/>
      <c r="Q18" s="195"/>
      <c r="R18" s="195"/>
      <c r="T18" s="195"/>
      <c r="U18" s="195"/>
      <c r="V18" s="195"/>
      <c r="W18" s="195"/>
      <c r="X18" s="195"/>
      <c r="Y18" s="195"/>
      <c r="Z18" s="195"/>
      <c r="AA18" s="195"/>
      <c r="AC18" s="97"/>
      <c r="AD18" s="97"/>
      <c r="AE18" s="196" t="s">
        <v>13</v>
      </c>
      <c r="AF18" s="196"/>
      <c r="AG18" s="196" t="s">
        <v>14</v>
      </c>
      <c r="AH18" s="196"/>
      <c r="AI18" s="196" t="s">
        <v>15</v>
      </c>
      <c r="AJ18" s="196"/>
      <c r="AL18" s="167"/>
      <c r="AM18" s="167"/>
      <c r="AN18" s="167"/>
      <c r="AO18" s="167"/>
      <c r="AU18" s="201"/>
      <c r="AV18" s="201"/>
      <c r="AW18" s="201"/>
      <c r="AX18" s="201"/>
      <c r="AY18" s="201"/>
      <c r="AZ18" s="201"/>
      <c r="BA18" s="201"/>
      <c r="BB18" s="201"/>
      <c r="BD18" s="310"/>
      <c r="BE18" s="310"/>
      <c r="BF18" s="310"/>
      <c r="BG18" s="310"/>
      <c r="BH18" s="310"/>
      <c r="BI18" s="310"/>
      <c r="BJ18" s="310"/>
      <c r="BK18" s="310"/>
      <c r="BM18" s="182" t="s">
        <v>57</v>
      </c>
      <c r="BN18" s="182"/>
      <c r="BO18" s="192"/>
      <c r="BP18" s="192"/>
      <c r="BQ18" s="192"/>
      <c r="BR18" s="192"/>
      <c r="BS18" s="192"/>
      <c r="BT18" s="192"/>
      <c r="BU18" s="192"/>
      <c r="BV18" s="192"/>
      <c r="BW18" s="192"/>
      <c r="BX18" s="192"/>
      <c r="BY18" s="192"/>
      <c r="BZ18" s="192"/>
    </row>
    <row r="19" spans="2:78">
      <c r="B19" s="195"/>
      <c r="C19" s="195"/>
      <c r="D19" s="195"/>
      <c r="E19" s="195"/>
      <c r="F19" s="195"/>
      <c r="G19" s="195"/>
      <c r="H19" s="195"/>
      <c r="I19" s="195"/>
      <c r="K19" s="195"/>
      <c r="L19" s="195"/>
      <c r="M19" s="195"/>
      <c r="N19" s="195"/>
      <c r="O19" s="195"/>
      <c r="P19" s="195"/>
      <c r="Q19" s="195"/>
      <c r="R19" s="195"/>
      <c r="T19" s="195"/>
      <c r="U19" s="195"/>
      <c r="V19" s="195"/>
      <c r="W19" s="195"/>
      <c r="X19" s="195"/>
      <c r="Y19" s="195"/>
      <c r="Z19" s="195"/>
      <c r="AA19" s="195"/>
      <c r="AC19" s="175" t="s">
        <v>19</v>
      </c>
      <c r="AD19" s="175"/>
      <c r="AE19" s="174" t="s">
        <v>58</v>
      </c>
      <c r="AF19" s="174"/>
      <c r="AG19" s="174" t="s">
        <v>21</v>
      </c>
      <c r="AH19" s="174"/>
      <c r="AI19" s="174" t="s">
        <v>21</v>
      </c>
      <c r="AJ19" s="174"/>
      <c r="AU19" s="201"/>
      <c r="AV19" s="201"/>
      <c r="AW19" s="201"/>
      <c r="AX19" s="201"/>
      <c r="AY19" s="201"/>
      <c r="AZ19" s="201"/>
      <c r="BA19" s="201"/>
      <c r="BB19" s="201"/>
      <c r="BD19" s="310"/>
      <c r="BE19" s="310"/>
      <c r="BF19" s="310"/>
      <c r="BG19" s="310"/>
      <c r="BH19" s="310"/>
      <c r="BI19" s="310"/>
      <c r="BJ19" s="310"/>
      <c r="BK19" s="310"/>
      <c r="BM19" s="182" t="s">
        <v>59</v>
      </c>
      <c r="BN19" s="182"/>
      <c r="BO19" s="192"/>
      <c r="BP19" s="192"/>
      <c r="BQ19" s="192"/>
      <c r="BR19" s="192"/>
      <c r="BS19" s="192"/>
      <c r="BT19" s="192"/>
      <c r="BU19" s="192"/>
      <c r="BV19" s="192"/>
      <c r="BW19" s="192"/>
      <c r="BX19" s="192"/>
      <c r="BY19" s="192"/>
      <c r="BZ19" s="192"/>
    </row>
    <row r="20" spans="2:78" ht="13.5" customHeight="1">
      <c r="B20" s="195"/>
      <c r="C20" s="195"/>
      <c r="D20" s="195"/>
      <c r="E20" s="195"/>
      <c r="F20" s="195"/>
      <c r="G20" s="195"/>
      <c r="H20" s="195"/>
      <c r="I20" s="195"/>
      <c r="K20" s="195"/>
      <c r="L20" s="195"/>
      <c r="M20" s="195"/>
      <c r="N20" s="195"/>
      <c r="O20" s="195"/>
      <c r="P20" s="195"/>
      <c r="Q20" s="195"/>
      <c r="R20" s="195"/>
      <c r="T20" s="195"/>
      <c r="U20" s="195"/>
      <c r="V20" s="195"/>
      <c r="W20" s="195"/>
      <c r="X20" s="195"/>
      <c r="Y20" s="195"/>
      <c r="Z20" s="195"/>
      <c r="AA20" s="195"/>
      <c r="AC20" s="175" t="s">
        <v>24</v>
      </c>
      <c r="AD20" s="175"/>
      <c r="AE20" s="197">
        <v>100</v>
      </c>
      <c r="AF20" s="198"/>
      <c r="AG20" s="197">
        <v>150</v>
      </c>
      <c r="AH20" s="198"/>
      <c r="AI20" s="197">
        <v>200</v>
      </c>
      <c r="AJ20" s="198"/>
      <c r="AL20" s="165" t="s">
        <v>60</v>
      </c>
      <c r="AM20" s="165"/>
      <c r="AN20" s="165"/>
      <c r="AO20" s="165"/>
      <c r="AP20" s="165"/>
      <c r="AQ20" s="165"/>
      <c r="AR20" s="165"/>
      <c r="AS20" s="165"/>
      <c r="AU20" s="201"/>
      <c r="AV20" s="201"/>
      <c r="AW20" s="201"/>
      <c r="AX20" s="201"/>
      <c r="AY20" s="201"/>
      <c r="AZ20" s="201"/>
      <c r="BA20" s="201"/>
      <c r="BB20" s="201"/>
      <c r="BD20" s="310"/>
      <c r="BE20" s="310"/>
      <c r="BF20" s="310"/>
      <c r="BG20" s="310"/>
      <c r="BH20" s="310"/>
      <c r="BI20" s="310"/>
      <c r="BJ20" s="310"/>
      <c r="BK20" s="310"/>
      <c r="BM20" s="182" t="s">
        <v>61</v>
      </c>
      <c r="BN20" s="182"/>
      <c r="BO20" s="192"/>
      <c r="BP20" s="192"/>
      <c r="BQ20" s="192"/>
      <c r="BR20" s="192"/>
      <c r="BS20" s="192"/>
      <c r="BT20" s="192"/>
      <c r="BU20" s="192"/>
      <c r="BV20" s="192"/>
      <c r="BW20" s="192"/>
      <c r="BX20" s="192"/>
      <c r="BY20" s="192"/>
      <c r="BZ20" s="192"/>
    </row>
    <row r="21" spans="2:78" ht="12.75" customHeight="1" thickBot="1">
      <c r="B21" s="195"/>
      <c r="C21" s="195"/>
      <c r="D21" s="195"/>
      <c r="E21" s="195"/>
      <c r="F21" s="195"/>
      <c r="G21" s="195"/>
      <c r="H21" s="195"/>
      <c r="I21" s="195"/>
      <c r="K21" s="195"/>
      <c r="L21" s="195"/>
      <c r="M21" s="195"/>
      <c r="N21" s="195"/>
      <c r="O21" s="195"/>
      <c r="P21" s="195"/>
      <c r="Q21" s="195"/>
      <c r="R21" s="195"/>
      <c r="T21" s="195"/>
      <c r="U21" s="195"/>
      <c r="V21" s="195"/>
      <c r="W21" s="195"/>
      <c r="X21" s="195"/>
      <c r="Y21" s="195"/>
      <c r="Z21" s="195"/>
      <c r="AA21" s="195"/>
      <c r="AC21" s="175" t="s">
        <v>29</v>
      </c>
      <c r="AD21" s="175"/>
      <c r="AE21" s="197" t="s">
        <v>30</v>
      </c>
      <c r="AF21" s="198"/>
      <c r="AG21" s="197" t="s">
        <v>31</v>
      </c>
      <c r="AH21" s="198"/>
      <c r="AI21" s="197" t="s">
        <v>32</v>
      </c>
      <c r="AJ21" s="198"/>
      <c r="AL21" s="165"/>
      <c r="AM21" s="165"/>
      <c r="AN21" s="165"/>
      <c r="AO21" s="165"/>
      <c r="AP21" s="165"/>
      <c r="AQ21" s="165"/>
      <c r="AR21" s="165"/>
      <c r="AS21" s="165"/>
      <c r="AU21" s="201"/>
      <c r="AV21" s="201"/>
      <c r="AW21" s="201"/>
      <c r="AX21" s="201"/>
      <c r="AY21" s="201"/>
      <c r="AZ21" s="201"/>
      <c r="BA21" s="201"/>
      <c r="BB21" s="201"/>
      <c r="BD21" s="310"/>
      <c r="BE21" s="310"/>
      <c r="BF21" s="310"/>
      <c r="BG21" s="310"/>
      <c r="BH21" s="310"/>
      <c r="BI21" s="310"/>
      <c r="BJ21" s="310"/>
      <c r="BK21" s="310"/>
    </row>
    <row r="22" spans="2:78" ht="12.75" customHeight="1" thickBot="1">
      <c r="B22" s="195"/>
      <c r="C22" s="195"/>
      <c r="D22" s="195"/>
      <c r="E22" s="195"/>
      <c r="F22" s="195"/>
      <c r="G22" s="195"/>
      <c r="H22" s="195"/>
      <c r="I22" s="195"/>
      <c r="K22" s="195"/>
      <c r="L22" s="195"/>
      <c r="M22" s="195"/>
      <c r="N22" s="195"/>
      <c r="O22" s="195"/>
      <c r="P22" s="195"/>
      <c r="Q22" s="195"/>
      <c r="R22" s="195"/>
      <c r="T22" s="195"/>
      <c r="U22" s="195"/>
      <c r="V22" s="195"/>
      <c r="W22" s="195"/>
      <c r="X22" s="195"/>
      <c r="Y22" s="195"/>
      <c r="Z22" s="195"/>
      <c r="AA22" s="195"/>
      <c r="AC22" s="175" t="s">
        <v>34</v>
      </c>
      <c r="AD22" s="175"/>
      <c r="AE22" s="197" t="s">
        <v>62</v>
      </c>
      <c r="AF22" s="198"/>
      <c r="AG22" s="197" t="s">
        <v>63</v>
      </c>
      <c r="AH22" s="198"/>
      <c r="AI22" s="197" t="s">
        <v>44</v>
      </c>
      <c r="AJ22" s="198"/>
      <c r="AL22" s="165"/>
      <c r="AM22" s="165"/>
      <c r="AN22" s="165"/>
      <c r="AO22" s="165"/>
      <c r="AP22" s="165"/>
      <c r="AQ22" s="165"/>
      <c r="AR22" s="165"/>
      <c r="AS22" s="165"/>
      <c r="AU22" s="201"/>
      <c r="AV22" s="201"/>
      <c r="AW22" s="201"/>
      <c r="AX22" s="201"/>
      <c r="AY22" s="201"/>
      <c r="AZ22" s="201"/>
      <c r="BA22" s="201"/>
      <c r="BB22" s="201"/>
      <c r="BD22" s="310"/>
      <c r="BE22" s="310"/>
      <c r="BF22" s="310"/>
      <c r="BG22" s="310"/>
      <c r="BH22" s="310"/>
      <c r="BI22" s="310"/>
      <c r="BJ22" s="310"/>
      <c r="BK22" s="310"/>
      <c r="BM22" s="183" t="s">
        <v>64</v>
      </c>
      <c r="BN22" s="183"/>
      <c r="BO22" s="183"/>
      <c r="BP22" s="183"/>
      <c r="BQ22" s="183"/>
      <c r="BR22" s="189" t="s">
        <v>65</v>
      </c>
      <c r="BS22" s="190"/>
      <c r="BT22" s="190"/>
      <c r="BU22" s="190"/>
      <c r="BV22" s="190"/>
      <c r="BW22" s="190"/>
      <c r="BX22" s="190"/>
      <c r="BY22" s="190"/>
      <c r="BZ22" s="191"/>
    </row>
    <row r="23" spans="2:78">
      <c r="B23" s="195"/>
      <c r="C23" s="195"/>
      <c r="D23" s="195"/>
      <c r="E23" s="195"/>
      <c r="F23" s="195"/>
      <c r="G23" s="195"/>
      <c r="H23" s="195"/>
      <c r="I23" s="195"/>
      <c r="K23" s="195"/>
      <c r="L23" s="195"/>
      <c r="M23" s="195"/>
      <c r="N23" s="195"/>
      <c r="O23" s="195"/>
      <c r="P23" s="195"/>
      <c r="Q23" s="195"/>
      <c r="R23" s="195"/>
      <c r="T23" s="195"/>
      <c r="U23" s="195"/>
      <c r="V23" s="195"/>
      <c r="W23" s="195"/>
      <c r="X23" s="195"/>
      <c r="Y23" s="195"/>
      <c r="Z23" s="195"/>
      <c r="AA23" s="195"/>
      <c r="AC23" s="175" t="s">
        <v>38</v>
      </c>
      <c r="AD23" s="175"/>
      <c r="AE23" s="197" t="s">
        <v>66</v>
      </c>
      <c r="AF23" s="198"/>
      <c r="AG23" s="197" t="s">
        <v>67</v>
      </c>
      <c r="AH23" s="198"/>
      <c r="AI23" s="197" t="s">
        <v>68</v>
      </c>
      <c r="AJ23" s="198"/>
      <c r="AL23" s="165"/>
      <c r="AM23" s="165"/>
      <c r="AN23" s="165"/>
      <c r="AO23" s="165"/>
      <c r="AP23" s="165"/>
      <c r="AQ23" s="165"/>
      <c r="AR23" s="165"/>
      <c r="AS23" s="165"/>
      <c r="AU23" s="201"/>
      <c r="AV23" s="201"/>
      <c r="AW23" s="201"/>
      <c r="AX23" s="201"/>
      <c r="AY23" s="201"/>
      <c r="AZ23" s="201"/>
      <c r="BA23" s="201"/>
      <c r="BB23" s="201"/>
      <c r="BD23" s="310"/>
      <c r="BE23" s="310"/>
      <c r="BF23" s="310"/>
      <c r="BG23" s="310"/>
      <c r="BH23" s="310"/>
      <c r="BI23" s="310"/>
      <c r="BJ23" s="310"/>
      <c r="BK23" s="310"/>
    </row>
    <row r="24" spans="2:78">
      <c r="B24" s="195"/>
      <c r="C24" s="195"/>
      <c r="D24" s="195"/>
      <c r="E24" s="195"/>
      <c r="F24" s="195"/>
      <c r="G24" s="195"/>
      <c r="H24" s="195"/>
      <c r="I24" s="195"/>
      <c r="K24" s="195"/>
      <c r="L24" s="195"/>
      <c r="M24" s="195"/>
      <c r="N24" s="195"/>
      <c r="O24" s="195"/>
      <c r="P24" s="195"/>
      <c r="Q24" s="195"/>
      <c r="R24" s="195"/>
      <c r="T24" s="195"/>
      <c r="U24" s="195"/>
      <c r="V24" s="195"/>
      <c r="W24" s="195"/>
      <c r="X24" s="195"/>
      <c r="Y24" s="195"/>
      <c r="Z24" s="195"/>
      <c r="AA24" s="195"/>
      <c r="AC24" s="175" t="s">
        <v>43</v>
      </c>
      <c r="AD24" s="175"/>
      <c r="AE24" s="197" t="s">
        <v>32</v>
      </c>
      <c r="AF24" s="198"/>
      <c r="AG24" s="197" t="s">
        <v>30</v>
      </c>
      <c r="AH24" s="198"/>
      <c r="AI24" s="197" t="s">
        <v>44</v>
      </c>
      <c r="AJ24" s="198"/>
      <c r="AL24" s="165"/>
      <c r="AM24" s="165"/>
      <c r="AN24" s="165"/>
      <c r="AO24" s="165"/>
      <c r="AP24" s="165"/>
      <c r="AQ24" s="165"/>
      <c r="AR24" s="165"/>
      <c r="AS24" s="165"/>
      <c r="AU24" s="201"/>
      <c r="AV24" s="201"/>
      <c r="AW24" s="201"/>
      <c r="AX24" s="201"/>
      <c r="AY24" s="201"/>
      <c r="AZ24" s="201"/>
      <c r="BA24" s="201"/>
      <c r="BB24" s="201"/>
      <c r="BD24" s="310"/>
      <c r="BE24" s="310"/>
      <c r="BF24" s="310"/>
      <c r="BG24" s="310"/>
      <c r="BH24" s="310"/>
      <c r="BI24" s="310"/>
      <c r="BJ24" s="310"/>
      <c r="BK24" s="310"/>
      <c r="BM24" s="182" t="s">
        <v>69</v>
      </c>
      <c r="BN24" s="182"/>
      <c r="BO24" s="184">
        <v>1</v>
      </c>
      <c r="BP24" s="184"/>
      <c r="BQ24" s="184">
        <v>2</v>
      </c>
      <c r="BR24" s="184"/>
      <c r="BS24" s="184">
        <v>3</v>
      </c>
      <c r="BT24" s="184"/>
      <c r="BU24" s="184">
        <v>4</v>
      </c>
      <c r="BV24" s="184"/>
      <c r="BW24" s="184">
        <v>5</v>
      </c>
      <c r="BX24" s="184"/>
      <c r="BY24" s="184">
        <v>6</v>
      </c>
      <c r="BZ24" s="184"/>
    </row>
    <row r="25" spans="2:78">
      <c r="B25" s="195"/>
      <c r="C25" s="195"/>
      <c r="D25" s="195"/>
      <c r="E25" s="195"/>
      <c r="F25" s="195"/>
      <c r="G25" s="195"/>
      <c r="H25" s="195"/>
      <c r="I25" s="195"/>
      <c r="K25" s="195"/>
      <c r="L25" s="195"/>
      <c r="M25" s="195"/>
      <c r="N25" s="195"/>
      <c r="O25" s="195"/>
      <c r="P25" s="195"/>
      <c r="Q25" s="195"/>
      <c r="R25" s="195"/>
      <c r="T25" s="195"/>
      <c r="U25" s="195"/>
      <c r="V25" s="195"/>
      <c r="W25" s="195"/>
      <c r="X25" s="195"/>
      <c r="Y25" s="195"/>
      <c r="Z25" s="195"/>
      <c r="AA25" s="195"/>
      <c r="AC25" s="175" t="s">
        <v>46</v>
      </c>
      <c r="AD25" s="175"/>
      <c r="AE25" s="197" t="s">
        <v>48</v>
      </c>
      <c r="AF25" s="198"/>
      <c r="AG25" s="197" t="s">
        <v>48</v>
      </c>
      <c r="AH25" s="198"/>
      <c r="AI25" s="197" t="s">
        <v>48</v>
      </c>
      <c r="AJ25" s="198"/>
      <c r="AL25" s="165"/>
      <c r="AM25" s="165"/>
      <c r="AN25" s="165"/>
      <c r="AO25" s="165"/>
      <c r="AP25" s="165"/>
      <c r="AQ25" s="165"/>
      <c r="AR25" s="165"/>
      <c r="AS25" s="165"/>
      <c r="AU25" s="201"/>
      <c r="AV25" s="201"/>
      <c r="AW25" s="201"/>
      <c r="AX25" s="201"/>
      <c r="AY25" s="201"/>
      <c r="AZ25" s="201"/>
      <c r="BA25" s="201"/>
      <c r="BB25" s="201"/>
      <c r="BD25" s="310"/>
      <c r="BE25" s="310"/>
      <c r="BF25" s="310"/>
      <c r="BG25" s="310"/>
      <c r="BH25" s="310"/>
      <c r="BI25" s="310"/>
      <c r="BJ25" s="310"/>
      <c r="BK25" s="310"/>
      <c r="BM25" s="182" t="s">
        <v>70</v>
      </c>
      <c r="BN25" s="182"/>
      <c r="BO25" s="188">
        <v>25000</v>
      </c>
      <c r="BP25" s="188"/>
      <c r="BQ25" s="188">
        <v>15000</v>
      </c>
      <c r="BR25" s="188"/>
      <c r="BS25" s="188">
        <v>12000</v>
      </c>
      <c r="BT25" s="188"/>
      <c r="BU25" s="188">
        <v>10000</v>
      </c>
      <c r="BV25" s="188"/>
      <c r="BW25" s="188">
        <v>10000</v>
      </c>
      <c r="BX25" s="188"/>
      <c r="BY25" s="188">
        <v>8000</v>
      </c>
      <c r="BZ25" s="188"/>
    </row>
    <row r="26" spans="2:78">
      <c r="B26" s="195"/>
      <c r="C26" s="195"/>
      <c r="D26" s="195"/>
      <c r="E26" s="195"/>
      <c r="F26" s="195"/>
      <c r="G26" s="195"/>
      <c r="H26" s="195"/>
      <c r="I26" s="195"/>
      <c r="K26" s="195"/>
      <c r="L26" s="195"/>
      <c r="M26" s="195"/>
      <c r="N26" s="195"/>
      <c r="O26" s="195"/>
      <c r="P26" s="195"/>
      <c r="Q26" s="195"/>
      <c r="R26" s="195"/>
      <c r="T26" s="195"/>
      <c r="U26" s="195"/>
      <c r="V26" s="195"/>
      <c r="W26" s="195"/>
      <c r="X26" s="195"/>
      <c r="Y26" s="195"/>
      <c r="Z26" s="195"/>
      <c r="AA26" s="195"/>
      <c r="AC26" s="175" t="s">
        <v>51</v>
      </c>
      <c r="AD26" s="175"/>
      <c r="AE26" s="197" t="s">
        <v>48</v>
      </c>
      <c r="AF26" s="198"/>
      <c r="AG26" s="197" t="s">
        <v>48</v>
      </c>
      <c r="AH26" s="198"/>
      <c r="AI26" s="197" t="s">
        <v>48</v>
      </c>
      <c r="AJ26" s="198"/>
      <c r="AL26" s="165"/>
      <c r="AM26" s="165"/>
      <c r="AN26" s="165"/>
      <c r="AO26" s="165"/>
      <c r="AP26" s="165"/>
      <c r="AQ26" s="165"/>
      <c r="AR26" s="165"/>
      <c r="AS26" s="165"/>
      <c r="AU26" s="201"/>
      <c r="AV26" s="201"/>
      <c r="AW26" s="201"/>
      <c r="AX26" s="201"/>
      <c r="AY26" s="201"/>
      <c r="AZ26" s="201"/>
      <c r="BA26" s="201"/>
      <c r="BB26" s="201"/>
      <c r="BD26" s="310"/>
      <c r="BE26" s="310"/>
      <c r="BF26" s="310"/>
      <c r="BG26" s="310"/>
      <c r="BH26" s="310"/>
      <c r="BI26" s="310"/>
      <c r="BJ26" s="310"/>
      <c r="BK26" s="310"/>
      <c r="BM26" s="170"/>
      <c r="BN26" s="170"/>
      <c r="BO26" s="187"/>
      <c r="BP26" s="187"/>
      <c r="BQ26" s="187"/>
      <c r="BR26" s="187"/>
      <c r="BS26" s="187"/>
      <c r="BT26" s="187"/>
      <c r="BU26" s="187"/>
      <c r="BV26" s="187"/>
      <c r="BW26" s="187"/>
      <c r="BX26" s="187"/>
      <c r="BY26" s="187"/>
      <c r="BZ26" s="187"/>
    </row>
    <row r="27" spans="2:78">
      <c r="B27" s="195"/>
      <c r="C27" s="195"/>
      <c r="D27" s="195"/>
      <c r="E27" s="195"/>
      <c r="F27" s="195"/>
      <c r="G27" s="195"/>
      <c r="H27" s="195"/>
      <c r="I27" s="195"/>
      <c r="K27" s="195"/>
      <c r="L27" s="195"/>
      <c r="M27" s="195"/>
      <c r="N27" s="195"/>
      <c r="O27" s="195"/>
      <c r="P27" s="195"/>
      <c r="Q27" s="195"/>
      <c r="R27" s="195"/>
      <c r="T27" s="195"/>
      <c r="U27" s="195"/>
      <c r="V27" s="195"/>
      <c r="W27" s="195"/>
      <c r="X27" s="195"/>
      <c r="Y27" s="195"/>
      <c r="Z27" s="195"/>
      <c r="AA27" s="195"/>
      <c r="AC27" s="175" t="s">
        <v>54</v>
      </c>
      <c r="AD27" s="175"/>
      <c r="AE27" s="197" t="s">
        <v>30</v>
      </c>
      <c r="AF27" s="198"/>
      <c r="AG27" s="197" t="s">
        <v>31</v>
      </c>
      <c r="AH27" s="198"/>
      <c r="AI27" s="197" t="s">
        <v>44</v>
      </c>
      <c r="AJ27" s="198"/>
      <c r="AL27" s="165"/>
      <c r="AM27" s="165"/>
      <c r="AN27" s="165"/>
      <c r="AO27" s="165"/>
      <c r="AP27" s="165"/>
      <c r="AQ27" s="165"/>
      <c r="AR27" s="165"/>
      <c r="AS27" s="165"/>
      <c r="AU27" s="201"/>
      <c r="AV27" s="201"/>
      <c r="AW27" s="201"/>
      <c r="AX27" s="201"/>
      <c r="AY27" s="201"/>
      <c r="AZ27" s="201"/>
      <c r="BA27" s="201"/>
      <c r="BB27" s="201"/>
      <c r="BD27" s="310"/>
      <c r="BE27" s="310"/>
      <c r="BF27" s="310"/>
      <c r="BG27" s="310"/>
      <c r="BH27" s="310"/>
      <c r="BI27" s="310"/>
      <c r="BJ27" s="310"/>
      <c r="BK27" s="310"/>
    </row>
    <row r="28" spans="2:78">
      <c r="B28" s="195"/>
      <c r="C28" s="195"/>
      <c r="D28" s="195"/>
      <c r="E28" s="195"/>
      <c r="F28" s="195"/>
      <c r="G28" s="195"/>
      <c r="H28" s="195"/>
      <c r="I28" s="195"/>
      <c r="K28" s="195"/>
      <c r="L28" s="195"/>
      <c r="M28" s="195"/>
      <c r="N28" s="195"/>
      <c r="O28" s="195"/>
      <c r="P28" s="195"/>
      <c r="Q28" s="195"/>
      <c r="R28" s="195"/>
      <c r="T28" s="195"/>
      <c r="U28" s="195"/>
      <c r="V28" s="195"/>
      <c r="W28" s="195"/>
      <c r="X28" s="195"/>
      <c r="Y28" s="195"/>
      <c r="Z28" s="195"/>
      <c r="AA28" s="195"/>
      <c r="AC28" s="97"/>
      <c r="AD28" s="97"/>
      <c r="AE28" s="97"/>
      <c r="AF28" s="97"/>
      <c r="AG28" s="97"/>
      <c r="AH28" s="97"/>
      <c r="AI28" s="97"/>
      <c r="AJ28" s="97"/>
      <c r="AL28" s="165"/>
      <c r="AM28" s="165"/>
      <c r="AN28" s="165"/>
      <c r="AO28" s="165"/>
      <c r="AP28" s="165"/>
      <c r="AQ28" s="165"/>
      <c r="AR28" s="165"/>
      <c r="AS28" s="165"/>
      <c r="AU28" s="201"/>
      <c r="AV28" s="201"/>
      <c r="AW28" s="201"/>
      <c r="AX28" s="201"/>
      <c r="AY28" s="201"/>
      <c r="AZ28" s="201"/>
      <c r="BA28" s="201"/>
      <c r="BB28" s="201"/>
      <c r="BD28" s="310"/>
      <c r="BE28" s="310"/>
      <c r="BF28" s="310"/>
      <c r="BG28" s="310"/>
      <c r="BH28" s="310"/>
      <c r="BI28" s="310"/>
      <c r="BJ28" s="310"/>
      <c r="BK28" s="310"/>
      <c r="BM28" s="182" t="s">
        <v>69</v>
      </c>
      <c r="BN28" s="182"/>
      <c r="BO28" s="184">
        <v>7</v>
      </c>
      <c r="BP28" s="184"/>
      <c r="BQ28" s="184">
        <v>8</v>
      </c>
      <c r="BR28" s="184"/>
      <c r="BS28" s="184">
        <v>9</v>
      </c>
      <c r="BT28" s="184"/>
      <c r="BU28" s="184">
        <v>10</v>
      </c>
      <c r="BV28" s="184"/>
      <c r="BW28" s="184">
        <v>11</v>
      </c>
      <c r="BX28" s="184"/>
      <c r="BY28" s="184">
        <v>12</v>
      </c>
      <c r="BZ28" s="184"/>
    </row>
    <row r="29" spans="2:78">
      <c r="B29" s="195"/>
      <c r="C29" s="195"/>
      <c r="D29" s="195"/>
      <c r="E29" s="195"/>
      <c r="F29" s="195"/>
      <c r="G29" s="195"/>
      <c r="H29" s="195"/>
      <c r="I29" s="195"/>
      <c r="T29" s="195"/>
      <c r="U29" s="195"/>
      <c r="V29" s="195"/>
      <c r="W29" s="195"/>
      <c r="X29" s="195"/>
      <c r="Y29" s="195"/>
      <c r="Z29" s="195"/>
      <c r="AA29" s="195"/>
      <c r="AC29" s="97"/>
      <c r="AD29" s="97"/>
      <c r="AE29" s="196" t="s">
        <v>13</v>
      </c>
      <c r="AF29" s="196"/>
      <c r="AG29" s="196" t="s">
        <v>14</v>
      </c>
      <c r="AH29" s="196"/>
      <c r="AI29" s="196" t="s">
        <v>15</v>
      </c>
      <c r="AJ29" s="196"/>
      <c r="AL29" s="165"/>
      <c r="AM29" s="165"/>
      <c r="AN29" s="165"/>
      <c r="AO29" s="165"/>
      <c r="AP29" s="165"/>
      <c r="AQ29" s="165"/>
      <c r="AR29" s="165"/>
      <c r="AS29" s="165"/>
      <c r="AU29" s="201"/>
      <c r="AV29" s="201"/>
      <c r="AW29" s="201"/>
      <c r="AX29" s="201"/>
      <c r="AY29" s="201"/>
      <c r="AZ29" s="201"/>
      <c r="BA29" s="201"/>
      <c r="BB29" s="201"/>
      <c r="BD29" s="310"/>
      <c r="BE29" s="310"/>
      <c r="BF29" s="310"/>
      <c r="BG29" s="310"/>
      <c r="BH29" s="310"/>
      <c r="BI29" s="310"/>
      <c r="BJ29" s="310"/>
      <c r="BK29" s="310"/>
      <c r="BM29" s="182" t="s">
        <v>70</v>
      </c>
      <c r="BN29" s="182"/>
      <c r="BO29" s="186">
        <v>6000</v>
      </c>
      <c r="BP29" s="186"/>
      <c r="BQ29" s="186">
        <v>6000</v>
      </c>
      <c r="BR29" s="186"/>
      <c r="BS29" s="186">
        <v>15000</v>
      </c>
      <c r="BT29" s="186"/>
      <c r="BU29" s="186">
        <v>7500</v>
      </c>
      <c r="BV29" s="186"/>
      <c r="BW29" s="186">
        <v>5000</v>
      </c>
      <c r="BX29" s="186"/>
      <c r="BY29" s="186">
        <v>6500</v>
      </c>
      <c r="BZ29" s="186"/>
    </row>
    <row r="30" spans="2:78" ht="12.75" customHeight="1">
      <c r="B30" s="195"/>
      <c r="C30" s="195"/>
      <c r="D30" s="195"/>
      <c r="E30" s="195"/>
      <c r="F30" s="195"/>
      <c r="G30" s="195"/>
      <c r="H30" s="195"/>
      <c r="I30" s="195"/>
      <c r="K30" s="167"/>
      <c r="L30" s="167"/>
      <c r="M30" s="167"/>
      <c r="N30" s="167"/>
      <c r="T30" s="195"/>
      <c r="U30" s="195"/>
      <c r="V30" s="195"/>
      <c r="W30" s="195"/>
      <c r="X30" s="195"/>
      <c r="Y30" s="195"/>
      <c r="Z30" s="195"/>
      <c r="AA30" s="195"/>
      <c r="AC30" s="175" t="s">
        <v>19</v>
      </c>
      <c r="AD30" s="175"/>
      <c r="AE30" s="174" t="s">
        <v>71</v>
      </c>
      <c r="AF30" s="174"/>
      <c r="AG30" s="174" t="s">
        <v>21</v>
      </c>
      <c r="AH30" s="174"/>
      <c r="AI30" s="174" t="s">
        <v>21</v>
      </c>
      <c r="AJ30" s="174"/>
      <c r="AL30" s="61"/>
      <c r="AM30" s="61"/>
      <c r="AN30" s="61"/>
      <c r="AO30" s="61"/>
      <c r="AP30" s="61"/>
      <c r="AQ30" s="61"/>
      <c r="AR30" s="61"/>
      <c r="AS30" s="61"/>
      <c r="AU30" s="201"/>
      <c r="AV30" s="201"/>
      <c r="AW30" s="201"/>
      <c r="AX30" s="201"/>
      <c r="AY30" s="201"/>
      <c r="AZ30" s="201"/>
      <c r="BA30" s="201"/>
      <c r="BB30" s="201"/>
      <c r="BM30" s="170"/>
      <c r="BN30" s="170"/>
      <c r="BO30" s="187"/>
      <c r="BP30" s="187"/>
      <c r="BQ30" s="187"/>
      <c r="BR30" s="187"/>
      <c r="BS30" s="187"/>
      <c r="BT30" s="187"/>
      <c r="BU30" s="187"/>
      <c r="BV30" s="187"/>
      <c r="BW30" s="187"/>
      <c r="BX30" s="187"/>
      <c r="BY30" s="187"/>
      <c r="BZ30" s="187"/>
    </row>
    <row r="31" spans="2:78" ht="12.75" customHeight="1">
      <c r="B31" s="195"/>
      <c r="C31" s="195"/>
      <c r="D31" s="195"/>
      <c r="E31" s="195"/>
      <c r="F31" s="195"/>
      <c r="G31" s="195"/>
      <c r="H31" s="195"/>
      <c r="I31" s="195"/>
      <c r="K31" s="52"/>
      <c r="N31" s="53"/>
      <c r="P31" s="53"/>
      <c r="Q31" s="53"/>
      <c r="R31" s="53"/>
      <c r="T31" s="195"/>
      <c r="U31" s="195"/>
      <c r="V31" s="195"/>
      <c r="W31" s="195"/>
      <c r="X31" s="195"/>
      <c r="Y31" s="195"/>
      <c r="Z31" s="195"/>
      <c r="AA31" s="195"/>
      <c r="AC31" s="175" t="s">
        <v>24</v>
      </c>
      <c r="AD31" s="175"/>
      <c r="AE31" s="174">
        <v>100</v>
      </c>
      <c r="AF31" s="174"/>
      <c r="AG31" s="174">
        <v>150</v>
      </c>
      <c r="AH31" s="174"/>
      <c r="AI31" s="174">
        <v>300</v>
      </c>
      <c r="AJ31" s="174"/>
      <c r="AL31" s="167"/>
      <c r="AM31" s="167"/>
      <c r="AN31" s="167"/>
      <c r="AO31" s="167"/>
      <c r="AP31" s="61"/>
      <c r="AQ31" s="61"/>
      <c r="AR31" s="61"/>
      <c r="AS31" s="61"/>
      <c r="AU31" s="201"/>
      <c r="AV31" s="201"/>
      <c r="AW31" s="201"/>
      <c r="AX31" s="201"/>
      <c r="AY31" s="201"/>
      <c r="AZ31" s="201"/>
      <c r="BA31" s="201"/>
      <c r="BB31" s="201"/>
      <c r="BD31" s="203"/>
      <c r="BE31" s="203"/>
      <c r="BF31" s="203"/>
      <c r="BG31" s="97"/>
      <c r="BH31" s="97"/>
      <c r="BI31" s="97"/>
      <c r="BJ31" s="97"/>
      <c r="BK31" s="97"/>
    </row>
    <row r="32" spans="2:78" ht="13.5" customHeight="1">
      <c r="B32" s="195"/>
      <c r="C32" s="195"/>
      <c r="D32" s="195"/>
      <c r="E32" s="195"/>
      <c r="F32" s="195"/>
      <c r="G32" s="195"/>
      <c r="H32" s="195"/>
      <c r="I32" s="195"/>
      <c r="K32" s="195" t="s">
        <v>72</v>
      </c>
      <c r="L32" s="195"/>
      <c r="M32" s="195"/>
      <c r="N32" s="195"/>
      <c r="O32" s="195"/>
      <c r="P32" s="195"/>
      <c r="Q32" s="195"/>
      <c r="R32" s="195"/>
      <c r="T32" s="195"/>
      <c r="U32" s="195"/>
      <c r="V32" s="195"/>
      <c r="W32" s="195"/>
      <c r="X32" s="195"/>
      <c r="Y32" s="195"/>
      <c r="Z32" s="195"/>
      <c r="AA32" s="195"/>
      <c r="AC32" s="175" t="s">
        <v>29</v>
      </c>
      <c r="AD32" s="175"/>
      <c r="AE32" s="174" t="s">
        <v>30</v>
      </c>
      <c r="AF32" s="174"/>
      <c r="AG32" s="174" t="s">
        <v>31</v>
      </c>
      <c r="AH32" s="174"/>
      <c r="AI32" s="174" t="s">
        <v>31</v>
      </c>
      <c r="AJ32" s="174"/>
      <c r="AL32" s="61"/>
      <c r="AM32" s="61"/>
      <c r="AN32" s="61"/>
      <c r="AO32" s="61"/>
      <c r="AP32" s="61"/>
      <c r="AQ32" s="61"/>
      <c r="AR32" s="61"/>
      <c r="AS32" s="61"/>
      <c r="AU32" s="201"/>
      <c r="AV32" s="201"/>
      <c r="AW32" s="201"/>
      <c r="AX32" s="201"/>
      <c r="AY32" s="201"/>
      <c r="AZ32" s="201"/>
      <c r="BA32" s="201"/>
      <c r="BB32" s="201"/>
      <c r="BD32" s="97"/>
      <c r="BE32" s="97"/>
      <c r="BF32" s="97"/>
      <c r="BG32" s="97"/>
      <c r="BH32" s="97"/>
      <c r="BI32" s="97"/>
      <c r="BJ32" s="97"/>
      <c r="BK32" s="97"/>
      <c r="BM32" s="183" t="s">
        <v>73</v>
      </c>
      <c r="BN32" s="183"/>
      <c r="BO32" s="183"/>
      <c r="BP32" s="183"/>
      <c r="BQ32" s="183"/>
      <c r="BR32" s="183"/>
    </row>
    <row r="33" spans="2:78" ht="12.75" customHeight="1">
      <c r="B33" s="195"/>
      <c r="C33" s="195"/>
      <c r="D33" s="195"/>
      <c r="E33" s="195"/>
      <c r="F33" s="195"/>
      <c r="G33" s="195"/>
      <c r="H33" s="195"/>
      <c r="I33" s="195"/>
      <c r="K33" s="195"/>
      <c r="L33" s="195"/>
      <c r="M33" s="195"/>
      <c r="N33" s="195"/>
      <c r="O33" s="195"/>
      <c r="P33" s="195"/>
      <c r="Q33" s="195"/>
      <c r="R33" s="195"/>
      <c r="T33" s="195"/>
      <c r="U33" s="195"/>
      <c r="V33" s="195"/>
      <c r="W33" s="195"/>
      <c r="X33" s="195"/>
      <c r="Y33" s="195"/>
      <c r="Z33" s="195"/>
      <c r="AA33" s="195"/>
      <c r="AC33" s="175" t="s">
        <v>34</v>
      </c>
      <c r="AD33" s="175"/>
      <c r="AE33" s="174" t="s">
        <v>62</v>
      </c>
      <c r="AF33" s="174"/>
      <c r="AG33" s="174" t="s">
        <v>63</v>
      </c>
      <c r="AH33" s="174"/>
      <c r="AI33" s="174" t="s">
        <v>63</v>
      </c>
      <c r="AJ33" s="174"/>
      <c r="AL33" s="165" t="s">
        <v>74</v>
      </c>
      <c r="AM33" s="165"/>
      <c r="AN33" s="165"/>
      <c r="AO33" s="165"/>
      <c r="AP33" s="165"/>
      <c r="AQ33" s="165"/>
      <c r="AR33" s="165"/>
      <c r="AS33" s="165"/>
      <c r="AU33" s="201"/>
      <c r="AV33" s="201"/>
      <c r="AW33" s="201"/>
      <c r="AX33" s="201"/>
      <c r="AY33" s="201"/>
      <c r="AZ33" s="201"/>
      <c r="BA33" s="201"/>
      <c r="BB33" s="201"/>
      <c r="BD33" s="97"/>
      <c r="BF33" s="97"/>
      <c r="BG33" s="200" t="s">
        <v>75</v>
      </c>
      <c r="BH33" s="200"/>
      <c r="BI33" s="200" t="s">
        <v>76</v>
      </c>
      <c r="BJ33" s="200"/>
      <c r="BK33" s="100" t="s">
        <v>77</v>
      </c>
    </row>
    <row r="34" spans="2:78">
      <c r="B34" s="195"/>
      <c r="C34" s="195"/>
      <c r="D34" s="195"/>
      <c r="E34" s="195"/>
      <c r="F34" s="195"/>
      <c r="G34" s="195"/>
      <c r="H34" s="195"/>
      <c r="I34" s="195"/>
      <c r="K34" s="195"/>
      <c r="L34" s="195"/>
      <c r="M34" s="195"/>
      <c r="N34" s="195"/>
      <c r="O34" s="195"/>
      <c r="P34" s="195"/>
      <c r="Q34" s="195"/>
      <c r="R34" s="195"/>
      <c r="T34" s="195"/>
      <c r="U34" s="195"/>
      <c r="V34" s="195"/>
      <c r="W34" s="195"/>
      <c r="X34" s="195"/>
      <c r="Y34" s="195"/>
      <c r="Z34" s="195"/>
      <c r="AA34" s="195"/>
      <c r="AC34" s="175" t="s">
        <v>38</v>
      </c>
      <c r="AD34" s="175"/>
      <c r="AE34" s="174" t="s">
        <v>66</v>
      </c>
      <c r="AF34" s="174"/>
      <c r="AG34" s="174" t="s">
        <v>67</v>
      </c>
      <c r="AH34" s="174"/>
      <c r="AI34" s="174" t="s">
        <v>67</v>
      </c>
      <c r="AJ34" s="174"/>
      <c r="AL34" s="165"/>
      <c r="AM34" s="165"/>
      <c r="AN34" s="165"/>
      <c r="AO34" s="165"/>
      <c r="AP34" s="165"/>
      <c r="AQ34" s="165"/>
      <c r="AR34" s="165"/>
      <c r="AS34" s="165"/>
      <c r="AU34" s="201"/>
      <c r="AV34" s="201"/>
      <c r="AW34" s="201"/>
      <c r="AX34" s="201"/>
      <c r="AY34" s="201"/>
      <c r="AZ34" s="201"/>
      <c r="BA34" s="201"/>
      <c r="BB34" s="201"/>
      <c r="BD34" s="183" t="s">
        <v>78</v>
      </c>
      <c r="BE34" s="183"/>
      <c r="BF34" s="183"/>
      <c r="BG34" s="174" t="s">
        <v>79</v>
      </c>
      <c r="BH34" s="174"/>
      <c r="BI34" s="174" t="s">
        <v>80</v>
      </c>
      <c r="BJ34" s="174"/>
      <c r="BK34" s="86">
        <v>852</v>
      </c>
      <c r="BM34" s="182" t="s">
        <v>69</v>
      </c>
      <c r="BN34" s="182"/>
      <c r="BO34" s="184">
        <v>1</v>
      </c>
      <c r="BP34" s="184"/>
      <c r="BQ34" s="184">
        <v>2</v>
      </c>
      <c r="BR34" s="184"/>
      <c r="BS34" s="184">
        <v>3</v>
      </c>
      <c r="BT34" s="184"/>
      <c r="BU34" s="184">
        <v>4</v>
      </c>
      <c r="BV34" s="184"/>
      <c r="BW34" s="184">
        <v>5</v>
      </c>
      <c r="BX34" s="184"/>
      <c r="BY34" s="184">
        <v>6</v>
      </c>
      <c r="BZ34" s="184"/>
    </row>
    <row r="35" spans="2:78">
      <c r="B35" s="195"/>
      <c r="C35" s="195"/>
      <c r="D35" s="195"/>
      <c r="E35" s="195"/>
      <c r="F35" s="195"/>
      <c r="G35" s="195"/>
      <c r="H35" s="195"/>
      <c r="I35" s="195"/>
      <c r="K35" s="195"/>
      <c r="L35" s="195"/>
      <c r="M35" s="195"/>
      <c r="N35" s="195"/>
      <c r="O35" s="195"/>
      <c r="P35" s="195"/>
      <c r="Q35" s="195"/>
      <c r="R35" s="195"/>
      <c r="T35" s="195"/>
      <c r="U35" s="195"/>
      <c r="V35" s="195"/>
      <c r="W35" s="195"/>
      <c r="X35" s="195"/>
      <c r="Y35" s="195"/>
      <c r="Z35" s="195"/>
      <c r="AA35" s="195"/>
      <c r="AC35" s="175" t="s">
        <v>43</v>
      </c>
      <c r="AD35" s="175"/>
      <c r="AE35" s="174" t="s">
        <v>32</v>
      </c>
      <c r="AF35" s="174"/>
      <c r="AG35" s="174" t="s">
        <v>30</v>
      </c>
      <c r="AH35" s="174"/>
      <c r="AI35" s="174" t="s">
        <v>30</v>
      </c>
      <c r="AJ35" s="174"/>
      <c r="AL35" s="165"/>
      <c r="AM35" s="165"/>
      <c r="AN35" s="165"/>
      <c r="AO35" s="165"/>
      <c r="AP35" s="165"/>
      <c r="AQ35" s="165"/>
      <c r="AR35" s="165"/>
      <c r="AS35" s="165"/>
      <c r="AU35" s="201"/>
      <c r="AV35" s="201"/>
      <c r="AW35" s="201"/>
      <c r="AX35" s="201"/>
      <c r="AY35" s="201"/>
      <c r="AZ35" s="201"/>
      <c r="BA35" s="201"/>
      <c r="BB35" s="201"/>
      <c r="BD35" s="183" t="s">
        <v>81</v>
      </c>
      <c r="BE35" s="183"/>
      <c r="BF35" s="183"/>
      <c r="BG35" s="174" t="s">
        <v>82</v>
      </c>
      <c r="BH35" s="174"/>
      <c r="BI35" s="174" t="s">
        <v>83</v>
      </c>
      <c r="BJ35" s="174"/>
      <c r="BK35" s="86">
        <v>15000</v>
      </c>
      <c r="BM35" s="182" t="s">
        <v>84</v>
      </c>
      <c r="BN35" s="182"/>
      <c r="BO35" s="186">
        <v>200</v>
      </c>
      <c r="BP35" s="186"/>
      <c r="BQ35" s="186">
        <v>200</v>
      </c>
      <c r="BR35" s="186"/>
      <c r="BS35" s="186">
        <v>250</v>
      </c>
      <c r="BT35" s="186"/>
      <c r="BU35" s="186">
        <v>250</v>
      </c>
      <c r="BV35" s="186"/>
      <c r="BW35" s="186">
        <v>250</v>
      </c>
      <c r="BX35" s="186"/>
      <c r="BY35" s="186">
        <v>250</v>
      </c>
      <c r="BZ35" s="186"/>
    </row>
    <row r="36" spans="2:78">
      <c r="B36" s="195"/>
      <c r="C36" s="195"/>
      <c r="D36" s="195"/>
      <c r="E36" s="195"/>
      <c r="F36" s="195"/>
      <c r="G36" s="195"/>
      <c r="H36" s="195"/>
      <c r="I36" s="195"/>
      <c r="K36" s="195"/>
      <c r="L36" s="195"/>
      <c r="M36" s="195"/>
      <c r="N36" s="195"/>
      <c r="O36" s="195"/>
      <c r="P36" s="195"/>
      <c r="Q36" s="195"/>
      <c r="R36" s="195"/>
      <c r="T36" s="195"/>
      <c r="U36" s="195"/>
      <c r="V36" s="195"/>
      <c r="W36" s="195"/>
      <c r="X36" s="195"/>
      <c r="Y36" s="195"/>
      <c r="Z36" s="195"/>
      <c r="AA36" s="195"/>
      <c r="AC36" s="175" t="s">
        <v>46</v>
      </c>
      <c r="AD36" s="175"/>
      <c r="AE36" s="174" t="s">
        <v>48</v>
      </c>
      <c r="AF36" s="174"/>
      <c r="AG36" s="174" t="s">
        <v>48</v>
      </c>
      <c r="AH36" s="174"/>
      <c r="AI36" s="174" t="s">
        <v>48</v>
      </c>
      <c r="AJ36" s="174"/>
      <c r="AL36" s="165"/>
      <c r="AM36" s="165"/>
      <c r="AN36" s="165"/>
      <c r="AO36" s="165"/>
      <c r="AP36" s="165"/>
      <c r="AQ36" s="165"/>
      <c r="AR36" s="165"/>
      <c r="AS36" s="165"/>
      <c r="AU36" s="201"/>
      <c r="AV36" s="201"/>
      <c r="AW36" s="201"/>
      <c r="AX36" s="201"/>
      <c r="AY36" s="201"/>
      <c r="AZ36" s="201"/>
      <c r="BA36" s="201"/>
      <c r="BB36" s="201"/>
      <c r="BD36" s="183" t="s">
        <v>85</v>
      </c>
      <c r="BE36" s="183"/>
      <c r="BF36" s="183"/>
      <c r="BG36" s="174" t="s">
        <v>66</v>
      </c>
      <c r="BH36" s="174"/>
      <c r="BI36" s="174" t="s">
        <v>66</v>
      </c>
      <c r="BJ36" s="174"/>
      <c r="BK36" s="86" t="s">
        <v>66</v>
      </c>
      <c r="BM36" s="170"/>
      <c r="BN36" s="170"/>
      <c r="BO36" s="180"/>
      <c r="BP36" s="180"/>
      <c r="BQ36" s="180"/>
      <c r="BR36" s="180"/>
      <c r="BS36" s="180"/>
      <c r="BT36" s="180"/>
      <c r="BU36" s="180"/>
      <c r="BV36" s="180"/>
      <c r="BW36" s="180"/>
      <c r="BX36" s="180"/>
      <c r="BY36" s="180"/>
      <c r="BZ36" s="180"/>
    </row>
    <row r="37" spans="2:78">
      <c r="B37" s="195"/>
      <c r="C37" s="195"/>
      <c r="D37" s="195"/>
      <c r="E37" s="195"/>
      <c r="F37" s="195"/>
      <c r="G37" s="195"/>
      <c r="H37" s="195"/>
      <c r="I37" s="195"/>
      <c r="K37" s="195"/>
      <c r="L37" s="195"/>
      <c r="M37" s="195"/>
      <c r="N37" s="195"/>
      <c r="O37" s="195"/>
      <c r="P37" s="195"/>
      <c r="Q37" s="195"/>
      <c r="R37" s="195"/>
      <c r="T37" s="195"/>
      <c r="U37" s="195"/>
      <c r="V37" s="195"/>
      <c r="W37" s="195"/>
      <c r="X37" s="195"/>
      <c r="Y37" s="195"/>
      <c r="Z37" s="195"/>
      <c r="AA37" s="195"/>
      <c r="AC37" s="175" t="s">
        <v>51</v>
      </c>
      <c r="AD37" s="175"/>
      <c r="AE37" s="174" t="s">
        <v>48</v>
      </c>
      <c r="AF37" s="174"/>
      <c r="AG37" s="174" t="s">
        <v>48</v>
      </c>
      <c r="AH37" s="174"/>
      <c r="AI37" s="174" t="s">
        <v>48</v>
      </c>
      <c r="AJ37" s="174"/>
      <c r="AL37" s="165"/>
      <c r="AM37" s="165"/>
      <c r="AN37" s="165"/>
      <c r="AO37" s="165"/>
      <c r="AP37" s="165"/>
      <c r="AQ37" s="165"/>
      <c r="AR37" s="165"/>
      <c r="AS37" s="165"/>
      <c r="AU37" s="201"/>
      <c r="AV37" s="201"/>
      <c r="AW37" s="201"/>
      <c r="AX37" s="201"/>
      <c r="AY37" s="201"/>
      <c r="AZ37" s="201"/>
      <c r="BA37" s="201"/>
      <c r="BB37" s="201"/>
      <c r="BD37" s="183" t="s">
        <v>86</v>
      </c>
      <c r="BE37" s="183"/>
      <c r="BF37" s="183"/>
      <c r="BG37" s="174" t="s">
        <v>87</v>
      </c>
      <c r="BH37" s="174"/>
      <c r="BI37" s="174" t="s">
        <v>88</v>
      </c>
      <c r="BJ37" s="174"/>
      <c r="BK37" s="86">
        <v>2000</v>
      </c>
    </row>
    <row r="38" spans="2:78">
      <c r="B38" s="195"/>
      <c r="C38" s="195"/>
      <c r="D38" s="195"/>
      <c r="E38" s="195"/>
      <c r="F38" s="195"/>
      <c r="G38" s="195"/>
      <c r="H38" s="195"/>
      <c r="I38" s="195"/>
      <c r="K38" s="195"/>
      <c r="L38" s="195"/>
      <c r="M38" s="195"/>
      <c r="N38" s="195"/>
      <c r="O38" s="195"/>
      <c r="P38" s="195"/>
      <c r="Q38" s="195"/>
      <c r="R38" s="195"/>
      <c r="T38" s="195"/>
      <c r="U38" s="195"/>
      <c r="V38" s="195"/>
      <c r="W38" s="195"/>
      <c r="X38" s="195"/>
      <c r="Y38" s="195"/>
      <c r="Z38" s="195"/>
      <c r="AA38" s="195"/>
      <c r="AC38" s="175" t="s">
        <v>54</v>
      </c>
      <c r="AD38" s="175"/>
      <c r="AE38" s="174" t="s">
        <v>30</v>
      </c>
      <c r="AF38" s="174"/>
      <c r="AG38" s="174" t="s">
        <v>31</v>
      </c>
      <c r="AH38" s="174"/>
      <c r="AI38" s="174" t="s">
        <v>31</v>
      </c>
      <c r="AJ38" s="174"/>
      <c r="AL38" s="165"/>
      <c r="AM38" s="165"/>
      <c r="AN38" s="165"/>
      <c r="AO38" s="165"/>
      <c r="AP38" s="165"/>
      <c r="AQ38" s="165"/>
      <c r="AR38" s="165"/>
      <c r="AS38" s="165"/>
      <c r="AU38" s="201"/>
      <c r="AV38" s="201"/>
      <c r="AW38" s="201"/>
      <c r="AX38" s="201"/>
      <c r="AY38" s="201"/>
      <c r="AZ38" s="201"/>
      <c r="BA38" s="201"/>
      <c r="BB38" s="201"/>
      <c r="BD38" s="183" t="s">
        <v>51</v>
      </c>
      <c r="BE38" s="183"/>
      <c r="BF38" s="183"/>
      <c r="BG38" s="174" t="s">
        <v>89</v>
      </c>
      <c r="BH38" s="174"/>
      <c r="BI38" s="174" t="s">
        <v>90</v>
      </c>
      <c r="BJ38" s="174"/>
      <c r="BK38" s="86">
        <v>300</v>
      </c>
      <c r="BM38" s="182" t="s">
        <v>69</v>
      </c>
      <c r="BN38" s="182"/>
      <c r="BO38" s="184">
        <v>7</v>
      </c>
      <c r="BP38" s="184"/>
      <c r="BQ38" s="184">
        <v>8</v>
      </c>
      <c r="BR38" s="184"/>
      <c r="BS38" s="184">
        <v>9</v>
      </c>
      <c r="BT38" s="184"/>
      <c r="BU38" s="184">
        <v>10</v>
      </c>
      <c r="BV38" s="184"/>
      <c r="BW38" s="184">
        <v>11</v>
      </c>
      <c r="BX38" s="184"/>
      <c r="BY38" s="184">
        <v>12</v>
      </c>
      <c r="BZ38" s="184"/>
    </row>
    <row r="39" spans="2:78" ht="12.75" customHeight="1">
      <c r="B39" s="195"/>
      <c r="C39" s="195"/>
      <c r="D39" s="195"/>
      <c r="E39" s="195"/>
      <c r="F39" s="195"/>
      <c r="G39" s="195"/>
      <c r="H39" s="195"/>
      <c r="I39" s="195"/>
      <c r="K39" s="195"/>
      <c r="L39" s="195"/>
      <c r="M39" s="195"/>
      <c r="N39" s="195"/>
      <c r="O39" s="195"/>
      <c r="P39" s="195"/>
      <c r="Q39" s="195"/>
      <c r="R39" s="195"/>
      <c r="T39" s="195"/>
      <c r="U39" s="195"/>
      <c r="V39" s="195"/>
      <c r="W39" s="195"/>
      <c r="X39" s="195"/>
      <c r="Y39" s="195"/>
      <c r="Z39" s="195"/>
      <c r="AA39" s="195"/>
      <c r="AC39" s="97"/>
      <c r="AD39" s="97"/>
      <c r="AE39" s="97"/>
      <c r="AF39" s="97"/>
      <c r="AG39" s="97"/>
      <c r="AH39" s="97"/>
      <c r="AI39" s="97"/>
      <c r="AJ39" s="97"/>
      <c r="AL39" s="165"/>
      <c r="AM39" s="165"/>
      <c r="AN39" s="165"/>
      <c r="AO39" s="165"/>
      <c r="AP39" s="165"/>
      <c r="AQ39" s="165"/>
      <c r="AR39" s="165"/>
      <c r="AS39" s="165"/>
      <c r="AU39" s="64"/>
      <c r="AV39" s="64"/>
      <c r="AW39" s="64"/>
      <c r="AX39" s="64"/>
      <c r="AY39" s="64"/>
      <c r="AZ39" s="64"/>
      <c r="BA39" s="64"/>
      <c r="BB39" s="64"/>
      <c r="BD39" s="101"/>
      <c r="BE39" s="182" t="s">
        <v>91</v>
      </c>
      <c r="BF39" s="202"/>
      <c r="BG39" s="174" t="s">
        <v>66</v>
      </c>
      <c r="BH39" s="174"/>
      <c r="BI39" s="174" t="s">
        <v>66</v>
      </c>
      <c r="BJ39" s="174"/>
      <c r="BK39" s="86" t="s">
        <v>66</v>
      </c>
      <c r="BM39" s="182" t="s">
        <v>84</v>
      </c>
      <c r="BN39" s="182"/>
      <c r="BO39" s="186">
        <v>250</v>
      </c>
      <c r="BP39" s="186"/>
      <c r="BQ39" s="186">
        <v>250</v>
      </c>
      <c r="BR39" s="186"/>
      <c r="BS39" s="186">
        <v>250</v>
      </c>
      <c r="BT39" s="186"/>
      <c r="BU39" s="186">
        <v>250</v>
      </c>
      <c r="BV39" s="186"/>
      <c r="BW39" s="186">
        <v>250</v>
      </c>
      <c r="BX39" s="186"/>
      <c r="BY39" s="186">
        <v>250</v>
      </c>
      <c r="BZ39" s="186"/>
    </row>
    <row r="40" spans="2:78" ht="12.75" customHeight="1">
      <c r="B40" s="195"/>
      <c r="C40" s="195"/>
      <c r="D40" s="195"/>
      <c r="E40" s="195"/>
      <c r="F40" s="195"/>
      <c r="G40" s="195"/>
      <c r="H40" s="195"/>
      <c r="I40" s="195"/>
      <c r="K40" s="195"/>
      <c r="L40" s="195"/>
      <c r="M40" s="195"/>
      <c r="N40" s="195"/>
      <c r="O40" s="195"/>
      <c r="P40" s="195"/>
      <c r="Q40" s="195"/>
      <c r="R40" s="195"/>
      <c r="T40" s="195"/>
      <c r="U40" s="195"/>
      <c r="V40" s="195"/>
      <c r="W40" s="195"/>
      <c r="X40" s="195"/>
      <c r="Y40" s="195"/>
      <c r="Z40" s="195"/>
      <c r="AA40" s="195"/>
      <c r="AC40" s="97"/>
      <c r="AD40" s="97"/>
      <c r="AE40" s="196" t="s">
        <v>13</v>
      </c>
      <c r="AF40" s="196"/>
      <c r="AG40" s="196" t="s">
        <v>14</v>
      </c>
      <c r="AH40" s="196"/>
      <c r="AI40" s="196" t="s">
        <v>15</v>
      </c>
      <c r="AJ40" s="196"/>
      <c r="AL40" s="165"/>
      <c r="AM40" s="165"/>
      <c r="AN40" s="165"/>
      <c r="AO40" s="165"/>
      <c r="AP40" s="165"/>
      <c r="AQ40" s="165"/>
      <c r="AR40" s="165"/>
      <c r="AS40" s="165"/>
      <c r="AU40" s="183" t="s">
        <v>92</v>
      </c>
      <c r="AV40" s="183"/>
      <c r="AW40" s="183"/>
      <c r="AX40" s="64"/>
      <c r="AY40" s="64"/>
      <c r="AZ40" s="64"/>
      <c r="BA40" s="64"/>
      <c r="BB40" s="64"/>
      <c r="BD40" s="101"/>
      <c r="BE40" s="182" t="s">
        <v>93</v>
      </c>
      <c r="BF40" s="202"/>
      <c r="BG40" s="174" t="s">
        <v>66</v>
      </c>
      <c r="BH40" s="174"/>
      <c r="BI40" s="174" t="s">
        <v>66</v>
      </c>
      <c r="BJ40" s="174"/>
      <c r="BK40" s="86" t="s">
        <v>66</v>
      </c>
      <c r="BM40" s="170"/>
      <c r="BN40" s="170"/>
      <c r="BO40" s="180"/>
      <c r="BP40" s="180"/>
      <c r="BQ40" s="180"/>
      <c r="BR40" s="180"/>
      <c r="BS40" s="180"/>
      <c r="BT40" s="180"/>
      <c r="BU40" s="180"/>
      <c r="BV40" s="180"/>
      <c r="BW40" s="180"/>
      <c r="BX40" s="180"/>
      <c r="BY40" s="180"/>
      <c r="BZ40" s="180"/>
    </row>
    <row r="41" spans="2:78">
      <c r="B41" s="195"/>
      <c r="C41" s="195"/>
      <c r="D41" s="195"/>
      <c r="E41" s="195"/>
      <c r="F41" s="195"/>
      <c r="G41" s="195"/>
      <c r="H41" s="195"/>
      <c r="I41" s="195"/>
      <c r="K41" s="195"/>
      <c r="L41" s="195"/>
      <c r="M41" s="195"/>
      <c r="N41" s="195"/>
      <c r="O41" s="195"/>
      <c r="P41" s="195"/>
      <c r="Q41" s="195"/>
      <c r="R41" s="195"/>
      <c r="T41" s="195"/>
      <c r="U41" s="195"/>
      <c r="V41" s="195"/>
      <c r="W41" s="195"/>
      <c r="X41" s="195"/>
      <c r="Y41" s="195"/>
      <c r="Z41" s="195"/>
      <c r="AA41" s="195"/>
      <c r="AC41" s="175" t="s">
        <v>19</v>
      </c>
      <c r="AD41" s="175"/>
      <c r="AE41" s="174" t="s">
        <v>94</v>
      </c>
      <c r="AF41" s="174"/>
      <c r="AG41" s="174" t="s">
        <v>21</v>
      </c>
      <c r="AH41" s="174"/>
      <c r="AI41" s="174" t="s">
        <v>21</v>
      </c>
      <c r="AJ41" s="174"/>
      <c r="AL41" s="165"/>
      <c r="AM41" s="165"/>
      <c r="AN41" s="165"/>
      <c r="AO41" s="165"/>
      <c r="AP41" s="165"/>
      <c r="AQ41" s="165"/>
      <c r="AR41" s="165"/>
      <c r="AS41" s="165"/>
      <c r="AU41" s="201"/>
      <c r="AV41" s="201"/>
      <c r="AW41" s="201"/>
      <c r="AX41" s="201"/>
      <c r="AY41" s="201"/>
      <c r="AZ41" s="201"/>
      <c r="BA41" s="201"/>
      <c r="BB41" s="201"/>
      <c r="BD41" s="101"/>
      <c r="BE41" s="182" t="s">
        <v>95</v>
      </c>
      <c r="BF41" s="202"/>
      <c r="BG41" s="174" t="s">
        <v>66</v>
      </c>
      <c r="BH41" s="174"/>
      <c r="BI41" s="174" t="s">
        <v>66</v>
      </c>
      <c r="BJ41" s="174"/>
      <c r="BK41" s="86" t="s">
        <v>66</v>
      </c>
    </row>
    <row r="42" spans="2:78">
      <c r="B42" s="195"/>
      <c r="C42" s="195"/>
      <c r="D42" s="195"/>
      <c r="E42" s="195"/>
      <c r="F42" s="195"/>
      <c r="G42" s="195"/>
      <c r="H42" s="195"/>
      <c r="I42" s="195"/>
      <c r="K42" s="195"/>
      <c r="L42" s="195"/>
      <c r="M42" s="195"/>
      <c r="N42" s="195"/>
      <c r="O42" s="195"/>
      <c r="P42" s="195"/>
      <c r="Q42" s="195"/>
      <c r="R42" s="195"/>
      <c r="T42" s="195"/>
      <c r="U42" s="195"/>
      <c r="V42" s="195"/>
      <c r="W42" s="195"/>
      <c r="X42" s="195"/>
      <c r="Y42" s="195"/>
      <c r="Z42" s="195"/>
      <c r="AA42" s="195"/>
      <c r="AC42" s="175" t="s">
        <v>24</v>
      </c>
      <c r="AD42" s="175"/>
      <c r="AE42" s="174">
        <v>150</v>
      </c>
      <c r="AF42" s="174"/>
      <c r="AG42" s="174">
        <v>200</v>
      </c>
      <c r="AH42" s="174"/>
      <c r="AI42" s="174">
        <v>150</v>
      </c>
      <c r="AJ42" s="174"/>
      <c r="AL42" s="165"/>
      <c r="AM42" s="165"/>
      <c r="AN42" s="165"/>
      <c r="AO42" s="165"/>
      <c r="AP42" s="165"/>
      <c r="AQ42" s="165"/>
      <c r="AR42" s="165"/>
      <c r="AS42" s="165"/>
      <c r="AU42" s="201"/>
      <c r="AV42" s="201"/>
      <c r="AW42" s="201"/>
      <c r="AX42" s="201"/>
      <c r="AY42" s="201"/>
      <c r="AZ42" s="201"/>
      <c r="BA42" s="201"/>
      <c r="BB42" s="201"/>
      <c r="BD42" s="101"/>
      <c r="BE42" s="182" t="s">
        <v>96</v>
      </c>
      <c r="BF42" s="202"/>
      <c r="BG42" s="174" t="s">
        <v>89</v>
      </c>
      <c r="BH42" s="174"/>
      <c r="BI42" s="174" t="s">
        <v>90</v>
      </c>
      <c r="BJ42" s="174"/>
      <c r="BK42" s="86">
        <v>300</v>
      </c>
    </row>
    <row r="43" spans="2:78">
      <c r="B43" s="195"/>
      <c r="C43" s="195"/>
      <c r="D43" s="195"/>
      <c r="E43" s="195"/>
      <c r="F43" s="195"/>
      <c r="G43" s="195"/>
      <c r="H43" s="195"/>
      <c r="I43" s="195"/>
      <c r="K43" s="195"/>
      <c r="L43" s="195"/>
      <c r="M43" s="195"/>
      <c r="N43" s="195"/>
      <c r="O43" s="195"/>
      <c r="P43" s="195"/>
      <c r="Q43" s="195"/>
      <c r="R43" s="195"/>
      <c r="T43" s="195"/>
      <c r="U43" s="195"/>
      <c r="V43" s="195"/>
      <c r="W43" s="195"/>
      <c r="X43" s="195"/>
      <c r="Y43" s="195"/>
      <c r="Z43" s="195"/>
      <c r="AA43" s="195"/>
      <c r="AC43" s="175" t="s">
        <v>29</v>
      </c>
      <c r="AD43" s="175"/>
      <c r="AE43" s="174" t="s">
        <v>31</v>
      </c>
      <c r="AF43" s="174"/>
      <c r="AG43" s="174" t="s">
        <v>32</v>
      </c>
      <c r="AH43" s="174"/>
      <c r="AI43" s="174" t="s">
        <v>31</v>
      </c>
      <c r="AJ43" s="174"/>
      <c r="AL43" s="165"/>
      <c r="AM43" s="165"/>
      <c r="AN43" s="165"/>
      <c r="AO43" s="165"/>
      <c r="AP43" s="165"/>
      <c r="AQ43" s="165"/>
      <c r="AR43" s="165"/>
      <c r="AS43" s="165"/>
      <c r="AU43" s="201"/>
      <c r="AV43" s="201"/>
      <c r="AW43" s="201"/>
      <c r="AX43" s="201"/>
      <c r="AY43" s="201"/>
      <c r="AZ43" s="201"/>
      <c r="BA43" s="201"/>
      <c r="BB43" s="201"/>
      <c r="BD43" s="183" t="s">
        <v>97</v>
      </c>
      <c r="BE43" s="183"/>
      <c r="BF43" s="183"/>
      <c r="BG43" s="174" t="s">
        <v>66</v>
      </c>
      <c r="BH43" s="174"/>
      <c r="BI43" s="174" t="s">
        <v>66</v>
      </c>
      <c r="BJ43" s="174"/>
      <c r="BK43" s="86" t="s">
        <v>66</v>
      </c>
      <c r="BM43" s="183" t="s">
        <v>98</v>
      </c>
      <c r="BN43" s="183"/>
      <c r="BO43" s="183"/>
      <c r="BP43" s="183"/>
      <c r="BQ43" s="183"/>
      <c r="BR43" s="183"/>
    </row>
    <row r="44" spans="2:78">
      <c r="B44" s="195"/>
      <c r="C44" s="195"/>
      <c r="D44" s="195"/>
      <c r="E44" s="195"/>
      <c r="F44" s="195"/>
      <c r="G44" s="195"/>
      <c r="H44" s="195"/>
      <c r="I44" s="195"/>
      <c r="K44" s="195"/>
      <c r="L44" s="195"/>
      <c r="M44" s="195"/>
      <c r="N44" s="195"/>
      <c r="O44" s="195"/>
      <c r="P44" s="195"/>
      <c r="Q44" s="195"/>
      <c r="R44" s="195"/>
      <c r="T44" s="195"/>
      <c r="U44" s="195"/>
      <c r="V44" s="195"/>
      <c r="W44" s="195"/>
      <c r="X44" s="195"/>
      <c r="Y44" s="195"/>
      <c r="Z44" s="195"/>
      <c r="AA44" s="195"/>
      <c r="AC44" s="175" t="s">
        <v>34</v>
      </c>
      <c r="AD44" s="175"/>
      <c r="AE44" s="174" t="s">
        <v>63</v>
      </c>
      <c r="AF44" s="174"/>
      <c r="AG44" s="174" t="s">
        <v>44</v>
      </c>
      <c r="AH44" s="174"/>
      <c r="AI44" s="174" t="s">
        <v>35</v>
      </c>
      <c r="AJ44" s="174"/>
      <c r="AL44" s="165"/>
      <c r="AM44" s="165"/>
      <c r="AN44" s="165"/>
      <c r="AO44" s="165"/>
      <c r="AP44" s="165"/>
      <c r="AQ44" s="165"/>
      <c r="AR44" s="165"/>
      <c r="AS44" s="165"/>
      <c r="AU44" s="201"/>
      <c r="AV44" s="201"/>
      <c r="AW44" s="201"/>
      <c r="AX44" s="201"/>
      <c r="AY44" s="201"/>
      <c r="AZ44" s="201"/>
      <c r="BA44" s="201"/>
      <c r="BB44" s="201"/>
      <c r="BD44" s="183" t="s">
        <v>99</v>
      </c>
      <c r="BE44" s="183"/>
      <c r="BF44" s="183"/>
      <c r="BG44" s="174" t="s">
        <v>66</v>
      </c>
      <c r="BH44" s="174"/>
      <c r="BI44" s="174" t="s">
        <v>66</v>
      </c>
      <c r="BJ44" s="174"/>
      <c r="BK44" s="86" t="s">
        <v>66</v>
      </c>
    </row>
    <row r="45" spans="2:78">
      <c r="B45" s="195"/>
      <c r="C45" s="195"/>
      <c r="D45" s="195"/>
      <c r="E45" s="195"/>
      <c r="F45" s="195"/>
      <c r="G45" s="195"/>
      <c r="H45" s="195"/>
      <c r="I45" s="195"/>
      <c r="K45" s="195"/>
      <c r="L45" s="195"/>
      <c r="M45" s="195"/>
      <c r="N45" s="195"/>
      <c r="O45" s="195"/>
      <c r="P45" s="195"/>
      <c r="Q45" s="195"/>
      <c r="R45" s="195"/>
      <c r="T45" s="195"/>
      <c r="U45" s="195"/>
      <c r="V45" s="195"/>
      <c r="W45" s="195"/>
      <c r="X45" s="195"/>
      <c r="Y45" s="195"/>
      <c r="Z45" s="195"/>
      <c r="AA45" s="195"/>
      <c r="AC45" s="175" t="s">
        <v>38</v>
      </c>
      <c r="AD45" s="175"/>
      <c r="AE45" s="174" t="s">
        <v>67</v>
      </c>
      <c r="AF45" s="174"/>
      <c r="AG45" s="174" t="s">
        <v>68</v>
      </c>
      <c r="AH45" s="174"/>
      <c r="AI45" s="174" t="s">
        <v>40</v>
      </c>
      <c r="AJ45" s="174"/>
      <c r="AL45" s="165"/>
      <c r="AM45" s="165"/>
      <c r="AN45" s="165"/>
      <c r="AO45" s="165"/>
      <c r="AP45" s="165"/>
      <c r="AQ45" s="165"/>
      <c r="AR45" s="165"/>
      <c r="AS45" s="165"/>
      <c r="AU45" s="201"/>
      <c r="AV45" s="201"/>
      <c r="AW45" s="201"/>
      <c r="AX45" s="201"/>
      <c r="AY45" s="201"/>
      <c r="AZ45" s="201"/>
      <c r="BA45" s="201"/>
      <c r="BB45" s="201"/>
      <c r="BD45" s="183" t="s">
        <v>100</v>
      </c>
      <c r="BE45" s="183"/>
      <c r="BF45" s="183"/>
      <c r="BG45" s="174" t="s">
        <v>82</v>
      </c>
      <c r="BH45" s="174"/>
      <c r="BI45" s="174" t="s">
        <v>101</v>
      </c>
      <c r="BJ45" s="174"/>
      <c r="BK45" s="86">
        <v>2000</v>
      </c>
      <c r="BO45" s="184" t="s">
        <v>102</v>
      </c>
      <c r="BP45" s="184"/>
      <c r="BQ45" s="184"/>
      <c r="BR45" s="184"/>
      <c r="BS45" s="185"/>
      <c r="BT45" s="185"/>
      <c r="BU45" s="185"/>
      <c r="BV45" s="185"/>
      <c r="BW45" s="185"/>
      <c r="BX45" s="185"/>
      <c r="BY45" s="185"/>
      <c r="BZ45" s="185"/>
    </row>
    <row r="46" spans="2:78">
      <c r="B46" s="195"/>
      <c r="C46" s="195"/>
      <c r="D46" s="195"/>
      <c r="E46" s="195"/>
      <c r="F46" s="195"/>
      <c r="G46" s="195"/>
      <c r="H46" s="195"/>
      <c r="I46" s="195"/>
      <c r="K46" s="195"/>
      <c r="L46" s="195"/>
      <c r="M46" s="195"/>
      <c r="N46" s="195"/>
      <c r="O46" s="195"/>
      <c r="P46" s="195"/>
      <c r="Q46" s="195"/>
      <c r="R46" s="195"/>
      <c r="T46" s="195"/>
      <c r="U46" s="195"/>
      <c r="V46" s="195"/>
      <c r="W46" s="195"/>
      <c r="X46" s="195"/>
      <c r="Y46" s="195"/>
      <c r="Z46" s="195"/>
      <c r="AA46" s="195"/>
      <c r="AC46" s="175" t="s">
        <v>43</v>
      </c>
      <c r="AD46" s="175"/>
      <c r="AE46" s="174" t="s">
        <v>30</v>
      </c>
      <c r="AF46" s="174"/>
      <c r="AG46" s="174" t="s">
        <v>44</v>
      </c>
      <c r="AH46" s="174"/>
      <c r="AI46" s="174" t="s">
        <v>30</v>
      </c>
      <c r="AJ46" s="174"/>
      <c r="AL46" s="165"/>
      <c r="AM46" s="165"/>
      <c r="AN46" s="165"/>
      <c r="AO46" s="165"/>
      <c r="AP46" s="165"/>
      <c r="AQ46" s="165"/>
      <c r="AR46" s="165"/>
      <c r="AS46" s="165"/>
      <c r="AU46" s="201"/>
      <c r="AV46" s="201"/>
      <c r="AW46" s="201"/>
      <c r="AX46" s="201"/>
      <c r="AY46" s="201"/>
      <c r="AZ46" s="201"/>
      <c r="BA46" s="201"/>
      <c r="BB46" s="201"/>
      <c r="BD46" s="183" t="s">
        <v>103</v>
      </c>
      <c r="BE46" s="183"/>
      <c r="BF46" s="183"/>
      <c r="BG46" s="174" t="s">
        <v>82</v>
      </c>
      <c r="BH46" s="174"/>
      <c r="BI46" s="174" t="s">
        <v>35</v>
      </c>
      <c r="BJ46" s="174"/>
      <c r="BK46" s="86" t="s">
        <v>35</v>
      </c>
      <c r="BM46" s="182" t="s">
        <v>70</v>
      </c>
      <c r="BN46" s="182"/>
      <c r="BO46" s="178">
        <f>SUM(BO25:BZ25)+SUM(BO29:BZ29)</f>
        <v>126000</v>
      </c>
      <c r="BP46" s="179"/>
      <c r="BQ46" s="179"/>
      <c r="BR46" s="179"/>
      <c r="BS46" s="176"/>
      <c r="BT46" s="177"/>
      <c r="BU46" s="177"/>
      <c r="BV46" s="177"/>
      <c r="BW46" s="176"/>
      <c r="BX46" s="177"/>
      <c r="BY46" s="177"/>
      <c r="BZ46" s="177"/>
    </row>
    <row r="47" spans="2:78">
      <c r="B47" s="195"/>
      <c r="C47" s="195"/>
      <c r="D47" s="195"/>
      <c r="E47" s="195"/>
      <c r="F47" s="195"/>
      <c r="G47" s="195"/>
      <c r="H47" s="195"/>
      <c r="I47" s="195"/>
      <c r="K47" s="195"/>
      <c r="L47" s="195"/>
      <c r="M47" s="195"/>
      <c r="N47" s="195"/>
      <c r="O47" s="195"/>
      <c r="P47" s="195"/>
      <c r="Q47" s="195"/>
      <c r="R47" s="195"/>
      <c r="T47" s="195"/>
      <c r="U47" s="195"/>
      <c r="V47" s="195"/>
      <c r="W47" s="195"/>
      <c r="X47" s="195"/>
      <c r="Y47" s="195"/>
      <c r="Z47" s="195"/>
      <c r="AA47" s="195"/>
      <c r="AC47" s="175" t="s">
        <v>46</v>
      </c>
      <c r="AD47" s="175"/>
      <c r="AE47" s="174" t="s">
        <v>48</v>
      </c>
      <c r="AF47" s="174"/>
      <c r="AG47" s="174" t="s">
        <v>48</v>
      </c>
      <c r="AH47" s="174"/>
      <c r="AI47" s="174" t="s">
        <v>48</v>
      </c>
      <c r="AJ47" s="174"/>
      <c r="AL47" s="165"/>
      <c r="AM47" s="165"/>
      <c r="AN47" s="165"/>
      <c r="AO47" s="165"/>
      <c r="AP47" s="165"/>
      <c r="AQ47" s="165"/>
      <c r="AR47" s="165"/>
      <c r="AS47" s="165"/>
      <c r="AU47" s="201"/>
      <c r="AV47" s="201"/>
      <c r="AW47" s="201"/>
      <c r="AX47" s="201"/>
      <c r="AY47" s="201"/>
      <c r="AZ47" s="201"/>
      <c r="BA47" s="201"/>
      <c r="BB47" s="201"/>
      <c r="BD47" s="183" t="s">
        <v>104</v>
      </c>
      <c r="BE47" s="183"/>
      <c r="BF47" s="183"/>
      <c r="BG47" s="174" t="s">
        <v>82</v>
      </c>
      <c r="BH47" s="174"/>
      <c r="BI47" s="174" t="s">
        <v>101</v>
      </c>
      <c r="BJ47" s="174"/>
      <c r="BK47" s="86">
        <v>350</v>
      </c>
      <c r="BM47" s="170"/>
      <c r="BN47" s="170"/>
      <c r="BO47" s="176"/>
      <c r="BP47" s="177"/>
      <c r="BQ47" s="177"/>
      <c r="BR47" s="177"/>
      <c r="BS47" s="176"/>
      <c r="BT47" s="177"/>
      <c r="BU47" s="177"/>
      <c r="BV47" s="177"/>
      <c r="BW47" s="176"/>
      <c r="BX47" s="177"/>
      <c r="BY47" s="177"/>
      <c r="BZ47" s="177"/>
    </row>
    <row r="48" spans="2:78" ht="12.75" customHeight="1">
      <c r="B48" s="195"/>
      <c r="C48" s="195"/>
      <c r="D48" s="195"/>
      <c r="E48" s="195"/>
      <c r="F48" s="195"/>
      <c r="G48" s="195"/>
      <c r="H48" s="195"/>
      <c r="I48" s="195"/>
      <c r="K48" s="195"/>
      <c r="L48" s="195"/>
      <c r="M48" s="195"/>
      <c r="N48" s="195"/>
      <c r="O48" s="195"/>
      <c r="P48" s="195"/>
      <c r="Q48" s="195"/>
      <c r="R48" s="195"/>
      <c r="T48" s="195"/>
      <c r="U48" s="195"/>
      <c r="V48" s="195"/>
      <c r="W48" s="195"/>
      <c r="X48" s="195"/>
      <c r="Y48" s="195"/>
      <c r="Z48" s="195"/>
      <c r="AA48" s="195"/>
      <c r="AC48" s="175" t="s">
        <v>51</v>
      </c>
      <c r="AD48" s="175"/>
      <c r="AE48" s="174" t="s">
        <v>48</v>
      </c>
      <c r="AF48" s="174"/>
      <c r="AG48" s="174" t="s">
        <v>48</v>
      </c>
      <c r="AH48" s="174"/>
      <c r="AI48" s="174" t="s">
        <v>52</v>
      </c>
      <c r="AJ48" s="174"/>
      <c r="AL48" s="165"/>
      <c r="AM48" s="165"/>
      <c r="AN48" s="165"/>
      <c r="AO48" s="165"/>
      <c r="AP48" s="165"/>
      <c r="AQ48" s="165"/>
      <c r="AR48" s="165"/>
      <c r="AS48" s="165"/>
      <c r="AU48" s="201"/>
      <c r="AV48" s="201"/>
      <c r="AW48" s="201"/>
      <c r="AX48" s="201"/>
      <c r="AY48" s="201"/>
      <c r="AZ48" s="201"/>
      <c r="BA48" s="201"/>
      <c r="BB48" s="201"/>
      <c r="BD48" s="95"/>
      <c r="BE48" s="95"/>
      <c r="BF48" s="95"/>
      <c r="BG48" s="95"/>
      <c r="BH48" s="95"/>
      <c r="BI48" s="95"/>
      <c r="BJ48" s="95"/>
      <c r="BK48" s="95"/>
      <c r="BM48" s="182" t="s">
        <v>84</v>
      </c>
      <c r="BN48" s="182"/>
      <c r="BO48" s="178">
        <f>SUM(BO35:BZ35)+SUM(BO39:BZ39)</f>
        <v>2900</v>
      </c>
      <c r="BP48" s="179"/>
      <c r="BQ48" s="179"/>
      <c r="BR48" s="179"/>
      <c r="BS48" s="180"/>
      <c r="BT48" s="181"/>
      <c r="BU48" s="181"/>
      <c r="BV48" s="181"/>
      <c r="BW48" s="180"/>
      <c r="BX48" s="181"/>
      <c r="BY48" s="181"/>
      <c r="BZ48" s="181"/>
    </row>
    <row r="49" spans="2:78" ht="12.75" customHeight="1">
      <c r="B49" s="195"/>
      <c r="C49" s="195"/>
      <c r="D49" s="195"/>
      <c r="E49" s="195"/>
      <c r="F49" s="195"/>
      <c r="G49" s="195"/>
      <c r="H49" s="195"/>
      <c r="I49" s="195"/>
      <c r="K49" s="195"/>
      <c r="L49" s="195"/>
      <c r="M49" s="195"/>
      <c r="N49" s="195"/>
      <c r="O49" s="195"/>
      <c r="P49" s="195"/>
      <c r="Q49" s="195"/>
      <c r="R49" s="195"/>
      <c r="T49" s="195"/>
      <c r="U49" s="195"/>
      <c r="V49" s="195"/>
      <c r="W49" s="195"/>
      <c r="X49" s="195"/>
      <c r="Y49" s="195"/>
      <c r="Z49" s="195"/>
      <c r="AA49" s="195"/>
      <c r="AC49" s="175" t="s">
        <v>54</v>
      </c>
      <c r="AD49" s="175"/>
      <c r="AE49" s="174" t="s">
        <v>31</v>
      </c>
      <c r="AF49" s="174"/>
      <c r="AG49" s="174" t="s">
        <v>44</v>
      </c>
      <c r="AH49" s="174"/>
      <c r="AI49" s="174" t="s">
        <v>44</v>
      </c>
      <c r="AJ49" s="174"/>
      <c r="AL49" s="165"/>
      <c r="AM49" s="165"/>
      <c r="AN49" s="165"/>
      <c r="AO49" s="165"/>
      <c r="AP49" s="165"/>
      <c r="AQ49" s="165"/>
      <c r="AR49" s="165"/>
      <c r="AS49" s="165"/>
      <c r="AU49" s="201"/>
      <c r="AV49" s="201"/>
      <c r="AW49" s="201"/>
      <c r="AX49" s="201"/>
      <c r="AY49" s="201"/>
      <c r="AZ49" s="201"/>
      <c r="BA49" s="201"/>
      <c r="BB49" s="201"/>
      <c r="BD49" s="95"/>
      <c r="BE49" s="95"/>
      <c r="BF49" s="95"/>
      <c r="BG49" s="95"/>
      <c r="BH49" s="95"/>
      <c r="BI49" s="95"/>
      <c r="BJ49" s="95"/>
      <c r="BK49" s="95"/>
      <c r="BM49" s="170"/>
      <c r="BN49" s="170"/>
      <c r="BO49" s="180"/>
      <c r="BP49" s="181"/>
      <c r="BQ49" s="181"/>
      <c r="BR49" s="181"/>
      <c r="BS49" s="180"/>
      <c r="BT49" s="181"/>
      <c r="BU49" s="181"/>
      <c r="BV49" s="181"/>
      <c r="BW49" s="180"/>
      <c r="BX49" s="181"/>
      <c r="BY49" s="181"/>
      <c r="BZ49" s="181"/>
    </row>
    <row r="50" spans="2:78">
      <c r="B50" s="195"/>
      <c r="C50" s="195"/>
      <c r="D50" s="195"/>
      <c r="E50" s="195"/>
      <c r="F50" s="195"/>
      <c r="G50" s="195"/>
      <c r="H50" s="195"/>
      <c r="I50" s="195"/>
      <c r="K50" s="195"/>
      <c r="L50" s="195"/>
      <c r="M50" s="195"/>
      <c r="N50" s="195"/>
      <c r="O50" s="195"/>
      <c r="P50" s="195"/>
      <c r="Q50" s="195"/>
      <c r="R50" s="195"/>
      <c r="T50" s="195"/>
      <c r="U50" s="195"/>
      <c r="V50" s="195"/>
      <c r="W50" s="195"/>
      <c r="X50" s="195"/>
      <c r="Y50" s="195"/>
      <c r="Z50" s="195"/>
      <c r="AA50" s="195"/>
      <c r="AC50" s="97"/>
      <c r="AD50" s="97"/>
      <c r="AE50" s="97"/>
      <c r="AF50" s="97"/>
      <c r="AG50" s="97"/>
      <c r="AH50" s="97"/>
      <c r="AI50" s="97"/>
      <c r="AJ50" s="97"/>
      <c r="AL50" s="165"/>
      <c r="AM50" s="165"/>
      <c r="AN50" s="165"/>
      <c r="AO50" s="165"/>
      <c r="AP50" s="165"/>
      <c r="AQ50" s="165"/>
      <c r="AR50" s="165"/>
      <c r="AS50" s="165"/>
      <c r="AU50" s="201"/>
      <c r="AV50" s="201"/>
      <c r="AW50" s="201"/>
      <c r="AX50" s="201"/>
      <c r="AY50" s="201"/>
      <c r="AZ50" s="201"/>
      <c r="BA50" s="201"/>
      <c r="BB50" s="201"/>
      <c r="BD50" s="95"/>
      <c r="BE50" s="95"/>
      <c r="BF50" s="95"/>
      <c r="BG50" s="95"/>
      <c r="BH50" s="95"/>
      <c r="BI50" s="95"/>
      <c r="BJ50" s="95"/>
      <c r="BK50" s="95"/>
    </row>
    <row r="51" spans="2:78">
      <c r="B51" s="195"/>
      <c r="C51" s="195"/>
      <c r="D51" s="195"/>
      <c r="E51" s="195"/>
      <c r="F51" s="195"/>
      <c r="G51" s="195"/>
      <c r="H51" s="195"/>
      <c r="I51" s="195"/>
      <c r="K51" s="195"/>
      <c r="L51" s="195"/>
      <c r="M51" s="195"/>
      <c r="N51" s="195"/>
      <c r="O51" s="195"/>
      <c r="P51" s="195"/>
      <c r="Q51" s="195"/>
      <c r="R51" s="195"/>
      <c r="T51" s="195"/>
      <c r="U51" s="195"/>
      <c r="V51" s="195"/>
      <c r="W51" s="195"/>
      <c r="X51" s="195"/>
      <c r="Y51" s="195"/>
      <c r="Z51" s="195"/>
      <c r="AA51" s="195"/>
      <c r="AC51" s="175" t="s">
        <v>105</v>
      </c>
      <c r="AD51" s="175"/>
      <c r="AE51" s="175"/>
      <c r="AF51" s="175"/>
      <c r="AG51" s="97"/>
      <c r="AH51" s="97"/>
      <c r="AI51" s="97"/>
      <c r="AJ51" s="97"/>
      <c r="AL51" s="165"/>
      <c r="AM51" s="165"/>
      <c r="AN51" s="165"/>
      <c r="AO51" s="165"/>
      <c r="AP51" s="165"/>
      <c r="AQ51" s="165"/>
      <c r="AR51" s="165"/>
      <c r="AS51" s="165"/>
      <c r="AU51" s="201"/>
      <c r="AV51" s="201"/>
      <c r="AW51" s="201"/>
      <c r="AX51" s="201"/>
      <c r="AY51" s="201"/>
      <c r="AZ51" s="201"/>
      <c r="BA51" s="201"/>
      <c r="BB51" s="201"/>
      <c r="BD51" s="95"/>
      <c r="BE51" s="95"/>
      <c r="BF51" s="95"/>
      <c r="BG51" s="95"/>
      <c r="BH51" s="95"/>
      <c r="BI51" s="95"/>
      <c r="BJ51" s="95"/>
      <c r="BK51" s="95"/>
    </row>
    <row r="52" spans="2:78">
      <c r="B52" s="195"/>
      <c r="C52" s="195"/>
      <c r="D52" s="195"/>
      <c r="E52" s="195"/>
      <c r="F52" s="195"/>
      <c r="G52" s="195"/>
      <c r="H52" s="195"/>
      <c r="I52" s="195"/>
      <c r="K52" s="195"/>
      <c r="L52" s="195"/>
      <c r="M52" s="195"/>
      <c r="N52" s="195"/>
      <c r="O52" s="195"/>
      <c r="P52" s="195"/>
      <c r="Q52" s="195"/>
      <c r="R52" s="195"/>
      <c r="T52" s="195"/>
      <c r="U52" s="195"/>
      <c r="V52" s="195"/>
      <c r="W52" s="195"/>
      <c r="X52" s="195"/>
      <c r="Y52" s="195"/>
      <c r="Z52" s="195"/>
      <c r="AA52" s="195"/>
      <c r="AC52" s="199" t="s">
        <v>106</v>
      </c>
      <c r="AD52" s="199"/>
      <c r="AE52" s="199"/>
      <c r="AF52" s="199"/>
      <c r="AG52" s="199"/>
      <c r="AH52" s="199"/>
      <c r="AI52" s="199"/>
      <c r="AJ52" s="199"/>
      <c r="AL52" s="165"/>
      <c r="AM52" s="165"/>
      <c r="AN52" s="165"/>
      <c r="AO52" s="165"/>
      <c r="AP52" s="165"/>
      <c r="AQ52" s="165"/>
      <c r="AR52" s="165"/>
      <c r="AS52" s="165"/>
      <c r="AU52" s="201"/>
      <c r="AV52" s="201"/>
      <c r="AW52" s="201"/>
      <c r="AX52" s="201"/>
      <c r="AY52" s="201"/>
      <c r="AZ52" s="201"/>
      <c r="BA52" s="201"/>
      <c r="BB52" s="201"/>
      <c r="BD52" s="95"/>
      <c r="BE52" s="95"/>
      <c r="BF52" s="95"/>
      <c r="BG52" s="95"/>
      <c r="BH52" s="95"/>
      <c r="BI52" s="95"/>
      <c r="BJ52" s="95"/>
      <c r="BK52" s="95"/>
    </row>
    <row r="53" spans="2:78">
      <c r="B53" s="195"/>
      <c r="C53" s="195"/>
      <c r="D53" s="195"/>
      <c r="E53" s="195"/>
      <c r="F53" s="195"/>
      <c r="G53" s="195"/>
      <c r="H53" s="195"/>
      <c r="I53" s="195"/>
      <c r="K53" s="195"/>
      <c r="L53" s="195"/>
      <c r="M53" s="195"/>
      <c r="N53" s="195"/>
      <c r="O53" s="195"/>
      <c r="P53" s="195"/>
      <c r="Q53" s="195"/>
      <c r="R53" s="195"/>
      <c r="T53" s="195"/>
      <c r="U53" s="195"/>
      <c r="V53" s="195"/>
      <c r="W53" s="195"/>
      <c r="X53" s="195"/>
      <c r="Y53" s="195"/>
      <c r="Z53" s="195"/>
      <c r="AA53" s="195"/>
      <c r="AC53" s="199"/>
      <c r="AD53" s="199"/>
      <c r="AE53" s="199"/>
      <c r="AF53" s="199"/>
      <c r="AG53" s="199"/>
      <c r="AH53" s="199"/>
      <c r="AI53" s="199"/>
      <c r="AJ53" s="199"/>
      <c r="AL53" s="165"/>
      <c r="AM53" s="165"/>
      <c r="AN53" s="165"/>
      <c r="AO53" s="165"/>
      <c r="AP53" s="165"/>
      <c r="AQ53" s="165"/>
      <c r="AR53" s="165"/>
      <c r="AS53" s="165"/>
      <c r="AU53" s="201"/>
      <c r="AV53" s="201"/>
      <c r="AW53" s="201"/>
      <c r="AX53" s="201"/>
      <c r="AY53" s="201"/>
      <c r="AZ53" s="201"/>
      <c r="BA53" s="201"/>
      <c r="BB53" s="201"/>
      <c r="BD53" s="95"/>
      <c r="BE53" s="95"/>
      <c r="BF53" s="95"/>
      <c r="BG53" s="95"/>
      <c r="BH53" s="95"/>
      <c r="BI53" s="95"/>
      <c r="BJ53" s="95"/>
      <c r="BK53" s="95"/>
    </row>
    <row r="54" spans="2:78">
      <c r="B54" s="195"/>
      <c r="C54" s="195"/>
      <c r="D54" s="195"/>
      <c r="E54" s="195"/>
      <c r="F54" s="195"/>
      <c r="G54" s="195"/>
      <c r="H54" s="195"/>
      <c r="I54" s="195"/>
      <c r="K54" s="195"/>
      <c r="L54" s="195"/>
      <c r="M54" s="195"/>
      <c r="N54" s="195"/>
      <c r="O54" s="195"/>
      <c r="P54" s="195"/>
      <c r="Q54" s="195"/>
      <c r="R54" s="195"/>
      <c r="T54" s="195"/>
      <c r="U54" s="195"/>
      <c r="V54" s="195"/>
      <c r="W54" s="195"/>
      <c r="X54" s="195"/>
      <c r="Y54" s="195"/>
      <c r="Z54" s="195"/>
      <c r="AA54" s="195"/>
      <c r="AC54" s="199"/>
      <c r="AD54" s="199"/>
      <c r="AE54" s="199"/>
      <c r="AF54" s="199"/>
      <c r="AG54" s="199"/>
      <c r="AH54" s="199"/>
      <c r="AI54" s="199"/>
      <c r="AJ54" s="199"/>
      <c r="AL54" s="165"/>
      <c r="AM54" s="165"/>
      <c r="AN54" s="165"/>
      <c r="AO54" s="165"/>
      <c r="AP54" s="165"/>
      <c r="AQ54" s="165"/>
      <c r="AR54" s="165"/>
      <c r="AS54" s="165"/>
      <c r="AU54" s="201"/>
      <c r="AV54" s="201"/>
      <c r="AW54" s="201"/>
      <c r="AX54" s="201"/>
      <c r="AY54" s="201"/>
      <c r="AZ54" s="201"/>
      <c r="BA54" s="201"/>
      <c r="BB54" s="201"/>
      <c r="BD54" s="95"/>
      <c r="BE54" s="95"/>
      <c r="BF54" s="95"/>
      <c r="BG54" s="95"/>
      <c r="BH54" s="95"/>
      <c r="BI54" s="95"/>
      <c r="BJ54" s="95"/>
      <c r="BK54" s="95"/>
    </row>
    <row r="55" spans="2:78">
      <c r="B55" s="195"/>
      <c r="C55" s="195"/>
      <c r="D55" s="195"/>
      <c r="E55" s="195"/>
      <c r="F55" s="195"/>
      <c r="G55" s="195"/>
      <c r="H55" s="195"/>
      <c r="I55" s="195"/>
      <c r="K55" s="195"/>
      <c r="L55" s="195"/>
      <c r="M55" s="195"/>
      <c r="N55" s="195"/>
      <c r="O55" s="195"/>
      <c r="P55" s="195"/>
      <c r="Q55" s="195"/>
      <c r="R55" s="195"/>
      <c r="T55" s="195"/>
      <c r="U55" s="195"/>
      <c r="V55" s="195"/>
      <c r="W55" s="195"/>
      <c r="X55" s="195"/>
      <c r="Y55" s="195"/>
      <c r="Z55" s="195"/>
      <c r="AA55" s="195"/>
      <c r="AC55" s="199"/>
      <c r="AD55" s="199"/>
      <c r="AE55" s="199"/>
      <c r="AF55" s="199"/>
      <c r="AG55" s="199"/>
      <c r="AH55" s="199"/>
      <c r="AI55" s="199"/>
      <c r="AJ55" s="199"/>
      <c r="AL55" s="165"/>
      <c r="AM55" s="165"/>
      <c r="AN55" s="165"/>
      <c r="AO55" s="165"/>
      <c r="AP55" s="165"/>
      <c r="AQ55" s="165"/>
      <c r="AR55" s="165"/>
      <c r="AS55" s="165"/>
      <c r="AU55" s="201"/>
      <c r="AV55" s="201"/>
      <c r="AW55" s="201"/>
      <c r="AX55" s="201"/>
      <c r="AY55" s="201"/>
      <c r="AZ55" s="201"/>
      <c r="BA55" s="201"/>
      <c r="BB55" s="201"/>
      <c r="BD55" s="95"/>
      <c r="BE55" s="95"/>
      <c r="BF55" s="95"/>
      <c r="BG55" s="95"/>
      <c r="BH55" s="95"/>
      <c r="BI55" s="95"/>
      <c r="BJ55" s="95"/>
      <c r="BK55" s="95"/>
    </row>
    <row r="56" spans="2:78">
      <c r="K56" s="6"/>
      <c r="AU56" s="61"/>
      <c r="AV56" s="61"/>
      <c r="AW56" s="61"/>
      <c r="AX56" s="61"/>
      <c r="AY56" s="61"/>
      <c r="AZ56" s="61"/>
      <c r="BA56" s="61"/>
      <c r="BB56" s="61"/>
      <c r="BM56" s="73"/>
      <c r="BN56" s="73"/>
      <c r="BO56" s="73"/>
      <c r="BP56" s="73"/>
      <c r="BQ56" s="73"/>
      <c r="BR56" s="73"/>
      <c r="BS56" s="73"/>
      <c r="BT56" s="73"/>
      <c r="BU56" s="73"/>
      <c r="BV56" s="73"/>
      <c r="BW56" s="73"/>
      <c r="BX56" s="73"/>
      <c r="BY56" s="73"/>
      <c r="BZ56" s="73"/>
    </row>
    <row r="57" spans="2:78">
      <c r="B57" s="166"/>
      <c r="C57" s="166"/>
      <c r="D57" s="166"/>
      <c r="E57" s="166"/>
      <c r="F57" s="166"/>
      <c r="G57" s="166"/>
      <c r="H57" s="166"/>
      <c r="I57" s="166"/>
      <c r="K57" s="166"/>
      <c r="L57" s="166"/>
      <c r="M57" s="166"/>
      <c r="N57" s="166"/>
      <c r="O57" s="166"/>
      <c r="P57" s="166"/>
      <c r="Q57" s="166"/>
      <c r="R57" s="166"/>
      <c r="T57" s="166"/>
      <c r="U57" s="166"/>
      <c r="V57" s="166"/>
      <c r="W57" s="166"/>
      <c r="X57" s="166"/>
      <c r="Y57" s="166"/>
      <c r="Z57" s="166"/>
      <c r="AA57" s="166"/>
      <c r="AC57" s="166"/>
      <c r="AD57" s="166"/>
      <c r="AE57" s="166"/>
      <c r="AF57" s="166"/>
      <c r="AG57" s="166"/>
      <c r="AH57" s="166"/>
      <c r="AI57" s="166"/>
      <c r="AJ57" s="166"/>
      <c r="AL57" s="166"/>
      <c r="AM57" s="166"/>
      <c r="AN57" s="166"/>
      <c r="AO57" s="166"/>
      <c r="AP57" s="166"/>
      <c r="AQ57" s="166"/>
      <c r="AR57" s="166"/>
      <c r="AS57" s="166"/>
      <c r="AU57" s="166"/>
      <c r="AV57" s="166"/>
      <c r="AW57" s="166"/>
      <c r="AX57" s="166"/>
      <c r="AY57" s="166"/>
      <c r="AZ57" s="166"/>
      <c r="BA57" s="166"/>
      <c r="BB57" s="166"/>
      <c r="BD57" s="166"/>
      <c r="BE57" s="166"/>
      <c r="BF57" s="166"/>
      <c r="BG57" s="166"/>
      <c r="BH57" s="166"/>
      <c r="BI57" s="166"/>
      <c r="BJ57" s="166"/>
      <c r="BK57" s="166"/>
      <c r="BM57" s="166"/>
      <c r="BN57" s="166"/>
      <c r="BO57" s="166"/>
      <c r="BP57" s="166"/>
      <c r="BQ57" s="166"/>
      <c r="BR57" s="166"/>
      <c r="BS57" s="166"/>
      <c r="BT57" s="166"/>
      <c r="BU57" s="162"/>
      <c r="BV57" s="162"/>
      <c r="BW57" s="162"/>
      <c r="BX57" s="162"/>
      <c r="BY57" s="162"/>
      <c r="BZ57" s="162"/>
    </row>
    <row r="59" spans="2:78" ht="17.45">
      <c r="B59" s="72"/>
      <c r="K59" s="72"/>
      <c r="T59" s="72"/>
      <c r="AC59" s="72"/>
      <c r="AL59" s="72"/>
      <c r="AU59" s="72"/>
      <c r="BD59" s="72"/>
      <c r="BM59" s="72"/>
    </row>
    <row r="61" spans="2:78" ht="4.9000000000000004" customHeight="1"/>
  </sheetData>
  <sheetProtection password="EA12" sheet="1" objects="1" scenarios="1" selectLockedCells="1"/>
  <mergeCells count="418">
    <mergeCell ref="BG36:BH36"/>
    <mergeCell ref="BG37:BH37"/>
    <mergeCell ref="BG46:BH46"/>
    <mergeCell ref="BD45:BF45"/>
    <mergeCell ref="BG35:BH35"/>
    <mergeCell ref="BI47:BJ47"/>
    <mergeCell ref="BD3:BG3"/>
    <mergeCell ref="BG33:BH33"/>
    <mergeCell ref="BD34:BF34"/>
    <mergeCell ref="BD35:BF35"/>
    <mergeCell ref="BG40:BH40"/>
    <mergeCell ref="BG38:BH38"/>
    <mergeCell ref="BG39:BH39"/>
    <mergeCell ref="BD46:BF46"/>
    <mergeCell ref="BE39:BF39"/>
    <mergeCell ref="BD31:BF31"/>
    <mergeCell ref="BD38:BF38"/>
    <mergeCell ref="BE40:BF40"/>
    <mergeCell ref="BE42:BF42"/>
    <mergeCell ref="BE41:BF41"/>
    <mergeCell ref="BD8:BK29"/>
    <mergeCell ref="BK1:BK3"/>
    <mergeCell ref="BD7:BF7"/>
    <mergeCell ref="BD5:BG5"/>
    <mergeCell ref="BG45:BH45"/>
    <mergeCell ref="BI33:BJ33"/>
    <mergeCell ref="BD43:BF43"/>
    <mergeCell ref="BD44:BF44"/>
    <mergeCell ref="BD36:BF36"/>
    <mergeCell ref="BD37:BF37"/>
    <mergeCell ref="AI48:AJ48"/>
    <mergeCell ref="AC51:AF51"/>
    <mergeCell ref="AL5:AO5"/>
    <mergeCell ref="AL18:AO18"/>
    <mergeCell ref="AL7:AS16"/>
    <mergeCell ref="AL33:AS55"/>
    <mergeCell ref="AU15:BB38"/>
    <mergeCell ref="AL20:AS29"/>
    <mergeCell ref="AL31:AO31"/>
    <mergeCell ref="AU40:AW40"/>
    <mergeCell ref="AU41:BB55"/>
    <mergeCell ref="AC42:AD42"/>
    <mergeCell ref="AE42:AF42"/>
    <mergeCell ref="AG42:AH42"/>
    <mergeCell ref="AI42:AJ42"/>
    <mergeCell ref="AC43:AD43"/>
    <mergeCell ref="AE43:AF43"/>
    <mergeCell ref="AG43:AH43"/>
    <mergeCell ref="AL3:AO3"/>
    <mergeCell ref="AS1:AS3"/>
    <mergeCell ref="BB1:BB3"/>
    <mergeCell ref="AU5:AX5"/>
    <mergeCell ref="AU11:BB12"/>
    <mergeCell ref="AU3:AX3"/>
    <mergeCell ref="AU14:AW14"/>
    <mergeCell ref="AU8:BB8"/>
    <mergeCell ref="AU7:AW7"/>
    <mergeCell ref="AU10:AW10"/>
    <mergeCell ref="AI43:AJ43"/>
    <mergeCell ref="AC52:AJ55"/>
    <mergeCell ref="AC47:AD47"/>
    <mergeCell ref="AE47:AF47"/>
    <mergeCell ref="AG47:AH47"/>
    <mergeCell ref="AI47:AJ47"/>
    <mergeCell ref="AC49:AD49"/>
    <mergeCell ref="AE49:AF49"/>
    <mergeCell ref="AG49:AH49"/>
    <mergeCell ref="AI49:AJ49"/>
    <mergeCell ref="AC46:AD46"/>
    <mergeCell ref="AE46:AF46"/>
    <mergeCell ref="AG46:AH46"/>
    <mergeCell ref="AI46:AJ46"/>
    <mergeCell ref="AC48:AD48"/>
    <mergeCell ref="AE48:AF48"/>
    <mergeCell ref="AG48:AH48"/>
    <mergeCell ref="AE40:AF40"/>
    <mergeCell ref="AG40:AH40"/>
    <mergeCell ref="AI40:AJ40"/>
    <mergeCell ref="AC41:AD41"/>
    <mergeCell ref="AE41:AF41"/>
    <mergeCell ref="AG41:AH41"/>
    <mergeCell ref="AI41:AJ41"/>
    <mergeCell ref="AC37:AD37"/>
    <mergeCell ref="AE37:AF37"/>
    <mergeCell ref="AG37:AH37"/>
    <mergeCell ref="AI37:AJ37"/>
    <mergeCell ref="AC38:AD38"/>
    <mergeCell ref="AE38:AF38"/>
    <mergeCell ref="AG38:AH38"/>
    <mergeCell ref="AI38:AJ38"/>
    <mergeCell ref="AC35:AD35"/>
    <mergeCell ref="AE35:AF35"/>
    <mergeCell ref="AG35:AH35"/>
    <mergeCell ref="AI35:AJ35"/>
    <mergeCell ref="AC36:AD36"/>
    <mergeCell ref="AE36:AF36"/>
    <mergeCell ref="AG36:AH36"/>
    <mergeCell ref="AI36:AJ36"/>
    <mergeCell ref="AC33:AD33"/>
    <mergeCell ref="AE33:AF33"/>
    <mergeCell ref="AG33:AH33"/>
    <mergeCell ref="AI33:AJ33"/>
    <mergeCell ref="AC34:AD34"/>
    <mergeCell ref="AE34:AF34"/>
    <mergeCell ref="AG34:AH34"/>
    <mergeCell ref="AI34:AJ34"/>
    <mergeCell ref="AC31:AD31"/>
    <mergeCell ref="AE31:AF31"/>
    <mergeCell ref="AG31:AH31"/>
    <mergeCell ref="AI31:AJ31"/>
    <mergeCell ref="AC32:AD32"/>
    <mergeCell ref="AE32:AF32"/>
    <mergeCell ref="AG32:AH32"/>
    <mergeCell ref="AI32:AJ32"/>
    <mergeCell ref="AE29:AF29"/>
    <mergeCell ref="AG29:AH29"/>
    <mergeCell ref="AI29:AJ29"/>
    <mergeCell ref="AC30:AD30"/>
    <mergeCell ref="AE30:AF30"/>
    <mergeCell ref="AG30:AH30"/>
    <mergeCell ref="AI30:AJ30"/>
    <mergeCell ref="AC26:AD26"/>
    <mergeCell ref="AE26:AF26"/>
    <mergeCell ref="AG26:AH26"/>
    <mergeCell ref="AI26:AJ26"/>
    <mergeCell ref="AC27:AD27"/>
    <mergeCell ref="AE27:AF27"/>
    <mergeCell ref="AG27:AH27"/>
    <mergeCell ref="AI27:AJ27"/>
    <mergeCell ref="AC24:AD24"/>
    <mergeCell ref="AE24:AF24"/>
    <mergeCell ref="AG24:AH24"/>
    <mergeCell ref="AI24:AJ24"/>
    <mergeCell ref="AC25:AD25"/>
    <mergeCell ref="AE25:AF25"/>
    <mergeCell ref="AG25:AH25"/>
    <mergeCell ref="AI25:AJ25"/>
    <mergeCell ref="AC22:AD22"/>
    <mergeCell ref="AE22:AF22"/>
    <mergeCell ref="AG22:AH22"/>
    <mergeCell ref="AI22:AJ22"/>
    <mergeCell ref="AC23:AD23"/>
    <mergeCell ref="AE23:AF23"/>
    <mergeCell ref="AG23:AH23"/>
    <mergeCell ref="AI23:AJ23"/>
    <mergeCell ref="AC20:AD20"/>
    <mergeCell ref="AE20:AF20"/>
    <mergeCell ref="AG20:AH20"/>
    <mergeCell ref="AI20:AJ20"/>
    <mergeCell ref="AC21:AD21"/>
    <mergeCell ref="AE21:AF21"/>
    <mergeCell ref="AG21:AH21"/>
    <mergeCell ref="AI21:AJ21"/>
    <mergeCell ref="AE18:AF18"/>
    <mergeCell ref="AG18:AH18"/>
    <mergeCell ref="AI18:AJ18"/>
    <mergeCell ref="AC19:AD19"/>
    <mergeCell ref="AE19:AF19"/>
    <mergeCell ref="AG19:AH19"/>
    <mergeCell ref="AI19:AJ19"/>
    <mergeCell ref="AC15:AD15"/>
    <mergeCell ref="AE15:AF15"/>
    <mergeCell ref="AG15:AH15"/>
    <mergeCell ref="AI15:AJ15"/>
    <mergeCell ref="AC16:AD16"/>
    <mergeCell ref="AE16:AF16"/>
    <mergeCell ref="AG16:AH16"/>
    <mergeCell ref="AI16:AJ16"/>
    <mergeCell ref="AC13:AD13"/>
    <mergeCell ref="AE13:AF13"/>
    <mergeCell ref="AG13:AH13"/>
    <mergeCell ref="AI13:AJ13"/>
    <mergeCell ref="AC14:AD14"/>
    <mergeCell ref="AE14:AF14"/>
    <mergeCell ref="AG14:AH14"/>
    <mergeCell ref="AI14:AJ14"/>
    <mergeCell ref="AC11:AD11"/>
    <mergeCell ref="AE11:AF11"/>
    <mergeCell ref="AG11:AH11"/>
    <mergeCell ref="AI11:AJ11"/>
    <mergeCell ref="AC12:AD12"/>
    <mergeCell ref="AE12:AF12"/>
    <mergeCell ref="AG12:AH12"/>
    <mergeCell ref="AI12:AJ12"/>
    <mergeCell ref="AC9:AD9"/>
    <mergeCell ref="AE9:AF9"/>
    <mergeCell ref="AG9:AH9"/>
    <mergeCell ref="AI9:AJ9"/>
    <mergeCell ref="AC10:AD10"/>
    <mergeCell ref="AE10:AF10"/>
    <mergeCell ref="AG10:AH10"/>
    <mergeCell ref="AI10:AJ10"/>
    <mergeCell ref="AI7:AJ7"/>
    <mergeCell ref="AJ1:AJ3"/>
    <mergeCell ref="AC5:AF5"/>
    <mergeCell ref="AC8:AD8"/>
    <mergeCell ref="AE8:AF8"/>
    <mergeCell ref="AG8:AH8"/>
    <mergeCell ref="AI8:AJ8"/>
    <mergeCell ref="AC3:AF3"/>
    <mergeCell ref="I1:I3"/>
    <mergeCell ref="R1:R3"/>
    <mergeCell ref="K3:N3"/>
    <mergeCell ref="AE7:AF7"/>
    <mergeCell ref="T5:W5"/>
    <mergeCell ref="AG7:AH7"/>
    <mergeCell ref="K30:N30"/>
    <mergeCell ref="K32:R55"/>
    <mergeCell ref="K7:R28"/>
    <mergeCell ref="T7:AA55"/>
    <mergeCell ref="B3:E3"/>
    <mergeCell ref="T3:W3"/>
    <mergeCell ref="B7:I55"/>
    <mergeCell ref="B5:E5"/>
    <mergeCell ref="K5:N5"/>
    <mergeCell ref="AA1:AA3"/>
    <mergeCell ref="BO12:BQ12"/>
    <mergeCell ref="BR18:BT18"/>
    <mergeCell ref="BO17:BQ17"/>
    <mergeCell ref="BR17:BT17"/>
    <mergeCell ref="BQ24:BR24"/>
    <mergeCell ref="BM24:BN24"/>
    <mergeCell ref="BX9:BZ10"/>
    <mergeCell ref="BU12:BW12"/>
    <mergeCell ref="BX12:BZ12"/>
    <mergeCell ref="BR11:BT11"/>
    <mergeCell ref="BU11:BW11"/>
    <mergeCell ref="BX11:BZ11"/>
    <mergeCell ref="BR12:BT12"/>
    <mergeCell ref="BR14:BT14"/>
    <mergeCell ref="BO14:BQ14"/>
    <mergeCell ref="BM15:BN15"/>
    <mergeCell ref="BM16:BN16"/>
    <mergeCell ref="BO16:BQ16"/>
    <mergeCell ref="BR19:BT19"/>
    <mergeCell ref="BR20:BT20"/>
    <mergeCell ref="BM20:BN20"/>
    <mergeCell ref="BX20:BZ20"/>
    <mergeCell ref="BS24:BT24"/>
    <mergeCell ref="BU24:BV24"/>
    <mergeCell ref="BM25:BN25"/>
    <mergeCell ref="BX16:BZ16"/>
    <mergeCell ref="BM28:BN28"/>
    <mergeCell ref="BM29:BN29"/>
    <mergeCell ref="BM30:BN30"/>
    <mergeCell ref="BX18:BZ18"/>
    <mergeCell ref="BI40:BJ40"/>
    <mergeCell ref="BM7:BP7"/>
    <mergeCell ref="BO11:BQ11"/>
    <mergeCell ref="BO13:BQ13"/>
    <mergeCell ref="BO15:BQ15"/>
    <mergeCell ref="BM12:BN12"/>
    <mergeCell ref="BM13:BN13"/>
    <mergeCell ref="BM14:BN14"/>
    <mergeCell ref="BM11:BN11"/>
    <mergeCell ref="BI34:BJ34"/>
    <mergeCell ref="BM32:BR32"/>
    <mergeCell ref="BO36:BP36"/>
    <mergeCell ref="BQ36:BR36"/>
    <mergeCell ref="BI35:BJ35"/>
    <mergeCell ref="BI36:BJ36"/>
    <mergeCell ref="BI37:BJ37"/>
    <mergeCell ref="BI38:BJ38"/>
    <mergeCell ref="BI39:BJ39"/>
    <mergeCell ref="BG34:BH34"/>
    <mergeCell ref="BY1:BZ3"/>
    <mergeCell ref="BO9:BQ10"/>
    <mergeCell ref="BR13:BT13"/>
    <mergeCell ref="BU13:BW13"/>
    <mergeCell ref="BX13:BZ13"/>
    <mergeCell ref="BM1:BQ1"/>
    <mergeCell ref="BM5:BP5"/>
    <mergeCell ref="BQ5:BS5"/>
    <mergeCell ref="BR9:BT10"/>
    <mergeCell ref="BU9:BW10"/>
    <mergeCell ref="BX17:BZ17"/>
    <mergeCell ref="BR15:BT15"/>
    <mergeCell ref="BU15:BW15"/>
    <mergeCell ref="BX15:BZ15"/>
    <mergeCell ref="BU14:BW14"/>
    <mergeCell ref="BX14:BZ14"/>
    <mergeCell ref="BU16:BW16"/>
    <mergeCell ref="BO19:BQ19"/>
    <mergeCell ref="BM19:BN19"/>
    <mergeCell ref="BM17:BN17"/>
    <mergeCell ref="BM18:BN18"/>
    <mergeCell ref="BU18:BW18"/>
    <mergeCell ref="BM22:BQ22"/>
    <mergeCell ref="BW24:BX24"/>
    <mergeCell ref="BR22:BZ22"/>
    <mergeCell ref="BY24:BZ24"/>
    <mergeCell ref="BU17:BW17"/>
    <mergeCell ref="BU19:BW19"/>
    <mergeCell ref="BX19:BZ19"/>
    <mergeCell ref="BO18:BQ18"/>
    <mergeCell ref="BR16:BT16"/>
    <mergeCell ref="BS26:BT26"/>
    <mergeCell ref="BU26:BV26"/>
    <mergeCell ref="BS25:BT25"/>
    <mergeCell ref="BQ25:BR25"/>
    <mergeCell ref="BY25:BZ25"/>
    <mergeCell ref="BO26:BP26"/>
    <mergeCell ref="BQ26:BR26"/>
    <mergeCell ref="BO24:BP24"/>
    <mergeCell ref="BO20:BQ20"/>
    <mergeCell ref="BU20:BW20"/>
    <mergeCell ref="BM26:BN26"/>
    <mergeCell ref="BU29:BV29"/>
    <mergeCell ref="BW29:BX29"/>
    <mergeCell ref="BQ30:BR30"/>
    <mergeCell ref="BS30:BT30"/>
    <mergeCell ref="BO30:BP30"/>
    <mergeCell ref="BU28:BV28"/>
    <mergeCell ref="BY30:BZ30"/>
    <mergeCell ref="BW25:BX25"/>
    <mergeCell ref="BO25:BP25"/>
    <mergeCell ref="BS28:BT28"/>
    <mergeCell ref="BY29:BZ29"/>
    <mergeCell ref="BO28:BP28"/>
    <mergeCell ref="BO29:BP29"/>
    <mergeCell ref="BQ29:BR29"/>
    <mergeCell ref="BS29:BT29"/>
    <mergeCell ref="BY28:BZ28"/>
    <mergeCell ref="BW28:BX28"/>
    <mergeCell ref="BQ28:BR28"/>
    <mergeCell ref="BU30:BV30"/>
    <mergeCell ref="BW30:BX30"/>
    <mergeCell ref="BU25:BV25"/>
    <mergeCell ref="BW26:BX26"/>
    <mergeCell ref="BY26:BZ26"/>
    <mergeCell ref="BW34:BX34"/>
    <mergeCell ref="BY34:BZ34"/>
    <mergeCell ref="BU34:BV34"/>
    <mergeCell ref="BS34:BT34"/>
    <mergeCell ref="BW35:BX35"/>
    <mergeCell ref="BY35:BZ35"/>
    <mergeCell ref="BU35:BV35"/>
    <mergeCell ref="BM34:BN34"/>
    <mergeCell ref="BO34:BP34"/>
    <mergeCell ref="BQ35:BR35"/>
    <mergeCell ref="BS35:BT35"/>
    <mergeCell ref="BQ34:BR34"/>
    <mergeCell ref="BM35:BN35"/>
    <mergeCell ref="BS36:BT36"/>
    <mergeCell ref="BO35:BP35"/>
    <mergeCell ref="BW39:BX39"/>
    <mergeCell ref="BY39:BZ39"/>
    <mergeCell ref="BM38:BN38"/>
    <mergeCell ref="BO38:BP38"/>
    <mergeCell ref="BQ38:BR38"/>
    <mergeCell ref="BS38:BT38"/>
    <mergeCell ref="BU38:BV38"/>
    <mergeCell ref="BW38:BX38"/>
    <mergeCell ref="BY38:BZ38"/>
    <mergeCell ref="BS39:BT39"/>
    <mergeCell ref="BQ39:BR39"/>
    <mergeCell ref="BU36:BV36"/>
    <mergeCell ref="BU39:BV39"/>
    <mergeCell ref="BW36:BX36"/>
    <mergeCell ref="BY36:BZ36"/>
    <mergeCell ref="BM36:BN36"/>
    <mergeCell ref="BM39:BN39"/>
    <mergeCell ref="BO39:BP39"/>
    <mergeCell ref="BW40:BX40"/>
    <mergeCell ref="BY40:BZ40"/>
    <mergeCell ref="BM40:BN40"/>
    <mergeCell ref="BO40:BP40"/>
    <mergeCell ref="BQ40:BR40"/>
    <mergeCell ref="BS40:BT40"/>
    <mergeCell ref="BU40:BV40"/>
    <mergeCell ref="BO45:BR45"/>
    <mergeCell ref="BO46:BR46"/>
    <mergeCell ref="BM46:BN46"/>
    <mergeCell ref="BS45:BV45"/>
    <mergeCell ref="BW45:BZ45"/>
    <mergeCell ref="BS46:BV46"/>
    <mergeCell ref="BW46:BZ46"/>
    <mergeCell ref="BM43:BR43"/>
    <mergeCell ref="BO47:BR47"/>
    <mergeCell ref="BO48:BR48"/>
    <mergeCell ref="BO49:BR49"/>
    <mergeCell ref="BM47:BN47"/>
    <mergeCell ref="BM48:BN48"/>
    <mergeCell ref="BD57:BK57"/>
    <mergeCell ref="BM57:BT57"/>
    <mergeCell ref="BW49:BZ49"/>
    <mergeCell ref="BS47:BV47"/>
    <mergeCell ref="BW47:BZ47"/>
    <mergeCell ref="BS48:BV48"/>
    <mergeCell ref="BW48:BZ48"/>
    <mergeCell ref="BM49:BN49"/>
    <mergeCell ref="BS49:BV49"/>
    <mergeCell ref="BG47:BH47"/>
    <mergeCell ref="BD47:BF47"/>
    <mergeCell ref="B57:I57"/>
    <mergeCell ref="K57:R57"/>
    <mergeCell ref="T57:AA57"/>
    <mergeCell ref="AC57:AJ57"/>
    <mergeCell ref="AL57:AS57"/>
    <mergeCell ref="AU57:BB57"/>
    <mergeCell ref="BI41:BJ41"/>
    <mergeCell ref="BG44:BH44"/>
    <mergeCell ref="BG41:BH41"/>
    <mergeCell ref="BG42:BH42"/>
    <mergeCell ref="BG43:BH43"/>
    <mergeCell ref="BI42:BJ42"/>
    <mergeCell ref="BI46:BJ46"/>
    <mergeCell ref="BI43:BJ43"/>
    <mergeCell ref="BI44:BJ44"/>
    <mergeCell ref="BI45:BJ45"/>
    <mergeCell ref="AC44:AD44"/>
    <mergeCell ref="AE44:AF44"/>
    <mergeCell ref="AG44:AH44"/>
    <mergeCell ref="AI44:AJ44"/>
    <mergeCell ref="AC45:AD45"/>
    <mergeCell ref="AE45:AF45"/>
    <mergeCell ref="AG45:AH45"/>
    <mergeCell ref="AI45:AJ45"/>
  </mergeCells>
  <phoneticPr fontId="2" type="noConversion"/>
  <pageMargins left="0.59055118110236227" right="0.59055118110236227" top="0.39370078740157483" bottom="0.39370078740157483" header="0" footer="0"/>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indexed="45"/>
  </sheetPr>
  <dimension ref="B1:AA59"/>
  <sheetViews>
    <sheetView showGridLines="0" zoomScale="85" zoomScaleNormal="85" workbookViewId="0">
      <selection activeCell="K32" sqref="K32"/>
    </sheetView>
  </sheetViews>
  <sheetFormatPr defaultColWidth="11.42578125" defaultRowHeight="13.15"/>
  <cols>
    <col min="1" max="2" width="4.7109375" customWidth="1"/>
    <col min="10" max="11" width="4.7109375" customWidth="1"/>
    <col min="19" max="20" width="4.7109375" customWidth="1"/>
  </cols>
  <sheetData>
    <row r="1" spans="2:27" ht="18" customHeight="1">
      <c r="B1" s="87"/>
      <c r="C1" s="8"/>
      <c r="D1" s="8"/>
      <c r="I1" s="173"/>
      <c r="K1" s="87"/>
      <c r="L1" s="87"/>
      <c r="M1" s="87"/>
      <c r="R1" s="173"/>
      <c r="T1" s="87"/>
      <c r="U1" s="87"/>
      <c r="V1" s="87"/>
      <c r="AA1" s="173"/>
    </row>
    <row r="2" spans="2:27" ht="12.75" customHeight="1">
      <c r="I2" s="173"/>
      <c r="R2" s="173"/>
      <c r="AA2" s="173"/>
    </row>
    <row r="3" spans="2:27" ht="18.75" customHeight="1">
      <c r="B3" s="87"/>
      <c r="D3" s="8"/>
      <c r="E3" s="8"/>
      <c r="I3" s="173"/>
      <c r="K3" s="87"/>
      <c r="L3" s="87"/>
      <c r="N3" s="87"/>
      <c r="R3" s="173"/>
      <c r="T3" s="87"/>
      <c r="U3" s="87"/>
      <c r="V3" s="87"/>
      <c r="W3" s="87"/>
      <c r="AA3" s="173"/>
    </row>
    <row r="5" spans="2:27">
      <c r="B5" s="170"/>
      <c r="C5" s="170"/>
      <c r="D5" s="170"/>
      <c r="E5" s="170"/>
      <c r="F5" s="206">
        <v>40634</v>
      </c>
      <c r="G5" s="206"/>
      <c r="K5" s="170"/>
      <c r="L5" s="170"/>
      <c r="M5" s="170"/>
      <c r="N5" s="170"/>
      <c r="T5" s="170"/>
      <c r="U5" s="170"/>
      <c r="V5" s="170"/>
      <c r="W5" s="170"/>
    </row>
    <row r="7" spans="2:27" ht="12.75" customHeight="1">
      <c r="B7" s="170"/>
      <c r="C7" s="170"/>
      <c r="D7" s="170"/>
      <c r="E7" s="170"/>
      <c r="F7" s="170"/>
      <c r="G7" s="170"/>
      <c r="H7" s="170"/>
      <c r="I7" s="170"/>
      <c r="K7" s="195" t="s">
        <v>107</v>
      </c>
      <c r="L7" s="205"/>
      <c r="M7" s="205"/>
      <c r="N7" s="205"/>
      <c r="O7" s="205"/>
      <c r="P7" s="205"/>
      <c r="Q7" s="205"/>
      <c r="R7" s="205"/>
      <c r="T7" s="195" t="s">
        <v>108</v>
      </c>
      <c r="U7" s="205"/>
      <c r="V7" s="205"/>
      <c r="W7" s="205"/>
      <c r="X7" s="205"/>
      <c r="Y7" s="205"/>
      <c r="Z7" s="205"/>
      <c r="AA7" s="205"/>
    </row>
    <row r="8" spans="2:27">
      <c r="B8" s="95"/>
      <c r="C8" s="95"/>
      <c r="D8" s="95"/>
      <c r="E8" s="95"/>
      <c r="F8" s="95"/>
      <c r="G8" s="95"/>
      <c r="H8" s="95"/>
      <c r="I8" s="95"/>
      <c r="K8" s="205"/>
      <c r="L8" s="205"/>
      <c r="M8" s="205"/>
      <c r="N8" s="205"/>
      <c r="O8" s="205"/>
      <c r="P8" s="205"/>
      <c r="Q8" s="205"/>
      <c r="R8" s="205"/>
      <c r="T8" s="205"/>
      <c r="U8" s="205"/>
      <c r="V8" s="205"/>
      <c r="W8" s="205"/>
      <c r="X8" s="205"/>
      <c r="Y8" s="205"/>
      <c r="Z8" s="205"/>
      <c r="AA8" s="205"/>
    </row>
    <row r="9" spans="2:27">
      <c r="B9" s="195" t="s">
        <v>109</v>
      </c>
      <c r="C9" s="205"/>
      <c r="D9" s="205"/>
      <c r="E9" s="205"/>
      <c r="F9" s="205"/>
      <c r="G9" s="205"/>
      <c r="H9" s="205"/>
      <c r="I9" s="205"/>
      <c r="K9" s="205"/>
      <c r="L9" s="205"/>
      <c r="M9" s="205"/>
      <c r="N9" s="205"/>
      <c r="O9" s="205"/>
      <c r="P9" s="205"/>
      <c r="Q9" s="205"/>
      <c r="R9" s="205"/>
      <c r="T9" s="205"/>
      <c r="U9" s="205"/>
      <c r="V9" s="205"/>
      <c r="W9" s="205"/>
      <c r="X9" s="205"/>
      <c r="Y9" s="205"/>
      <c r="Z9" s="205"/>
      <c r="AA9" s="205"/>
    </row>
    <row r="10" spans="2:27">
      <c r="B10" s="205"/>
      <c r="C10" s="205"/>
      <c r="D10" s="205"/>
      <c r="E10" s="205"/>
      <c r="F10" s="205"/>
      <c r="G10" s="205"/>
      <c r="H10" s="205"/>
      <c r="I10" s="205"/>
      <c r="K10" s="205"/>
      <c r="L10" s="205"/>
      <c r="M10" s="205"/>
      <c r="N10" s="205"/>
      <c r="O10" s="205"/>
      <c r="P10" s="205"/>
      <c r="Q10" s="205"/>
      <c r="R10" s="205"/>
      <c r="T10" s="205"/>
      <c r="U10" s="205"/>
      <c r="V10" s="205"/>
      <c r="W10" s="205"/>
      <c r="X10" s="205"/>
      <c r="Y10" s="205"/>
      <c r="Z10" s="205"/>
      <c r="AA10" s="205"/>
    </row>
    <row r="11" spans="2:27">
      <c r="B11" s="205"/>
      <c r="C11" s="205"/>
      <c r="D11" s="205"/>
      <c r="E11" s="205"/>
      <c r="F11" s="205"/>
      <c r="G11" s="205"/>
      <c r="H11" s="205"/>
      <c r="I11" s="205"/>
      <c r="K11" s="205"/>
      <c r="L11" s="205"/>
      <c r="M11" s="205"/>
      <c r="N11" s="205"/>
      <c r="O11" s="205"/>
      <c r="P11" s="205"/>
      <c r="Q11" s="205"/>
      <c r="R11" s="205"/>
      <c r="T11" s="205"/>
      <c r="U11" s="205"/>
      <c r="V11" s="205"/>
      <c r="W11" s="205"/>
      <c r="X11" s="205"/>
      <c r="Y11" s="205"/>
      <c r="Z11" s="205"/>
      <c r="AA11" s="205"/>
    </row>
    <row r="12" spans="2:27">
      <c r="B12" s="205"/>
      <c r="C12" s="205"/>
      <c r="D12" s="205"/>
      <c r="E12" s="205"/>
      <c r="F12" s="205"/>
      <c r="G12" s="205"/>
      <c r="H12" s="205"/>
      <c r="I12" s="205"/>
      <c r="K12" s="205"/>
      <c r="L12" s="205"/>
      <c r="M12" s="205"/>
      <c r="N12" s="205"/>
      <c r="O12" s="205"/>
      <c r="P12" s="205"/>
      <c r="Q12" s="205"/>
      <c r="R12" s="205"/>
      <c r="T12" s="205"/>
      <c r="U12" s="205"/>
      <c r="V12" s="205"/>
      <c r="W12" s="205"/>
      <c r="X12" s="205"/>
      <c r="Y12" s="205"/>
      <c r="Z12" s="205"/>
      <c r="AA12" s="205"/>
    </row>
    <row r="13" spans="2:27">
      <c r="B13" s="205"/>
      <c r="C13" s="205"/>
      <c r="D13" s="205"/>
      <c r="E13" s="205"/>
      <c r="F13" s="205"/>
      <c r="G13" s="205"/>
      <c r="H13" s="205"/>
      <c r="I13" s="205"/>
      <c r="K13" s="205"/>
      <c r="L13" s="205"/>
      <c r="M13" s="205"/>
      <c r="N13" s="205"/>
      <c r="O13" s="205"/>
      <c r="P13" s="205"/>
      <c r="Q13" s="205"/>
      <c r="R13" s="205"/>
      <c r="T13" s="205"/>
      <c r="U13" s="205"/>
      <c r="V13" s="205"/>
      <c r="W13" s="205"/>
      <c r="X13" s="205"/>
      <c r="Y13" s="205"/>
      <c r="Z13" s="205"/>
      <c r="AA13" s="205"/>
    </row>
    <row r="14" spans="2:27">
      <c r="B14" s="205"/>
      <c r="C14" s="205"/>
      <c r="D14" s="205"/>
      <c r="E14" s="205"/>
      <c r="F14" s="205"/>
      <c r="G14" s="205"/>
      <c r="H14" s="205"/>
      <c r="I14" s="205"/>
      <c r="K14" s="205"/>
      <c r="L14" s="205"/>
      <c r="M14" s="205"/>
      <c r="N14" s="205"/>
      <c r="O14" s="205"/>
      <c r="P14" s="205"/>
      <c r="Q14" s="205"/>
      <c r="R14" s="205"/>
      <c r="T14" s="205"/>
      <c r="U14" s="205"/>
      <c r="V14" s="205"/>
      <c r="W14" s="205"/>
      <c r="X14" s="205"/>
      <c r="Y14" s="205"/>
      <c r="Z14" s="205"/>
      <c r="AA14" s="205"/>
    </row>
    <row r="15" spans="2:27">
      <c r="B15" s="205"/>
      <c r="C15" s="205"/>
      <c r="D15" s="205"/>
      <c r="E15" s="205"/>
      <c r="F15" s="205"/>
      <c r="G15" s="205"/>
      <c r="H15" s="205"/>
      <c r="I15" s="205"/>
      <c r="K15" s="205"/>
      <c r="L15" s="205"/>
      <c r="M15" s="205"/>
      <c r="N15" s="205"/>
      <c r="O15" s="205"/>
      <c r="P15" s="205"/>
      <c r="Q15" s="205"/>
      <c r="R15" s="205"/>
      <c r="T15" s="205"/>
      <c r="U15" s="205"/>
      <c r="V15" s="205"/>
      <c r="W15" s="205"/>
      <c r="X15" s="205"/>
      <c r="Y15" s="205"/>
      <c r="Z15" s="205"/>
      <c r="AA15" s="205"/>
    </row>
    <row r="16" spans="2:27">
      <c r="B16" s="205"/>
      <c r="C16" s="205"/>
      <c r="D16" s="205"/>
      <c r="E16" s="205"/>
      <c r="F16" s="205"/>
      <c r="G16" s="205"/>
      <c r="H16" s="205"/>
      <c r="I16" s="205"/>
      <c r="K16" s="205"/>
      <c r="L16" s="205"/>
      <c r="M16" s="205"/>
      <c r="N16" s="205"/>
      <c r="O16" s="205"/>
      <c r="P16" s="205"/>
      <c r="Q16" s="205"/>
      <c r="R16" s="205"/>
      <c r="T16" s="205"/>
      <c r="U16" s="205"/>
      <c r="V16" s="205"/>
      <c r="W16" s="205"/>
      <c r="X16" s="205"/>
      <c r="Y16" s="205"/>
      <c r="Z16" s="205"/>
      <c r="AA16" s="205"/>
    </row>
    <row r="17" spans="2:27">
      <c r="B17" s="205"/>
      <c r="C17" s="205"/>
      <c r="D17" s="205"/>
      <c r="E17" s="205"/>
      <c r="F17" s="205"/>
      <c r="G17" s="205"/>
      <c r="H17" s="205"/>
      <c r="I17" s="205"/>
      <c r="K17" s="205"/>
      <c r="L17" s="205"/>
      <c r="M17" s="205"/>
      <c r="N17" s="205"/>
      <c r="O17" s="205"/>
      <c r="P17" s="205"/>
      <c r="Q17" s="205"/>
      <c r="R17" s="205"/>
      <c r="T17" s="205"/>
      <c r="U17" s="205"/>
      <c r="V17" s="205"/>
      <c r="W17" s="205"/>
      <c r="X17" s="205"/>
      <c r="Y17" s="205"/>
      <c r="Z17" s="205"/>
      <c r="AA17" s="205"/>
    </row>
    <row r="18" spans="2:27">
      <c r="B18" s="205"/>
      <c r="C18" s="205"/>
      <c r="D18" s="205"/>
      <c r="E18" s="205"/>
      <c r="F18" s="205"/>
      <c r="G18" s="205"/>
      <c r="H18" s="205"/>
      <c r="I18" s="205"/>
      <c r="K18" s="205"/>
      <c r="L18" s="205"/>
      <c r="M18" s="205"/>
      <c r="N18" s="205"/>
      <c r="O18" s="205"/>
      <c r="P18" s="205"/>
      <c r="Q18" s="205"/>
      <c r="R18" s="205"/>
      <c r="T18" s="205"/>
      <c r="U18" s="205"/>
      <c r="V18" s="205"/>
      <c r="W18" s="205"/>
      <c r="X18" s="205"/>
      <c r="Y18" s="205"/>
      <c r="Z18" s="205"/>
      <c r="AA18" s="205"/>
    </row>
    <row r="19" spans="2:27">
      <c r="B19" s="205"/>
      <c r="C19" s="205"/>
      <c r="D19" s="205"/>
      <c r="E19" s="205"/>
      <c r="F19" s="205"/>
      <c r="G19" s="205"/>
      <c r="H19" s="205"/>
      <c r="I19" s="205"/>
      <c r="K19" s="205"/>
      <c r="L19" s="205"/>
      <c r="M19" s="205"/>
      <c r="N19" s="205"/>
      <c r="O19" s="205"/>
      <c r="P19" s="205"/>
      <c r="Q19" s="205"/>
      <c r="R19" s="205"/>
      <c r="T19" s="205"/>
      <c r="U19" s="205"/>
      <c r="V19" s="205"/>
      <c r="W19" s="205"/>
      <c r="X19" s="205"/>
      <c r="Y19" s="205"/>
      <c r="Z19" s="205"/>
      <c r="AA19" s="205"/>
    </row>
    <row r="20" spans="2:27">
      <c r="B20" s="205"/>
      <c r="C20" s="205"/>
      <c r="D20" s="205"/>
      <c r="E20" s="205"/>
      <c r="F20" s="205"/>
      <c r="G20" s="205"/>
      <c r="H20" s="205"/>
      <c r="I20" s="205"/>
      <c r="K20" s="205"/>
      <c r="L20" s="205"/>
      <c r="M20" s="205"/>
      <c r="N20" s="205"/>
      <c r="O20" s="205"/>
      <c r="P20" s="205"/>
      <c r="Q20" s="205"/>
      <c r="R20" s="205"/>
      <c r="T20" s="205"/>
      <c r="U20" s="205"/>
      <c r="V20" s="205"/>
      <c r="W20" s="205"/>
      <c r="X20" s="205"/>
      <c r="Y20" s="205"/>
      <c r="Z20" s="205"/>
      <c r="AA20" s="205"/>
    </row>
    <row r="21" spans="2:27">
      <c r="B21" s="205"/>
      <c r="C21" s="205"/>
      <c r="D21" s="205"/>
      <c r="E21" s="205"/>
      <c r="F21" s="205"/>
      <c r="G21" s="205"/>
      <c r="H21" s="205"/>
      <c r="I21" s="205"/>
      <c r="K21" s="205"/>
      <c r="L21" s="205"/>
      <c r="M21" s="205"/>
      <c r="N21" s="205"/>
      <c r="O21" s="205"/>
      <c r="P21" s="205"/>
      <c r="Q21" s="205"/>
      <c r="R21" s="205"/>
      <c r="T21" s="205"/>
      <c r="U21" s="205"/>
      <c r="V21" s="205"/>
      <c r="W21" s="205"/>
      <c r="X21" s="205"/>
      <c r="Y21" s="205"/>
      <c r="Z21" s="205"/>
      <c r="AA21" s="205"/>
    </row>
    <row r="22" spans="2:27">
      <c r="B22" s="205"/>
      <c r="C22" s="205"/>
      <c r="D22" s="205"/>
      <c r="E22" s="205"/>
      <c r="F22" s="205"/>
      <c r="G22" s="205"/>
      <c r="H22" s="205"/>
      <c r="I22" s="205"/>
      <c r="K22" s="205"/>
      <c r="L22" s="205"/>
      <c r="M22" s="205"/>
      <c r="N22" s="205"/>
      <c r="O22" s="205"/>
      <c r="P22" s="205"/>
      <c r="Q22" s="205"/>
      <c r="R22" s="205"/>
      <c r="T22" s="205"/>
      <c r="U22" s="205"/>
      <c r="V22" s="205"/>
      <c r="W22" s="205"/>
      <c r="X22" s="205"/>
      <c r="Y22" s="205"/>
      <c r="Z22" s="205"/>
      <c r="AA22" s="205"/>
    </row>
    <row r="23" spans="2:27">
      <c r="B23" s="205"/>
      <c r="C23" s="205"/>
      <c r="D23" s="205"/>
      <c r="E23" s="205"/>
      <c r="F23" s="205"/>
      <c r="G23" s="205"/>
      <c r="H23" s="205"/>
      <c r="I23" s="205"/>
      <c r="K23" s="205"/>
      <c r="L23" s="205"/>
      <c r="M23" s="205"/>
      <c r="N23" s="205"/>
      <c r="O23" s="205"/>
      <c r="P23" s="205"/>
      <c r="Q23" s="205"/>
      <c r="R23" s="205"/>
      <c r="T23" s="205"/>
      <c r="U23" s="205"/>
      <c r="V23" s="205"/>
      <c r="W23" s="205"/>
      <c r="X23" s="205"/>
      <c r="Y23" s="205"/>
      <c r="Z23" s="205"/>
      <c r="AA23" s="205"/>
    </row>
    <row r="24" spans="2:27">
      <c r="B24" s="205"/>
      <c r="C24" s="205"/>
      <c r="D24" s="205"/>
      <c r="E24" s="205"/>
      <c r="F24" s="205"/>
      <c r="G24" s="205"/>
      <c r="H24" s="205"/>
      <c r="I24" s="205"/>
      <c r="K24" s="205"/>
      <c r="L24" s="205"/>
      <c r="M24" s="205"/>
      <c r="N24" s="205"/>
      <c r="O24" s="205"/>
      <c r="P24" s="205"/>
      <c r="Q24" s="205"/>
      <c r="R24" s="205"/>
      <c r="T24" s="205"/>
      <c r="U24" s="205"/>
      <c r="V24" s="205"/>
      <c r="W24" s="205"/>
      <c r="X24" s="205"/>
      <c r="Y24" s="205"/>
      <c r="Z24" s="205"/>
      <c r="AA24" s="205"/>
    </row>
    <row r="25" spans="2:27">
      <c r="B25" s="205"/>
      <c r="C25" s="205"/>
      <c r="D25" s="205"/>
      <c r="E25" s="205"/>
      <c r="F25" s="205"/>
      <c r="G25" s="205"/>
      <c r="H25" s="205"/>
      <c r="I25" s="205"/>
      <c r="K25" s="205"/>
      <c r="L25" s="205"/>
      <c r="M25" s="205"/>
      <c r="N25" s="205"/>
      <c r="O25" s="205"/>
      <c r="P25" s="205"/>
      <c r="Q25" s="205"/>
      <c r="R25" s="205"/>
      <c r="T25" s="205"/>
      <c r="U25" s="205"/>
      <c r="V25" s="205"/>
      <c r="W25" s="205"/>
      <c r="X25" s="205"/>
      <c r="Y25" s="205"/>
      <c r="Z25" s="205"/>
      <c r="AA25" s="205"/>
    </row>
    <row r="26" spans="2:27">
      <c r="B26" s="205"/>
      <c r="C26" s="205"/>
      <c r="D26" s="205"/>
      <c r="E26" s="205"/>
      <c r="F26" s="205"/>
      <c r="G26" s="205"/>
      <c r="H26" s="205"/>
      <c r="I26" s="205"/>
      <c r="K26" s="205"/>
      <c r="L26" s="205"/>
      <c r="M26" s="205"/>
      <c r="N26" s="205"/>
      <c r="O26" s="205"/>
      <c r="P26" s="205"/>
      <c r="Q26" s="205"/>
      <c r="R26" s="205"/>
      <c r="T26" s="205"/>
      <c r="U26" s="205"/>
      <c r="V26" s="205"/>
      <c r="W26" s="205"/>
      <c r="X26" s="205"/>
      <c r="Y26" s="205"/>
      <c r="Z26" s="205"/>
      <c r="AA26" s="205"/>
    </row>
    <row r="27" spans="2:27">
      <c r="B27" s="205"/>
      <c r="C27" s="205"/>
      <c r="D27" s="205"/>
      <c r="E27" s="205"/>
      <c r="F27" s="205"/>
      <c r="G27" s="205"/>
      <c r="H27" s="205"/>
      <c r="I27" s="205"/>
      <c r="K27" s="205"/>
      <c r="L27" s="205"/>
      <c r="M27" s="205"/>
      <c r="N27" s="205"/>
      <c r="O27" s="205"/>
      <c r="P27" s="205"/>
      <c r="Q27" s="205"/>
      <c r="R27" s="205"/>
      <c r="T27" s="205"/>
      <c r="U27" s="205"/>
      <c r="V27" s="205"/>
      <c r="W27" s="205"/>
      <c r="X27" s="205"/>
      <c r="Y27" s="205"/>
      <c r="Z27" s="205"/>
      <c r="AA27" s="205"/>
    </row>
    <row r="28" spans="2:27">
      <c r="B28" s="205"/>
      <c r="C28" s="205"/>
      <c r="D28" s="205"/>
      <c r="E28" s="205"/>
      <c r="F28" s="205"/>
      <c r="G28" s="205"/>
      <c r="H28" s="205"/>
      <c r="I28" s="205"/>
      <c r="K28" s="205"/>
      <c r="L28" s="205"/>
      <c r="M28" s="205"/>
      <c r="N28" s="205"/>
      <c r="O28" s="205"/>
      <c r="P28" s="205"/>
      <c r="Q28" s="205"/>
      <c r="R28" s="205"/>
      <c r="T28" s="205"/>
      <c r="U28" s="205"/>
      <c r="V28" s="205"/>
      <c r="W28" s="205"/>
      <c r="X28" s="205"/>
      <c r="Y28" s="205"/>
      <c r="Z28" s="205"/>
      <c r="AA28" s="205"/>
    </row>
    <row r="29" spans="2:27">
      <c r="B29" s="205"/>
      <c r="C29" s="205"/>
      <c r="D29" s="205"/>
      <c r="E29" s="205"/>
      <c r="F29" s="205"/>
      <c r="G29" s="205"/>
      <c r="H29" s="205"/>
      <c r="I29" s="205"/>
    </row>
    <row r="30" spans="2:27">
      <c r="B30" s="205"/>
      <c r="C30" s="205"/>
      <c r="D30" s="205"/>
      <c r="E30" s="205"/>
      <c r="F30" s="205"/>
      <c r="G30" s="205"/>
      <c r="H30" s="205"/>
      <c r="I30" s="205"/>
      <c r="K30" s="170"/>
      <c r="L30" s="170"/>
      <c r="M30" s="170"/>
      <c r="N30" s="170"/>
      <c r="T30" s="170"/>
      <c r="U30" s="170"/>
      <c r="V30" s="170"/>
      <c r="W30" s="170"/>
    </row>
    <row r="31" spans="2:27" ht="12.75" customHeight="1">
      <c r="B31" s="205"/>
      <c r="C31" s="205"/>
      <c r="D31" s="205"/>
      <c r="E31" s="205"/>
      <c r="F31" s="205"/>
      <c r="G31" s="205"/>
      <c r="H31" s="205"/>
      <c r="I31" s="205"/>
      <c r="K31" s="52"/>
      <c r="N31" s="53"/>
      <c r="O31" s="53"/>
      <c r="P31" s="53"/>
      <c r="Q31" s="53"/>
      <c r="R31" s="53"/>
      <c r="T31" s="52"/>
      <c r="W31" s="53"/>
      <c r="X31" s="53"/>
      <c r="Y31" s="53"/>
      <c r="Z31" s="53"/>
      <c r="AA31" s="53"/>
    </row>
    <row r="32" spans="2:27" ht="12.75" customHeight="1">
      <c r="B32" s="205"/>
      <c r="C32" s="205"/>
      <c r="D32" s="205"/>
      <c r="E32" s="205"/>
      <c r="F32" s="205"/>
      <c r="G32" s="205"/>
      <c r="H32" s="205"/>
      <c r="I32" s="205"/>
      <c r="K32" s="195" t="s">
        <v>110</v>
      </c>
      <c r="L32" s="195"/>
      <c r="M32" s="195"/>
      <c r="N32" s="195"/>
      <c r="O32" s="195"/>
      <c r="P32" s="195"/>
      <c r="Q32" s="195"/>
      <c r="R32" s="195"/>
      <c r="T32" s="195" t="s">
        <v>111</v>
      </c>
      <c r="U32" s="195"/>
      <c r="V32" s="195"/>
      <c r="W32" s="195"/>
      <c r="X32" s="195"/>
      <c r="Y32" s="195"/>
      <c r="Z32" s="195"/>
      <c r="AA32" s="195"/>
    </row>
    <row r="33" spans="2:27">
      <c r="B33" s="205"/>
      <c r="C33" s="205"/>
      <c r="D33" s="205"/>
      <c r="E33" s="205"/>
      <c r="F33" s="205"/>
      <c r="G33" s="205"/>
      <c r="H33" s="205"/>
      <c r="I33" s="205"/>
      <c r="K33" s="195"/>
      <c r="L33" s="195"/>
      <c r="M33" s="195"/>
      <c r="N33" s="195"/>
      <c r="O33" s="195"/>
      <c r="P33" s="195"/>
      <c r="Q33" s="195"/>
      <c r="R33" s="195"/>
      <c r="T33" s="195"/>
      <c r="U33" s="195"/>
      <c r="V33" s="195"/>
      <c r="W33" s="195"/>
      <c r="X33" s="195"/>
      <c r="Y33" s="195"/>
      <c r="Z33" s="195"/>
      <c r="AA33" s="195"/>
    </row>
    <row r="34" spans="2:27">
      <c r="B34" s="205"/>
      <c r="C34" s="205"/>
      <c r="D34" s="205"/>
      <c r="E34" s="205"/>
      <c r="F34" s="205"/>
      <c r="G34" s="205"/>
      <c r="H34" s="205"/>
      <c r="I34" s="205"/>
      <c r="K34" s="195"/>
      <c r="L34" s="195"/>
      <c r="M34" s="195"/>
      <c r="N34" s="195"/>
      <c r="O34" s="195"/>
      <c r="P34" s="195"/>
      <c r="Q34" s="195"/>
      <c r="R34" s="195"/>
      <c r="T34" s="195"/>
      <c r="U34" s="195"/>
      <c r="V34" s="195"/>
      <c r="W34" s="195"/>
      <c r="X34" s="195"/>
      <c r="Y34" s="195"/>
      <c r="Z34" s="195"/>
      <c r="AA34" s="195"/>
    </row>
    <row r="35" spans="2:27">
      <c r="B35" s="205"/>
      <c r="C35" s="205"/>
      <c r="D35" s="205"/>
      <c r="E35" s="205"/>
      <c r="F35" s="205"/>
      <c r="G35" s="205"/>
      <c r="H35" s="205"/>
      <c r="I35" s="205"/>
      <c r="K35" s="195"/>
      <c r="L35" s="195"/>
      <c r="M35" s="195"/>
      <c r="N35" s="195"/>
      <c r="O35" s="195"/>
      <c r="P35" s="195"/>
      <c r="Q35" s="195"/>
      <c r="R35" s="195"/>
      <c r="T35" s="195"/>
      <c r="U35" s="195"/>
      <c r="V35" s="195"/>
      <c r="W35" s="195"/>
      <c r="X35" s="195"/>
      <c r="Y35" s="195"/>
      <c r="Z35" s="195"/>
      <c r="AA35" s="195"/>
    </row>
    <row r="36" spans="2:27">
      <c r="B36" s="205"/>
      <c r="C36" s="205"/>
      <c r="D36" s="205"/>
      <c r="E36" s="205"/>
      <c r="F36" s="205"/>
      <c r="G36" s="205"/>
      <c r="H36" s="205"/>
      <c r="I36" s="205"/>
      <c r="K36" s="195"/>
      <c r="L36" s="195"/>
      <c r="M36" s="195"/>
      <c r="N36" s="195"/>
      <c r="O36" s="195"/>
      <c r="P36" s="195"/>
      <c r="Q36" s="195"/>
      <c r="R36" s="195"/>
      <c r="T36" s="195"/>
      <c r="U36" s="195"/>
      <c r="V36" s="195"/>
      <c r="W36" s="195"/>
      <c r="X36" s="195"/>
      <c r="Y36" s="195"/>
      <c r="Z36" s="195"/>
      <c r="AA36" s="195"/>
    </row>
    <row r="37" spans="2:27">
      <c r="B37" s="205"/>
      <c r="C37" s="205"/>
      <c r="D37" s="205"/>
      <c r="E37" s="205"/>
      <c r="F37" s="205"/>
      <c r="G37" s="205"/>
      <c r="H37" s="205"/>
      <c r="I37" s="205"/>
      <c r="K37" s="195"/>
      <c r="L37" s="195"/>
      <c r="M37" s="195"/>
      <c r="N37" s="195"/>
      <c r="O37" s="195"/>
      <c r="P37" s="195"/>
      <c r="Q37" s="195"/>
      <c r="R37" s="195"/>
      <c r="T37" s="195"/>
      <c r="U37" s="195"/>
      <c r="V37" s="195"/>
      <c r="W37" s="195"/>
      <c r="X37" s="195"/>
      <c r="Y37" s="195"/>
      <c r="Z37" s="195"/>
      <c r="AA37" s="195"/>
    </row>
    <row r="38" spans="2:27">
      <c r="B38" s="205"/>
      <c r="C38" s="205"/>
      <c r="D38" s="205"/>
      <c r="E38" s="205"/>
      <c r="F38" s="205"/>
      <c r="G38" s="205"/>
      <c r="H38" s="205"/>
      <c r="I38" s="205"/>
      <c r="K38" s="195"/>
      <c r="L38" s="195"/>
      <c r="M38" s="195"/>
      <c r="N38" s="195"/>
      <c r="O38" s="195"/>
      <c r="P38" s="195"/>
      <c r="Q38" s="195"/>
      <c r="R38" s="195"/>
      <c r="T38" s="195"/>
      <c r="U38" s="195"/>
      <c r="V38" s="195"/>
      <c r="W38" s="195"/>
      <c r="X38" s="195"/>
      <c r="Y38" s="195"/>
      <c r="Z38" s="195"/>
      <c r="AA38" s="195"/>
    </row>
    <row r="39" spans="2:27">
      <c r="B39" s="205"/>
      <c r="C39" s="205"/>
      <c r="D39" s="205"/>
      <c r="E39" s="205"/>
      <c r="F39" s="205"/>
      <c r="G39" s="205"/>
      <c r="H39" s="205"/>
      <c r="I39" s="205"/>
      <c r="K39" s="195"/>
      <c r="L39" s="195"/>
      <c r="M39" s="195"/>
      <c r="N39" s="195"/>
      <c r="O39" s="195"/>
      <c r="P39" s="195"/>
      <c r="Q39" s="195"/>
      <c r="R39" s="195"/>
      <c r="T39" s="195"/>
      <c r="U39" s="195"/>
      <c r="V39" s="195"/>
      <c r="W39" s="195"/>
      <c r="X39" s="195"/>
      <c r="Y39" s="195"/>
      <c r="Z39" s="195"/>
      <c r="AA39" s="195"/>
    </row>
    <row r="40" spans="2:27">
      <c r="B40" s="205"/>
      <c r="C40" s="205"/>
      <c r="D40" s="205"/>
      <c r="E40" s="205"/>
      <c r="F40" s="205"/>
      <c r="G40" s="205"/>
      <c r="H40" s="205"/>
      <c r="I40" s="205"/>
      <c r="K40" s="195"/>
      <c r="L40" s="195"/>
      <c r="M40" s="195"/>
      <c r="N40" s="195"/>
      <c r="O40" s="195"/>
      <c r="P40" s="195"/>
      <c r="Q40" s="195"/>
      <c r="R40" s="195"/>
      <c r="T40" s="195"/>
      <c r="U40" s="195"/>
      <c r="V40" s="195"/>
      <c r="W40" s="195"/>
      <c r="X40" s="195"/>
      <c r="Y40" s="195"/>
      <c r="Z40" s="195"/>
      <c r="AA40" s="195"/>
    </row>
    <row r="41" spans="2:27">
      <c r="B41" s="205"/>
      <c r="C41" s="205"/>
      <c r="D41" s="205"/>
      <c r="E41" s="205"/>
      <c r="F41" s="205"/>
      <c r="G41" s="205"/>
      <c r="H41" s="205"/>
      <c r="I41" s="205"/>
      <c r="K41" s="195"/>
      <c r="L41" s="195"/>
      <c r="M41" s="195"/>
      <c r="N41" s="195"/>
      <c r="O41" s="195"/>
      <c r="P41" s="195"/>
      <c r="Q41" s="195"/>
      <c r="R41" s="195"/>
      <c r="T41" s="195"/>
      <c r="U41" s="195"/>
      <c r="V41" s="195"/>
      <c r="W41" s="195"/>
      <c r="X41" s="195"/>
      <c r="Y41" s="195"/>
      <c r="Z41" s="195"/>
      <c r="AA41" s="195"/>
    </row>
    <row r="42" spans="2:27">
      <c r="B42" s="205"/>
      <c r="C42" s="205"/>
      <c r="D42" s="205"/>
      <c r="E42" s="205"/>
      <c r="F42" s="205"/>
      <c r="G42" s="205"/>
      <c r="H42" s="205"/>
      <c r="I42" s="205"/>
      <c r="K42" s="195"/>
      <c r="L42" s="195"/>
      <c r="M42" s="195"/>
      <c r="N42" s="195"/>
      <c r="O42" s="195"/>
      <c r="P42" s="195"/>
      <c r="Q42" s="195"/>
      <c r="R42" s="195"/>
      <c r="T42" s="195"/>
      <c r="U42" s="195"/>
      <c r="V42" s="195"/>
      <c r="W42" s="195"/>
      <c r="X42" s="195"/>
      <c r="Y42" s="195"/>
      <c r="Z42" s="195"/>
      <c r="AA42" s="195"/>
    </row>
    <row r="43" spans="2:27">
      <c r="B43" s="205"/>
      <c r="C43" s="205"/>
      <c r="D43" s="205"/>
      <c r="E43" s="205"/>
      <c r="F43" s="205"/>
      <c r="G43" s="205"/>
      <c r="H43" s="205"/>
      <c r="I43" s="205"/>
      <c r="K43" s="195"/>
      <c r="L43" s="195"/>
      <c r="M43" s="195"/>
      <c r="N43" s="195"/>
      <c r="O43" s="195"/>
      <c r="P43" s="195"/>
      <c r="Q43" s="195"/>
      <c r="R43" s="195"/>
      <c r="T43" s="195"/>
      <c r="U43" s="195"/>
      <c r="V43" s="195"/>
      <c r="W43" s="195"/>
      <c r="X43" s="195"/>
      <c r="Y43" s="195"/>
      <c r="Z43" s="195"/>
      <c r="AA43" s="195"/>
    </row>
    <row r="44" spans="2:27">
      <c r="B44" s="205"/>
      <c r="C44" s="205"/>
      <c r="D44" s="205"/>
      <c r="E44" s="205"/>
      <c r="F44" s="205"/>
      <c r="G44" s="205"/>
      <c r="H44" s="205"/>
      <c r="I44" s="205"/>
      <c r="K44" s="195"/>
      <c r="L44" s="195"/>
      <c r="M44" s="195"/>
      <c r="N44" s="195"/>
      <c r="O44" s="195"/>
      <c r="P44" s="195"/>
      <c r="Q44" s="195"/>
      <c r="R44" s="195"/>
      <c r="T44" s="195"/>
      <c r="U44" s="195"/>
      <c r="V44" s="195"/>
      <c r="W44" s="195"/>
      <c r="X44" s="195"/>
      <c r="Y44" s="195"/>
      <c r="Z44" s="195"/>
      <c r="AA44" s="195"/>
    </row>
    <row r="45" spans="2:27">
      <c r="B45" s="205"/>
      <c r="C45" s="205"/>
      <c r="D45" s="205"/>
      <c r="E45" s="205"/>
      <c r="F45" s="205"/>
      <c r="G45" s="205"/>
      <c r="H45" s="205"/>
      <c r="I45" s="205"/>
      <c r="K45" s="195"/>
      <c r="L45" s="195"/>
      <c r="M45" s="195"/>
      <c r="N45" s="195"/>
      <c r="O45" s="195"/>
      <c r="P45" s="195"/>
      <c r="Q45" s="195"/>
      <c r="R45" s="195"/>
      <c r="T45" s="195"/>
      <c r="U45" s="195"/>
      <c r="V45" s="195"/>
      <c r="W45" s="195"/>
      <c r="X45" s="195"/>
      <c r="Y45" s="195"/>
      <c r="Z45" s="195"/>
      <c r="AA45" s="195"/>
    </row>
    <row r="46" spans="2:27">
      <c r="B46" s="205"/>
      <c r="C46" s="205"/>
      <c r="D46" s="205"/>
      <c r="E46" s="205"/>
      <c r="F46" s="205"/>
      <c r="G46" s="205"/>
      <c r="H46" s="205"/>
      <c r="I46" s="205"/>
      <c r="K46" s="195"/>
      <c r="L46" s="195"/>
      <c r="M46" s="195"/>
      <c r="N46" s="195"/>
      <c r="O46" s="195"/>
      <c r="P46" s="195"/>
      <c r="Q46" s="195"/>
      <c r="R46" s="195"/>
      <c r="T46" s="195"/>
      <c r="U46" s="195"/>
      <c r="V46" s="195"/>
      <c r="W46" s="195"/>
      <c r="X46" s="195"/>
      <c r="Y46" s="195"/>
      <c r="Z46" s="195"/>
      <c r="AA46" s="195"/>
    </row>
    <row r="47" spans="2:27">
      <c r="B47" s="205"/>
      <c r="C47" s="205"/>
      <c r="D47" s="205"/>
      <c r="E47" s="205"/>
      <c r="F47" s="205"/>
      <c r="G47" s="205"/>
      <c r="H47" s="205"/>
      <c r="I47" s="205"/>
      <c r="K47" s="195"/>
      <c r="L47" s="195"/>
      <c r="M47" s="195"/>
      <c r="N47" s="195"/>
      <c r="O47" s="195"/>
      <c r="P47" s="195"/>
      <c r="Q47" s="195"/>
      <c r="R47" s="195"/>
      <c r="T47" s="195"/>
      <c r="U47" s="195"/>
      <c r="V47" s="195"/>
      <c r="W47" s="195"/>
      <c r="X47" s="195"/>
      <c r="Y47" s="195"/>
      <c r="Z47" s="195"/>
      <c r="AA47" s="195"/>
    </row>
    <row r="48" spans="2:27">
      <c r="B48" s="205"/>
      <c r="C48" s="205"/>
      <c r="D48" s="205"/>
      <c r="E48" s="205"/>
      <c r="F48" s="205"/>
      <c r="G48" s="205"/>
      <c r="H48" s="205"/>
      <c r="I48" s="205"/>
      <c r="K48" s="195"/>
      <c r="L48" s="195"/>
      <c r="M48" s="195"/>
      <c r="N48" s="195"/>
      <c r="O48" s="195"/>
      <c r="P48" s="195"/>
      <c r="Q48" s="195"/>
      <c r="R48" s="195"/>
      <c r="T48" s="195"/>
      <c r="U48" s="195"/>
      <c r="V48" s="195"/>
      <c r="W48" s="195"/>
      <c r="X48" s="195"/>
      <c r="Y48" s="195"/>
      <c r="Z48" s="195"/>
      <c r="AA48" s="195"/>
    </row>
    <row r="49" spans="2:27">
      <c r="B49" s="205"/>
      <c r="C49" s="205"/>
      <c r="D49" s="205"/>
      <c r="E49" s="205"/>
      <c r="F49" s="205"/>
      <c r="G49" s="205"/>
      <c r="H49" s="205"/>
      <c r="I49" s="205"/>
      <c r="K49" s="195"/>
      <c r="L49" s="195"/>
      <c r="M49" s="195"/>
      <c r="N49" s="195"/>
      <c r="O49" s="195"/>
      <c r="P49" s="195"/>
      <c r="Q49" s="195"/>
      <c r="R49" s="195"/>
      <c r="T49" s="195"/>
      <c r="U49" s="195"/>
      <c r="V49" s="195"/>
      <c r="W49" s="195"/>
      <c r="X49" s="195"/>
      <c r="Y49" s="195"/>
      <c r="Z49" s="195"/>
      <c r="AA49" s="195"/>
    </row>
    <row r="50" spans="2:27">
      <c r="B50" s="205"/>
      <c r="C50" s="205"/>
      <c r="D50" s="205"/>
      <c r="E50" s="205"/>
      <c r="F50" s="205"/>
      <c r="G50" s="205"/>
      <c r="H50" s="205"/>
      <c r="I50" s="205"/>
      <c r="K50" s="195"/>
      <c r="L50" s="195"/>
      <c r="M50" s="195"/>
      <c r="N50" s="195"/>
      <c r="O50" s="195"/>
      <c r="P50" s="195"/>
      <c r="Q50" s="195"/>
      <c r="R50" s="195"/>
      <c r="T50" s="195"/>
      <c r="U50" s="195"/>
      <c r="V50" s="195"/>
      <c r="W50" s="195"/>
      <c r="X50" s="195"/>
      <c r="Y50" s="195"/>
      <c r="Z50" s="195"/>
      <c r="AA50" s="195"/>
    </row>
    <row r="51" spans="2:27">
      <c r="B51" s="205"/>
      <c r="C51" s="205"/>
      <c r="D51" s="205"/>
      <c r="E51" s="205"/>
      <c r="F51" s="205"/>
      <c r="G51" s="205"/>
      <c r="H51" s="205"/>
      <c r="I51" s="205"/>
      <c r="K51" s="195"/>
      <c r="L51" s="195"/>
      <c r="M51" s="195"/>
      <c r="N51" s="195"/>
      <c r="O51" s="195"/>
      <c r="P51" s="195"/>
      <c r="Q51" s="195"/>
      <c r="R51" s="195"/>
      <c r="T51" s="195"/>
      <c r="U51" s="195"/>
      <c r="V51" s="195"/>
      <c r="W51" s="195"/>
      <c r="X51" s="195"/>
      <c r="Y51" s="195"/>
      <c r="Z51" s="195"/>
      <c r="AA51" s="195"/>
    </row>
    <row r="52" spans="2:27">
      <c r="B52" s="205"/>
      <c r="C52" s="205"/>
      <c r="D52" s="205"/>
      <c r="E52" s="205"/>
      <c r="F52" s="205"/>
      <c r="G52" s="205"/>
      <c r="H52" s="205"/>
      <c r="I52" s="205"/>
      <c r="K52" s="195"/>
      <c r="L52" s="195"/>
      <c r="M52" s="195"/>
      <c r="N52" s="195"/>
      <c r="O52" s="195"/>
      <c r="P52" s="195"/>
      <c r="Q52" s="195"/>
      <c r="R52" s="195"/>
      <c r="T52" s="195"/>
      <c r="U52" s="195"/>
      <c r="V52" s="195"/>
      <c r="W52" s="195"/>
      <c r="X52" s="195"/>
      <c r="Y52" s="195"/>
      <c r="Z52" s="195"/>
      <c r="AA52" s="195"/>
    </row>
    <row r="53" spans="2:27">
      <c r="B53" s="205"/>
      <c r="C53" s="205"/>
      <c r="D53" s="205"/>
      <c r="E53" s="205"/>
      <c r="F53" s="205"/>
      <c r="G53" s="205"/>
      <c r="H53" s="205"/>
      <c r="I53" s="205"/>
      <c r="K53" s="195"/>
      <c r="L53" s="195"/>
      <c r="M53" s="195"/>
      <c r="N53" s="195"/>
      <c r="O53" s="195"/>
      <c r="P53" s="195"/>
      <c r="Q53" s="195"/>
      <c r="R53" s="195"/>
      <c r="T53" s="195"/>
      <c r="U53" s="195"/>
      <c r="V53" s="195"/>
      <c r="W53" s="195"/>
      <c r="X53" s="195"/>
      <c r="Y53" s="195"/>
      <c r="Z53" s="195"/>
      <c r="AA53" s="195"/>
    </row>
    <row r="54" spans="2:27">
      <c r="B54" s="205"/>
      <c r="C54" s="205"/>
      <c r="D54" s="205"/>
      <c r="E54" s="205"/>
      <c r="F54" s="205"/>
      <c r="G54" s="205"/>
      <c r="H54" s="205"/>
      <c r="I54" s="205"/>
      <c r="K54" s="195"/>
      <c r="L54" s="195"/>
      <c r="M54" s="195"/>
      <c r="N54" s="195"/>
      <c r="O54" s="195"/>
      <c r="P54" s="195"/>
      <c r="Q54" s="195"/>
      <c r="R54" s="195"/>
      <c r="T54" s="195"/>
      <c r="U54" s="195"/>
      <c r="V54" s="195"/>
      <c r="W54" s="195"/>
      <c r="X54" s="195"/>
      <c r="Y54" s="195"/>
      <c r="Z54" s="195"/>
      <c r="AA54" s="195"/>
    </row>
    <row r="55" spans="2:27">
      <c r="B55" s="205"/>
      <c r="C55" s="205"/>
      <c r="D55" s="205"/>
      <c r="E55" s="205"/>
      <c r="F55" s="205"/>
      <c r="G55" s="205"/>
      <c r="H55" s="205"/>
      <c r="I55" s="205"/>
      <c r="K55" s="195"/>
      <c r="L55" s="195"/>
      <c r="M55" s="195"/>
      <c r="N55" s="195"/>
      <c r="O55" s="195"/>
      <c r="P55" s="195"/>
      <c r="Q55" s="195"/>
      <c r="R55" s="195"/>
      <c r="T55" s="195"/>
      <c r="U55" s="195"/>
      <c r="V55" s="195"/>
      <c r="W55" s="195"/>
      <c r="X55" s="195"/>
      <c r="Y55" s="195"/>
      <c r="Z55" s="195"/>
      <c r="AA55" s="195"/>
    </row>
    <row r="57" spans="2:27">
      <c r="B57" s="166"/>
      <c r="C57" s="166"/>
      <c r="D57" s="166"/>
      <c r="E57" s="166"/>
      <c r="F57" s="166"/>
      <c r="G57" s="166"/>
      <c r="H57" s="166"/>
      <c r="I57" s="166"/>
      <c r="K57" s="166"/>
      <c r="L57" s="166"/>
      <c r="M57" s="166"/>
      <c r="N57" s="166"/>
      <c r="O57" s="166"/>
      <c r="P57" s="166"/>
      <c r="Q57" s="166"/>
      <c r="R57" s="166"/>
      <c r="T57" s="166"/>
      <c r="U57" s="166"/>
      <c r="V57" s="166"/>
      <c r="W57" s="166"/>
      <c r="X57" s="166"/>
      <c r="Y57" s="166"/>
      <c r="Z57" s="166"/>
      <c r="AA57" s="166"/>
    </row>
    <row r="59" spans="2:27" ht="17.45">
      <c r="B59" s="72"/>
      <c r="K59" s="72"/>
      <c r="T59" s="72"/>
    </row>
  </sheetData>
  <sheetProtection password="F817" sheet="1" objects="1" scenarios="1" selectLockedCells="1"/>
  <mergeCells count="18">
    <mergeCell ref="F5:G5"/>
    <mergeCell ref="B7:I7"/>
    <mergeCell ref="B9:I55"/>
    <mergeCell ref="I1:I3"/>
    <mergeCell ref="B5:E5"/>
    <mergeCell ref="K5:N5"/>
    <mergeCell ref="K7:R28"/>
    <mergeCell ref="R1:R3"/>
    <mergeCell ref="AA1:AA3"/>
    <mergeCell ref="T5:W5"/>
    <mergeCell ref="T7:AA28"/>
    <mergeCell ref="T30:W30"/>
    <mergeCell ref="B57:I57"/>
    <mergeCell ref="K57:R57"/>
    <mergeCell ref="T57:AA57"/>
    <mergeCell ref="K32:R55"/>
    <mergeCell ref="T32:AA55"/>
    <mergeCell ref="K30:N30"/>
  </mergeCells>
  <phoneticPr fontId="2" type="noConversion"/>
  <pageMargins left="0.59055118110236227" right="0.59055118110236227" top="0.39370078740157483" bottom="0.39370078740157483" header="0" footer="0"/>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indexed="53"/>
  </sheetPr>
  <dimension ref="A1:AA61"/>
  <sheetViews>
    <sheetView showGridLines="0" topLeftCell="N29" zoomScale="85" zoomScaleNormal="85" workbookViewId="0">
      <selection activeCell="AA12" sqref="AA12"/>
    </sheetView>
  </sheetViews>
  <sheetFormatPr defaultColWidth="11.42578125" defaultRowHeight="13.15"/>
  <cols>
    <col min="1" max="2" width="4.7109375" customWidth="1"/>
    <col min="10" max="11" width="4.7109375" customWidth="1"/>
    <col min="19" max="20" width="4.7109375" customWidth="1"/>
  </cols>
  <sheetData>
    <row r="1" spans="2:27" ht="18" customHeight="1">
      <c r="B1" s="87"/>
      <c r="C1" s="8"/>
      <c r="D1" s="8"/>
      <c r="I1" s="173"/>
      <c r="K1" s="87"/>
      <c r="L1" s="8"/>
      <c r="M1" s="8"/>
      <c r="R1" s="173"/>
      <c r="T1" s="87"/>
      <c r="U1" s="8"/>
      <c r="V1" s="8"/>
      <c r="AA1" s="173"/>
    </row>
    <row r="2" spans="2:27" ht="12.75" customHeight="1">
      <c r="I2" s="173"/>
      <c r="R2" s="173"/>
      <c r="AA2" s="173"/>
    </row>
    <row r="3" spans="2:27" ht="18.75" customHeight="1">
      <c r="B3" s="87"/>
      <c r="C3" s="87"/>
      <c r="D3" s="87"/>
      <c r="E3" s="87"/>
      <c r="F3" s="87"/>
      <c r="I3" s="173"/>
      <c r="K3" s="87"/>
      <c r="L3" s="87"/>
      <c r="M3" s="87"/>
      <c r="N3" s="87"/>
      <c r="O3" s="87"/>
      <c r="R3" s="173"/>
      <c r="T3" s="87"/>
      <c r="U3" s="87"/>
      <c r="V3" s="87"/>
      <c r="W3" s="87"/>
      <c r="X3" s="87"/>
      <c r="AA3" s="173"/>
    </row>
    <row r="5" spans="2:27">
      <c r="B5" s="170"/>
      <c r="C5" s="170"/>
      <c r="D5" s="170"/>
      <c r="E5" s="170"/>
      <c r="K5" s="170"/>
      <c r="L5" s="170"/>
      <c r="M5" s="170"/>
      <c r="N5" s="170"/>
      <c r="T5" s="170"/>
      <c r="U5" s="170"/>
      <c r="V5" s="170"/>
      <c r="W5" s="170"/>
      <c r="X5" s="170"/>
    </row>
    <row r="7" spans="2:27" ht="12.75" customHeight="1">
      <c r="B7" s="207" t="s">
        <v>112</v>
      </c>
      <c r="C7" s="207"/>
      <c r="D7" s="215" t="s">
        <v>113</v>
      </c>
      <c r="E7" s="215"/>
      <c r="F7" s="215"/>
      <c r="G7" s="215"/>
      <c r="H7" s="215"/>
      <c r="I7" s="215"/>
      <c r="K7" s="195" t="s">
        <v>114</v>
      </c>
      <c r="L7" s="205"/>
      <c r="M7" s="205"/>
      <c r="N7" s="205"/>
      <c r="O7" s="205"/>
      <c r="P7" s="205"/>
      <c r="Q7" s="205"/>
      <c r="R7" s="205"/>
      <c r="T7" s="207" t="s">
        <v>115</v>
      </c>
      <c r="U7" s="207"/>
      <c r="V7" s="207"/>
      <c r="W7" s="218"/>
      <c r="X7" s="218"/>
      <c r="Y7" s="218"/>
      <c r="Z7" s="218"/>
      <c r="AA7" s="218"/>
    </row>
    <row r="8" spans="2:27">
      <c r="B8" s="185"/>
      <c r="C8" s="185"/>
      <c r="D8" s="91"/>
      <c r="E8" s="91"/>
      <c r="F8" s="91"/>
      <c r="G8" s="91"/>
      <c r="H8" s="91"/>
      <c r="I8" s="91"/>
      <c r="K8" s="205"/>
      <c r="L8" s="205"/>
      <c r="M8" s="205"/>
      <c r="N8" s="205"/>
      <c r="O8" s="205"/>
      <c r="P8" s="205"/>
      <c r="Q8" s="205"/>
      <c r="R8" s="205"/>
      <c r="T8" s="207" t="s">
        <v>116</v>
      </c>
      <c r="U8" s="207"/>
      <c r="V8" s="207"/>
      <c r="W8" s="219" t="s">
        <v>2</v>
      </c>
      <c r="X8" s="219"/>
      <c r="Y8" s="219"/>
      <c r="Z8" s="219"/>
      <c r="AA8" s="219"/>
    </row>
    <row r="9" spans="2:27">
      <c r="B9" s="207" t="s">
        <v>117</v>
      </c>
      <c r="C9" s="207"/>
      <c r="D9" s="207"/>
      <c r="E9" s="95"/>
      <c r="F9" s="95"/>
      <c r="G9" s="95"/>
      <c r="H9" s="95"/>
      <c r="I9" s="95"/>
      <c r="K9" s="205"/>
      <c r="L9" s="205"/>
      <c r="M9" s="205"/>
      <c r="N9" s="205"/>
      <c r="O9" s="205"/>
      <c r="P9" s="205"/>
      <c r="Q9" s="205"/>
      <c r="R9" s="205"/>
      <c r="T9" s="207" t="s">
        <v>117</v>
      </c>
      <c r="U9" s="207"/>
      <c r="V9" s="207"/>
      <c r="W9" s="45"/>
      <c r="X9" s="45"/>
      <c r="Y9" s="45"/>
      <c r="Z9" s="45"/>
      <c r="AA9" s="45"/>
    </row>
    <row r="10" spans="2:27">
      <c r="B10" s="195" t="s">
        <v>118</v>
      </c>
      <c r="C10" s="205"/>
      <c r="D10" s="205"/>
      <c r="E10" s="205"/>
      <c r="F10" s="205"/>
      <c r="G10" s="205"/>
      <c r="H10" s="205"/>
      <c r="I10" s="205"/>
      <c r="K10" s="205"/>
      <c r="L10" s="205"/>
      <c r="M10" s="205"/>
      <c r="N10" s="205"/>
      <c r="O10" s="205"/>
      <c r="P10" s="205"/>
      <c r="Q10" s="205"/>
      <c r="R10" s="205"/>
      <c r="T10" s="221" t="s">
        <v>119</v>
      </c>
      <c r="U10" s="221"/>
      <c r="V10" s="221"/>
      <c r="W10" s="221"/>
      <c r="X10" s="221"/>
      <c r="Y10" s="221"/>
      <c r="Z10" s="221"/>
      <c r="AA10" s="221"/>
    </row>
    <row r="11" spans="2:27">
      <c r="B11" s="205"/>
      <c r="C11" s="205"/>
      <c r="D11" s="205"/>
      <c r="E11" s="205"/>
      <c r="F11" s="205"/>
      <c r="G11" s="205"/>
      <c r="H11" s="205"/>
      <c r="I11" s="205"/>
      <c r="K11" s="217"/>
      <c r="L11" s="217"/>
      <c r="M11" s="217"/>
      <c r="N11" s="217"/>
      <c r="O11" s="217"/>
      <c r="P11" s="217"/>
      <c r="Q11" s="217"/>
      <c r="R11" s="217"/>
      <c r="T11" s="221"/>
      <c r="U11" s="221"/>
      <c r="V11" s="221"/>
      <c r="W11" s="221"/>
      <c r="X11" s="221"/>
      <c r="Y11" s="221"/>
      <c r="Z11" s="221"/>
      <c r="AA11" s="221"/>
    </row>
    <row r="12" spans="2:27" ht="12.75">
      <c r="B12" s="205"/>
      <c r="C12" s="205"/>
      <c r="D12" s="205"/>
      <c r="E12" s="205"/>
      <c r="F12" s="205"/>
      <c r="G12" s="205"/>
      <c r="H12" s="205"/>
      <c r="I12" s="205"/>
      <c r="K12" s="217"/>
      <c r="L12" s="217"/>
      <c r="M12" s="217"/>
      <c r="N12" s="217"/>
      <c r="O12" s="217"/>
      <c r="P12" s="217"/>
      <c r="Q12" s="217"/>
      <c r="R12" s="217"/>
      <c r="T12" s="207" t="s">
        <v>120</v>
      </c>
      <c r="U12" s="207"/>
      <c r="V12" s="208" t="s">
        <v>121</v>
      </c>
      <c r="W12" s="208"/>
      <c r="X12" s="208"/>
      <c r="Y12" s="207" t="s">
        <v>122</v>
      </c>
      <c r="Z12" s="207"/>
      <c r="AA12" s="103">
        <v>1323</v>
      </c>
    </row>
    <row r="13" spans="2:27">
      <c r="B13" s="207" t="s">
        <v>123</v>
      </c>
      <c r="C13" s="207"/>
      <c r="D13" s="207"/>
      <c r="E13" s="95"/>
      <c r="F13" s="95"/>
      <c r="G13" s="95"/>
      <c r="H13" s="95"/>
      <c r="I13" s="95"/>
      <c r="K13" s="217"/>
      <c r="L13" s="217"/>
      <c r="M13" s="217"/>
      <c r="N13" s="217"/>
      <c r="O13" s="217"/>
      <c r="P13" s="217"/>
      <c r="Q13" s="217"/>
      <c r="R13" s="217"/>
      <c r="T13" s="207" t="s">
        <v>124</v>
      </c>
      <c r="U13" s="207"/>
      <c r="V13" s="208" t="s">
        <v>121</v>
      </c>
      <c r="W13" s="208"/>
      <c r="X13" s="208"/>
      <c r="Y13" s="207" t="s">
        <v>125</v>
      </c>
      <c r="Z13" s="207"/>
      <c r="AA13" s="92" t="s">
        <v>126</v>
      </c>
    </row>
    <row r="14" spans="2:27">
      <c r="B14" s="195" t="s">
        <v>127</v>
      </c>
      <c r="C14" s="205"/>
      <c r="D14" s="205"/>
      <c r="E14" s="205"/>
      <c r="F14" s="205"/>
      <c r="G14" s="205"/>
      <c r="H14" s="205"/>
      <c r="I14" s="205"/>
      <c r="K14" s="217"/>
      <c r="L14" s="217"/>
      <c r="M14" s="217"/>
      <c r="N14" s="217"/>
      <c r="O14" s="217"/>
      <c r="P14" s="217"/>
      <c r="Q14" s="217"/>
      <c r="R14" s="217"/>
      <c r="T14" s="207" t="s">
        <v>128</v>
      </c>
      <c r="U14" s="207"/>
      <c r="V14" s="208" t="s">
        <v>129</v>
      </c>
      <c r="W14" s="208"/>
      <c r="X14" s="208"/>
      <c r="Y14" s="207" t="s">
        <v>130</v>
      </c>
      <c r="Z14" s="207"/>
      <c r="AA14" s="92" t="s">
        <v>80</v>
      </c>
    </row>
    <row r="15" spans="2:27">
      <c r="B15" s="205"/>
      <c r="C15" s="205"/>
      <c r="D15" s="205"/>
      <c r="E15" s="205"/>
      <c r="F15" s="205"/>
      <c r="G15" s="205"/>
      <c r="H15" s="205"/>
      <c r="I15" s="205"/>
      <c r="K15" s="217"/>
      <c r="L15" s="217"/>
      <c r="M15" s="217"/>
      <c r="N15" s="217"/>
      <c r="O15" s="217"/>
      <c r="P15" s="217"/>
      <c r="Q15" s="217"/>
      <c r="R15" s="217"/>
      <c r="T15" s="207" t="s">
        <v>131</v>
      </c>
      <c r="U15" s="207"/>
      <c r="V15" s="208" t="s">
        <v>132</v>
      </c>
      <c r="W15" s="208"/>
      <c r="X15" s="208"/>
      <c r="Y15" s="207" t="s">
        <v>133</v>
      </c>
      <c r="Z15" s="207"/>
      <c r="AA15" s="103">
        <v>436.59</v>
      </c>
    </row>
    <row r="16" spans="2:27">
      <c r="B16" s="205"/>
      <c r="C16" s="205"/>
      <c r="D16" s="205"/>
      <c r="E16" s="205"/>
      <c r="F16" s="205"/>
      <c r="G16" s="205"/>
      <c r="H16" s="205"/>
      <c r="I16" s="205"/>
      <c r="K16" s="217"/>
      <c r="L16" s="217"/>
      <c r="M16" s="217"/>
      <c r="N16" s="217"/>
      <c r="O16" s="217"/>
      <c r="P16" s="217"/>
      <c r="Q16" s="217"/>
      <c r="R16" s="217"/>
      <c r="T16" s="207" t="s">
        <v>134</v>
      </c>
      <c r="U16" s="207"/>
      <c r="V16" s="220" t="s">
        <v>135</v>
      </c>
      <c r="W16" s="208"/>
      <c r="X16" s="208"/>
      <c r="Y16" s="207" t="s">
        <v>136</v>
      </c>
      <c r="Z16" s="207"/>
      <c r="AA16" s="103">
        <v>0</v>
      </c>
    </row>
    <row r="17" spans="2:27">
      <c r="B17" s="205"/>
      <c r="C17" s="205"/>
      <c r="D17" s="205"/>
      <c r="E17" s="205"/>
      <c r="F17" s="205"/>
      <c r="G17" s="205"/>
      <c r="H17" s="205"/>
      <c r="I17" s="205"/>
      <c r="K17" s="217"/>
      <c r="L17" s="217"/>
      <c r="M17" s="217"/>
      <c r="N17" s="217"/>
      <c r="O17" s="217"/>
      <c r="P17" s="217"/>
      <c r="Q17" s="217"/>
      <c r="R17" s="217"/>
      <c r="T17" s="207" t="s">
        <v>137</v>
      </c>
      <c r="U17" s="207"/>
      <c r="V17" s="208" t="s">
        <v>138</v>
      </c>
      <c r="W17" s="208"/>
      <c r="X17" s="208"/>
      <c r="Y17" s="207" t="s">
        <v>139</v>
      </c>
      <c r="Z17" s="207"/>
      <c r="AA17" s="104">
        <v>40634</v>
      </c>
    </row>
    <row r="18" spans="2:27">
      <c r="B18" s="95"/>
      <c r="C18" s="95"/>
      <c r="D18" s="95"/>
      <c r="E18" s="95"/>
      <c r="F18" s="95"/>
      <c r="G18" s="95"/>
      <c r="H18" s="95"/>
      <c r="I18" s="95"/>
      <c r="K18" s="217"/>
      <c r="L18" s="217"/>
      <c r="M18" s="217"/>
      <c r="N18" s="217"/>
      <c r="O18" s="217"/>
      <c r="P18" s="217"/>
      <c r="Q18" s="217"/>
      <c r="R18" s="217"/>
      <c r="T18" s="45"/>
      <c r="U18" s="45"/>
      <c r="V18" s="45"/>
      <c r="W18" s="45"/>
      <c r="X18" s="45"/>
      <c r="Y18" s="45"/>
      <c r="Z18" s="45"/>
      <c r="AA18" s="45"/>
    </row>
    <row r="19" spans="2:27">
      <c r="B19" s="207" t="s">
        <v>140</v>
      </c>
      <c r="C19" s="207"/>
      <c r="D19" s="215" t="s">
        <v>141</v>
      </c>
      <c r="E19" s="216"/>
      <c r="F19" s="216"/>
      <c r="G19" s="216"/>
      <c r="H19" s="216"/>
      <c r="I19" s="216"/>
      <c r="K19" s="217"/>
      <c r="L19" s="217"/>
      <c r="M19" s="217"/>
      <c r="N19" s="217"/>
      <c r="O19" s="217"/>
      <c r="P19" s="217"/>
      <c r="Q19" s="217"/>
      <c r="R19" s="217"/>
      <c r="T19" s="207" t="s">
        <v>142</v>
      </c>
      <c r="U19" s="207"/>
      <c r="V19" s="207"/>
      <c r="W19" s="209"/>
      <c r="X19" s="209"/>
      <c r="Y19" s="209"/>
      <c r="Z19" s="209"/>
      <c r="AA19" s="209"/>
    </row>
    <row r="20" spans="2:27">
      <c r="B20" s="185"/>
      <c r="C20" s="185"/>
      <c r="D20" s="91"/>
      <c r="E20" s="91"/>
      <c r="F20" s="91"/>
      <c r="G20" s="91"/>
      <c r="H20" s="91"/>
      <c r="I20" s="91"/>
      <c r="K20" s="217"/>
      <c r="L20" s="217"/>
      <c r="M20" s="217"/>
      <c r="N20" s="217"/>
      <c r="O20" s="217"/>
      <c r="P20" s="217"/>
      <c r="Q20" s="217"/>
      <c r="R20" s="217"/>
      <c r="T20" s="207" t="s">
        <v>116</v>
      </c>
      <c r="U20" s="207"/>
      <c r="V20" s="207"/>
      <c r="W20" s="212" t="s">
        <v>143</v>
      </c>
      <c r="X20" s="213"/>
      <c r="Y20" s="213"/>
      <c r="Z20" s="213"/>
      <c r="AA20" s="214"/>
    </row>
    <row r="21" spans="2:27">
      <c r="B21" s="207" t="s">
        <v>117</v>
      </c>
      <c r="C21" s="207"/>
      <c r="D21" s="207"/>
      <c r="E21" s="95"/>
      <c r="F21" s="95"/>
      <c r="G21" s="95"/>
      <c r="H21" s="95"/>
      <c r="I21" s="95"/>
      <c r="K21" s="217"/>
      <c r="L21" s="217"/>
      <c r="M21" s="217"/>
      <c r="N21" s="217"/>
      <c r="O21" s="217"/>
      <c r="P21" s="217"/>
      <c r="Q21" s="217"/>
      <c r="R21" s="217"/>
      <c r="T21" s="207" t="s">
        <v>117</v>
      </c>
      <c r="U21" s="207"/>
      <c r="V21" s="207"/>
      <c r="W21" s="45"/>
      <c r="X21" s="45"/>
      <c r="Y21" s="45"/>
      <c r="Z21" s="45"/>
      <c r="AA21" s="45"/>
    </row>
    <row r="22" spans="2:27" ht="12.75" customHeight="1">
      <c r="B22" s="195" t="s">
        <v>144</v>
      </c>
      <c r="C22" s="205"/>
      <c r="D22" s="205"/>
      <c r="E22" s="205"/>
      <c r="F22" s="205"/>
      <c r="G22" s="205"/>
      <c r="H22" s="205"/>
      <c r="I22" s="205"/>
      <c r="K22" s="217"/>
      <c r="L22" s="217"/>
      <c r="M22" s="217"/>
      <c r="N22" s="217"/>
      <c r="O22" s="217"/>
      <c r="P22" s="217"/>
      <c r="Q22" s="217"/>
      <c r="R22" s="217"/>
      <c r="T22" s="221" t="s">
        <v>145</v>
      </c>
      <c r="U22" s="221"/>
      <c r="V22" s="221"/>
      <c r="W22" s="221"/>
      <c r="X22" s="221"/>
      <c r="Y22" s="221"/>
      <c r="Z22" s="221"/>
      <c r="AA22" s="221"/>
    </row>
    <row r="23" spans="2:27">
      <c r="B23" s="205"/>
      <c r="C23" s="205"/>
      <c r="D23" s="205"/>
      <c r="E23" s="205"/>
      <c r="F23" s="205"/>
      <c r="G23" s="205"/>
      <c r="H23" s="205"/>
      <c r="I23" s="205"/>
      <c r="K23" s="217"/>
      <c r="L23" s="217"/>
      <c r="M23" s="217"/>
      <c r="N23" s="217"/>
      <c r="O23" s="217"/>
      <c r="P23" s="217"/>
      <c r="Q23" s="217"/>
      <c r="R23" s="217"/>
      <c r="T23" s="221" t="s">
        <v>146</v>
      </c>
      <c r="U23" s="221"/>
      <c r="V23" s="221"/>
      <c r="W23" s="221"/>
      <c r="X23" s="221"/>
      <c r="Y23" s="221"/>
      <c r="Z23" s="221"/>
      <c r="AA23" s="221"/>
    </row>
    <row r="24" spans="2:27" ht="12.75">
      <c r="B24" s="205"/>
      <c r="C24" s="205"/>
      <c r="D24" s="205"/>
      <c r="E24" s="205"/>
      <c r="F24" s="205"/>
      <c r="G24" s="205"/>
      <c r="H24" s="205"/>
      <c r="I24" s="205"/>
      <c r="K24" s="217"/>
      <c r="L24" s="217"/>
      <c r="M24" s="217"/>
      <c r="N24" s="217"/>
      <c r="O24" s="217"/>
      <c r="P24" s="217"/>
      <c r="Q24" s="217"/>
      <c r="R24" s="217"/>
      <c r="T24" s="207" t="s">
        <v>120</v>
      </c>
      <c r="U24" s="207"/>
      <c r="V24" s="208" t="s">
        <v>121</v>
      </c>
      <c r="W24" s="208"/>
      <c r="X24" s="208"/>
      <c r="Y24" s="207" t="s">
        <v>122</v>
      </c>
      <c r="Z24" s="207"/>
      <c r="AA24" s="103">
        <v>1323</v>
      </c>
    </row>
    <row r="25" spans="2:27">
      <c r="B25" s="207" t="s">
        <v>123</v>
      </c>
      <c r="C25" s="207"/>
      <c r="D25" s="207"/>
      <c r="E25" s="95"/>
      <c r="F25" s="95"/>
      <c r="G25" s="95"/>
      <c r="H25" s="95"/>
      <c r="I25" s="95"/>
      <c r="K25" s="45"/>
      <c r="L25" s="45"/>
      <c r="M25" s="45"/>
      <c r="N25" s="97"/>
      <c r="O25" s="97"/>
      <c r="P25" s="97"/>
      <c r="Q25" s="97"/>
      <c r="R25" s="97"/>
      <c r="T25" s="207" t="s">
        <v>124</v>
      </c>
      <c r="U25" s="207"/>
      <c r="V25" s="208" t="s">
        <v>147</v>
      </c>
      <c r="W25" s="208"/>
      <c r="X25" s="208"/>
      <c r="Y25" s="207" t="s">
        <v>125</v>
      </c>
      <c r="Z25" s="207"/>
      <c r="AA25" s="92" t="s">
        <v>126</v>
      </c>
    </row>
    <row r="26" spans="2:27">
      <c r="B26" s="205" t="s">
        <v>127</v>
      </c>
      <c r="C26" s="205"/>
      <c r="D26" s="205"/>
      <c r="E26" s="205"/>
      <c r="F26" s="205"/>
      <c r="G26" s="205"/>
      <c r="H26" s="205"/>
      <c r="I26" s="205"/>
      <c r="K26" s="170"/>
      <c r="L26" s="170"/>
      <c r="M26" s="170"/>
      <c r="N26" s="170"/>
      <c r="O26" s="97"/>
      <c r="Q26" s="97"/>
      <c r="R26" s="97"/>
      <c r="T26" s="207" t="s">
        <v>128</v>
      </c>
      <c r="U26" s="207"/>
      <c r="V26" s="208" t="s">
        <v>129</v>
      </c>
      <c r="W26" s="208"/>
      <c r="X26" s="208"/>
      <c r="Y26" s="207" t="s">
        <v>130</v>
      </c>
      <c r="Z26" s="207"/>
      <c r="AA26" s="92" t="s">
        <v>80</v>
      </c>
    </row>
    <row r="27" spans="2:27">
      <c r="B27" s="205"/>
      <c r="C27" s="205"/>
      <c r="D27" s="205"/>
      <c r="E27" s="205"/>
      <c r="F27" s="205"/>
      <c r="G27" s="205"/>
      <c r="H27" s="205"/>
      <c r="I27" s="205"/>
      <c r="K27" s="97"/>
      <c r="L27" s="97"/>
      <c r="M27" s="97"/>
      <c r="N27" s="97"/>
      <c r="O27" s="97"/>
      <c r="P27" s="97"/>
      <c r="Q27" s="97"/>
      <c r="R27" s="97"/>
      <c r="T27" s="207" t="s">
        <v>131</v>
      </c>
      <c r="U27" s="207"/>
      <c r="V27" s="208" t="s">
        <v>132</v>
      </c>
      <c r="W27" s="208"/>
      <c r="X27" s="208"/>
      <c r="Y27" s="207" t="s">
        <v>133</v>
      </c>
      <c r="Z27" s="207"/>
      <c r="AA27" s="103">
        <v>436.59</v>
      </c>
    </row>
    <row r="28" spans="2:27">
      <c r="B28" s="205"/>
      <c r="C28" s="205"/>
      <c r="D28" s="205"/>
      <c r="E28" s="205"/>
      <c r="F28" s="205"/>
      <c r="G28" s="205"/>
      <c r="H28" s="205"/>
      <c r="I28" s="205"/>
      <c r="K28" s="210" t="s">
        <v>148</v>
      </c>
      <c r="L28" s="210"/>
      <c r="M28" s="210"/>
      <c r="N28" s="210"/>
      <c r="O28" s="210"/>
      <c r="P28" s="210"/>
      <c r="Q28" s="210"/>
      <c r="R28" s="210"/>
      <c r="T28" s="207" t="s">
        <v>134</v>
      </c>
      <c r="U28" s="207"/>
      <c r="V28" s="208" t="s">
        <v>135</v>
      </c>
      <c r="W28" s="208"/>
      <c r="X28" s="208"/>
      <c r="Y28" s="207" t="s">
        <v>136</v>
      </c>
      <c r="Z28" s="207"/>
      <c r="AA28" s="103">
        <v>0</v>
      </c>
    </row>
    <row r="29" spans="2:27">
      <c r="B29" s="205"/>
      <c r="C29" s="205"/>
      <c r="D29" s="205"/>
      <c r="E29" s="205"/>
      <c r="F29" s="205"/>
      <c r="G29" s="205"/>
      <c r="H29" s="205"/>
      <c r="I29" s="205"/>
      <c r="K29" s="210"/>
      <c r="L29" s="210"/>
      <c r="M29" s="210"/>
      <c r="N29" s="210"/>
      <c r="O29" s="210"/>
      <c r="P29" s="210"/>
      <c r="Q29" s="210"/>
      <c r="R29" s="210"/>
      <c r="T29" s="207" t="s">
        <v>137</v>
      </c>
      <c r="U29" s="207"/>
      <c r="V29" s="208" t="s">
        <v>138</v>
      </c>
      <c r="W29" s="208"/>
      <c r="X29" s="208"/>
      <c r="Y29" s="207" t="s">
        <v>139</v>
      </c>
      <c r="Z29" s="207"/>
      <c r="AA29" s="104">
        <v>40648</v>
      </c>
    </row>
    <row r="30" spans="2:27">
      <c r="B30" s="95"/>
      <c r="C30" s="95"/>
      <c r="D30" s="95"/>
      <c r="E30" s="95"/>
      <c r="F30" s="95"/>
      <c r="G30" s="95"/>
      <c r="H30" s="95"/>
      <c r="I30" s="95"/>
      <c r="K30" s="97"/>
      <c r="L30" s="97"/>
      <c r="M30" s="97"/>
      <c r="N30" s="97"/>
      <c r="O30" s="97"/>
      <c r="P30" s="97"/>
      <c r="Q30" s="97"/>
      <c r="R30" s="97"/>
      <c r="T30" s="97"/>
      <c r="U30" s="97"/>
      <c r="V30" s="97"/>
      <c r="W30" s="97"/>
      <c r="X30" s="97"/>
      <c r="Y30" s="97"/>
      <c r="Z30" s="97"/>
      <c r="AA30" s="97"/>
    </row>
    <row r="31" spans="2:27">
      <c r="B31" s="207" t="s">
        <v>149</v>
      </c>
      <c r="C31" s="207"/>
      <c r="D31" s="215" t="s">
        <v>150</v>
      </c>
      <c r="E31" s="215"/>
      <c r="F31" s="215"/>
      <c r="G31" s="215"/>
      <c r="H31" s="215"/>
      <c r="I31" s="215"/>
      <c r="K31" s="170"/>
      <c r="L31" s="170"/>
      <c r="M31" s="170"/>
      <c r="N31" s="170"/>
      <c r="O31" s="45"/>
      <c r="Q31" s="45"/>
      <c r="R31" s="45"/>
      <c r="T31" s="207" t="s">
        <v>151</v>
      </c>
      <c r="U31" s="207"/>
      <c r="V31" s="207"/>
      <c r="W31" s="209"/>
      <c r="X31" s="209"/>
      <c r="Y31" s="209"/>
      <c r="Z31" s="209"/>
      <c r="AA31" s="209"/>
    </row>
    <row r="32" spans="2:27">
      <c r="B32" s="185"/>
      <c r="C32" s="185"/>
      <c r="D32" s="91"/>
      <c r="E32" s="91"/>
      <c r="F32" s="91"/>
      <c r="G32" s="91"/>
      <c r="H32" s="91"/>
      <c r="I32" s="91"/>
      <c r="K32" s="45"/>
      <c r="L32" s="45"/>
      <c r="M32" s="102"/>
      <c r="N32" s="102"/>
      <c r="O32" s="102"/>
      <c r="P32" s="102"/>
      <c r="Q32" s="102"/>
      <c r="R32" s="102"/>
      <c r="T32" s="207" t="s">
        <v>116</v>
      </c>
      <c r="U32" s="207"/>
      <c r="V32" s="207"/>
      <c r="W32" s="212" t="s">
        <v>152</v>
      </c>
      <c r="X32" s="213"/>
      <c r="Y32" s="213"/>
      <c r="Z32" s="213"/>
      <c r="AA32" s="214"/>
    </row>
    <row r="33" spans="1:27" ht="12.75" customHeight="1">
      <c r="B33" s="207" t="s">
        <v>117</v>
      </c>
      <c r="C33" s="207"/>
      <c r="D33" s="207"/>
      <c r="E33" s="95"/>
      <c r="F33" s="95"/>
      <c r="G33" s="95"/>
      <c r="H33" s="95"/>
      <c r="I33" s="95"/>
      <c r="K33" s="210" t="s">
        <v>129</v>
      </c>
      <c r="L33" s="210"/>
      <c r="M33" s="210"/>
      <c r="N33" s="210"/>
      <c r="O33" s="210"/>
      <c r="P33" s="210"/>
      <c r="Q33" s="210"/>
      <c r="R33" s="210"/>
      <c r="T33" s="207" t="s">
        <v>117</v>
      </c>
      <c r="U33" s="207"/>
      <c r="V33" s="207"/>
      <c r="W33" s="45"/>
      <c r="X33" s="45"/>
      <c r="Y33" s="45"/>
      <c r="Z33" s="45"/>
      <c r="AA33" s="45"/>
    </row>
    <row r="34" spans="1:27" ht="12.75" customHeight="1">
      <c r="B34" s="195" t="s">
        <v>153</v>
      </c>
      <c r="C34" s="205"/>
      <c r="D34" s="205"/>
      <c r="E34" s="205"/>
      <c r="F34" s="205"/>
      <c r="G34" s="205"/>
      <c r="H34" s="205"/>
      <c r="I34" s="205"/>
      <c r="K34" s="210"/>
      <c r="L34" s="210"/>
      <c r="M34" s="210"/>
      <c r="N34" s="210"/>
      <c r="O34" s="210"/>
      <c r="P34" s="210"/>
      <c r="Q34" s="210"/>
      <c r="R34" s="210"/>
      <c r="T34" s="221" t="s">
        <v>154</v>
      </c>
      <c r="U34" s="221"/>
      <c r="V34" s="221"/>
      <c r="W34" s="221"/>
      <c r="X34" s="221"/>
      <c r="Y34" s="221"/>
      <c r="Z34" s="221"/>
      <c r="AA34" s="221"/>
    </row>
    <row r="35" spans="1:27">
      <c r="B35" s="205"/>
      <c r="C35" s="205"/>
      <c r="D35" s="205"/>
      <c r="E35" s="205"/>
      <c r="F35" s="205"/>
      <c r="G35" s="205"/>
      <c r="H35" s="205"/>
      <c r="I35" s="205"/>
      <c r="K35" s="210"/>
      <c r="L35" s="210"/>
      <c r="M35" s="210"/>
      <c r="N35" s="210"/>
      <c r="O35" s="210"/>
      <c r="P35" s="210"/>
      <c r="Q35" s="210"/>
      <c r="R35" s="210"/>
      <c r="T35" s="221"/>
      <c r="U35" s="221"/>
      <c r="V35" s="221"/>
      <c r="W35" s="221"/>
      <c r="X35" s="221"/>
      <c r="Y35" s="221"/>
      <c r="Z35" s="221"/>
      <c r="AA35" s="221"/>
    </row>
    <row r="36" spans="1:27">
      <c r="B36" s="205"/>
      <c r="C36" s="205"/>
      <c r="D36" s="205"/>
      <c r="E36" s="205"/>
      <c r="F36" s="205"/>
      <c r="G36" s="205"/>
      <c r="H36" s="205"/>
      <c r="I36" s="205"/>
      <c r="K36" s="210"/>
      <c r="L36" s="210"/>
      <c r="M36" s="210"/>
      <c r="N36" s="210"/>
      <c r="O36" s="210"/>
      <c r="P36" s="210"/>
      <c r="Q36" s="210"/>
      <c r="R36" s="210"/>
      <c r="T36" s="207" t="s">
        <v>120</v>
      </c>
      <c r="U36" s="207"/>
      <c r="V36" s="208" t="s">
        <v>155</v>
      </c>
      <c r="W36" s="208"/>
      <c r="X36" s="208"/>
      <c r="Y36" s="207" t="s">
        <v>122</v>
      </c>
      <c r="Z36" s="207"/>
      <c r="AA36" s="103">
        <v>1323</v>
      </c>
    </row>
    <row r="37" spans="1:27">
      <c r="B37" s="207" t="s">
        <v>123</v>
      </c>
      <c r="C37" s="207"/>
      <c r="D37" s="207"/>
      <c r="E37" s="95"/>
      <c r="F37" s="95"/>
      <c r="G37" s="95"/>
      <c r="H37" s="95"/>
      <c r="I37" s="95"/>
      <c r="K37" s="45"/>
      <c r="L37" s="45"/>
      <c r="M37" s="45"/>
      <c r="N37" s="97"/>
      <c r="O37" s="97"/>
      <c r="P37" s="97"/>
      <c r="Q37" s="97"/>
      <c r="R37" s="97"/>
      <c r="T37" s="207" t="s">
        <v>124</v>
      </c>
      <c r="U37" s="207"/>
      <c r="V37" s="208" t="s">
        <v>155</v>
      </c>
      <c r="W37" s="208"/>
      <c r="X37" s="208"/>
      <c r="Y37" s="207" t="s">
        <v>125</v>
      </c>
      <c r="Z37" s="207"/>
      <c r="AA37" s="92" t="s">
        <v>126</v>
      </c>
    </row>
    <row r="38" spans="1:27">
      <c r="B38" s="205" t="s">
        <v>127</v>
      </c>
      <c r="C38" s="205"/>
      <c r="D38" s="205"/>
      <c r="E38" s="205"/>
      <c r="F38" s="205"/>
      <c r="G38" s="205"/>
      <c r="H38" s="205"/>
      <c r="I38" s="205"/>
      <c r="K38" s="170"/>
      <c r="L38" s="170"/>
      <c r="M38" s="170"/>
      <c r="N38" s="170"/>
      <c r="O38" s="170"/>
      <c r="P38" s="97"/>
      <c r="Q38" s="97"/>
      <c r="R38" s="97"/>
      <c r="T38" s="207" t="s">
        <v>128</v>
      </c>
      <c r="U38" s="207"/>
      <c r="V38" s="208" t="s">
        <v>129</v>
      </c>
      <c r="W38" s="208"/>
      <c r="X38" s="208"/>
      <c r="Y38" s="207" t="s">
        <v>130</v>
      </c>
      <c r="Z38" s="207"/>
      <c r="AA38" s="92" t="s">
        <v>80</v>
      </c>
    </row>
    <row r="39" spans="1:27">
      <c r="B39" s="205"/>
      <c r="C39" s="205"/>
      <c r="D39" s="205"/>
      <c r="E39" s="205"/>
      <c r="F39" s="205"/>
      <c r="G39" s="205"/>
      <c r="H39" s="205"/>
      <c r="I39" s="205"/>
      <c r="K39" s="97"/>
      <c r="L39" s="97"/>
      <c r="M39" s="97"/>
      <c r="N39" s="97"/>
      <c r="O39" s="97"/>
      <c r="P39" s="97"/>
      <c r="Q39" s="97"/>
      <c r="R39" s="97"/>
      <c r="T39" s="207" t="s">
        <v>131</v>
      </c>
      <c r="U39" s="207"/>
      <c r="V39" s="208" t="s">
        <v>132</v>
      </c>
      <c r="W39" s="208"/>
      <c r="X39" s="208"/>
      <c r="Y39" s="207" t="s">
        <v>133</v>
      </c>
      <c r="Z39" s="207"/>
      <c r="AA39" s="103">
        <v>436.59</v>
      </c>
    </row>
    <row r="40" spans="1:27">
      <c r="A40" t="s">
        <v>156</v>
      </c>
      <c r="B40" s="205"/>
      <c r="C40" s="205"/>
      <c r="D40" s="205"/>
      <c r="E40" s="205"/>
      <c r="F40" s="205"/>
      <c r="G40" s="205"/>
      <c r="H40" s="205"/>
      <c r="I40" s="205"/>
      <c r="K40" s="210" t="s">
        <v>157</v>
      </c>
      <c r="L40" s="210"/>
      <c r="M40" s="210"/>
      <c r="N40" s="210"/>
      <c r="O40" s="210"/>
      <c r="P40" s="210"/>
      <c r="Q40" s="210"/>
      <c r="R40" s="210"/>
      <c r="T40" s="207" t="s">
        <v>134</v>
      </c>
      <c r="U40" s="207"/>
      <c r="V40" s="211" t="s">
        <v>158</v>
      </c>
      <c r="W40" s="208"/>
      <c r="X40" s="208"/>
      <c r="Y40" s="207" t="s">
        <v>136</v>
      </c>
      <c r="Z40" s="207"/>
      <c r="AA40" s="103">
        <v>0</v>
      </c>
    </row>
    <row r="41" spans="1:27">
      <c r="B41" s="205"/>
      <c r="C41" s="205"/>
      <c r="D41" s="205"/>
      <c r="E41" s="205"/>
      <c r="F41" s="205"/>
      <c r="G41" s="205"/>
      <c r="H41" s="205"/>
      <c r="I41" s="205"/>
      <c r="K41" s="210"/>
      <c r="L41" s="210"/>
      <c r="M41" s="210"/>
      <c r="N41" s="210"/>
      <c r="O41" s="210"/>
      <c r="P41" s="210"/>
      <c r="Q41" s="210"/>
      <c r="R41" s="210"/>
      <c r="T41" s="207" t="s">
        <v>137</v>
      </c>
      <c r="U41" s="207"/>
      <c r="V41" s="208" t="s">
        <v>138</v>
      </c>
      <c r="W41" s="208"/>
      <c r="X41" s="208"/>
      <c r="Y41" s="207" t="s">
        <v>139</v>
      </c>
      <c r="Z41" s="207"/>
      <c r="AA41" s="104">
        <v>40634</v>
      </c>
    </row>
    <row r="42" spans="1:27">
      <c r="B42" s="95"/>
      <c r="C42" s="95"/>
      <c r="D42" s="95"/>
      <c r="E42" s="95"/>
      <c r="F42" s="95"/>
      <c r="G42" s="95"/>
      <c r="H42" s="95"/>
      <c r="I42" s="95"/>
      <c r="K42" s="97"/>
      <c r="L42" s="97"/>
      <c r="M42" s="97"/>
      <c r="N42" s="97"/>
      <c r="O42" s="97"/>
      <c r="P42" s="97"/>
      <c r="Q42" s="97"/>
      <c r="R42" s="97"/>
      <c r="T42" s="97"/>
      <c r="U42" s="97"/>
      <c r="V42" s="97"/>
      <c r="W42" s="97"/>
      <c r="X42" s="97"/>
      <c r="Y42" s="97"/>
      <c r="Z42" s="97"/>
      <c r="AA42" s="97"/>
    </row>
    <row r="43" spans="1:27">
      <c r="B43" s="207" t="s">
        <v>159</v>
      </c>
      <c r="C43" s="207"/>
      <c r="D43" s="215" t="s">
        <v>160</v>
      </c>
      <c r="E43" s="215"/>
      <c r="F43" s="215"/>
      <c r="G43" s="215"/>
      <c r="H43" s="215"/>
      <c r="I43" s="215"/>
      <c r="K43" s="170"/>
      <c r="L43" s="170"/>
      <c r="M43" s="170"/>
      <c r="N43" s="170"/>
      <c r="O43" s="170"/>
      <c r="Q43" s="45"/>
      <c r="R43" s="45"/>
      <c r="T43" s="207" t="s">
        <v>161</v>
      </c>
      <c r="U43" s="207"/>
      <c r="V43" s="207"/>
      <c r="W43" s="209"/>
      <c r="X43" s="209"/>
      <c r="Y43" s="209"/>
      <c r="Z43" s="209"/>
      <c r="AA43" s="209"/>
    </row>
    <row r="44" spans="1:27">
      <c r="B44" s="185"/>
      <c r="C44" s="185"/>
      <c r="D44" s="91"/>
      <c r="E44" s="91"/>
      <c r="F44" s="91"/>
      <c r="G44" s="91"/>
      <c r="H44" s="91"/>
      <c r="I44" s="91"/>
      <c r="K44" s="45"/>
      <c r="L44" s="45"/>
      <c r="M44" s="102"/>
      <c r="N44" s="102"/>
      <c r="O44" s="102"/>
      <c r="P44" s="102"/>
      <c r="Q44" s="102"/>
      <c r="R44" s="102"/>
      <c r="T44" s="207" t="s">
        <v>116</v>
      </c>
      <c r="U44" s="207"/>
      <c r="V44" s="207"/>
      <c r="W44" s="212" t="s">
        <v>6</v>
      </c>
      <c r="X44" s="213"/>
      <c r="Y44" s="213"/>
      <c r="Z44" s="213"/>
      <c r="AA44" s="214"/>
    </row>
    <row r="45" spans="1:27" ht="12.75" customHeight="1">
      <c r="B45" s="207" t="s">
        <v>117</v>
      </c>
      <c r="C45" s="207"/>
      <c r="D45" s="207"/>
      <c r="E45" s="95"/>
      <c r="F45" s="95"/>
      <c r="G45" s="95"/>
      <c r="H45" s="95"/>
      <c r="I45" s="95"/>
      <c r="K45" s="210" t="s">
        <v>162</v>
      </c>
      <c r="L45" s="210"/>
      <c r="M45" s="210"/>
      <c r="N45" s="210"/>
      <c r="O45" s="210"/>
      <c r="P45" s="210"/>
      <c r="Q45" s="210"/>
      <c r="R45" s="210"/>
      <c r="T45" s="207" t="s">
        <v>117</v>
      </c>
      <c r="U45" s="207"/>
      <c r="V45" s="207"/>
      <c r="W45" s="45"/>
      <c r="X45" s="45"/>
      <c r="Y45" s="45"/>
      <c r="Z45" s="45"/>
      <c r="AA45" s="45"/>
    </row>
    <row r="46" spans="1:27" ht="12.75" customHeight="1">
      <c r="B46" s="195" t="s">
        <v>163</v>
      </c>
      <c r="C46" s="205"/>
      <c r="D46" s="205"/>
      <c r="E46" s="205"/>
      <c r="F46" s="205"/>
      <c r="G46" s="205"/>
      <c r="H46" s="205"/>
      <c r="I46" s="205"/>
      <c r="K46" s="210"/>
      <c r="L46" s="210"/>
      <c r="M46" s="210"/>
      <c r="N46" s="210"/>
      <c r="O46" s="210"/>
      <c r="P46" s="210"/>
      <c r="Q46" s="210"/>
      <c r="R46" s="210"/>
      <c r="T46" s="221" t="s">
        <v>164</v>
      </c>
      <c r="U46" s="221"/>
      <c r="V46" s="221"/>
      <c r="W46" s="221"/>
      <c r="X46" s="221"/>
      <c r="Y46" s="221"/>
      <c r="Z46" s="221"/>
      <c r="AA46" s="221"/>
    </row>
    <row r="47" spans="1:27">
      <c r="B47" s="205"/>
      <c r="C47" s="205"/>
      <c r="D47" s="205"/>
      <c r="E47" s="205"/>
      <c r="F47" s="205"/>
      <c r="G47" s="205"/>
      <c r="H47" s="205"/>
      <c r="I47" s="205"/>
      <c r="K47" s="210"/>
      <c r="L47" s="210"/>
      <c r="M47" s="210"/>
      <c r="N47" s="210"/>
      <c r="O47" s="210"/>
      <c r="P47" s="210"/>
      <c r="Q47" s="210"/>
      <c r="R47" s="210"/>
      <c r="T47" s="221"/>
      <c r="U47" s="221"/>
      <c r="V47" s="221"/>
      <c r="W47" s="221"/>
      <c r="X47" s="221"/>
      <c r="Y47" s="221"/>
      <c r="Z47" s="221"/>
      <c r="AA47" s="221"/>
    </row>
    <row r="48" spans="1:27">
      <c r="B48" s="205"/>
      <c r="C48" s="205"/>
      <c r="D48" s="205"/>
      <c r="E48" s="205"/>
      <c r="F48" s="205"/>
      <c r="G48" s="205"/>
      <c r="H48" s="205"/>
      <c r="I48" s="205"/>
      <c r="K48" s="210"/>
      <c r="L48" s="210"/>
      <c r="M48" s="210"/>
      <c r="N48" s="210"/>
      <c r="O48" s="210"/>
      <c r="P48" s="210"/>
      <c r="Q48" s="210"/>
      <c r="R48" s="210"/>
      <c r="T48" s="207" t="s">
        <v>120</v>
      </c>
      <c r="U48" s="207"/>
      <c r="V48" s="208" t="s">
        <v>165</v>
      </c>
      <c r="W48" s="208"/>
      <c r="X48" s="208"/>
      <c r="Y48" s="207" t="s">
        <v>122</v>
      </c>
      <c r="Z48" s="207"/>
      <c r="AA48" s="103">
        <v>1323</v>
      </c>
    </row>
    <row r="49" spans="2:27">
      <c r="B49" s="207" t="s">
        <v>123</v>
      </c>
      <c r="C49" s="207"/>
      <c r="D49" s="207"/>
      <c r="E49" s="95"/>
      <c r="F49" s="95"/>
      <c r="G49" s="95"/>
      <c r="H49" s="95"/>
      <c r="I49" s="95"/>
      <c r="K49" s="45"/>
      <c r="L49" s="45"/>
      <c r="M49" s="45"/>
      <c r="N49" s="97"/>
      <c r="O49" s="97"/>
      <c r="P49" s="97"/>
      <c r="Q49" s="97"/>
      <c r="R49" s="97"/>
      <c r="T49" s="207" t="s">
        <v>124</v>
      </c>
      <c r="U49" s="207"/>
      <c r="V49" s="208" t="s">
        <v>166</v>
      </c>
      <c r="W49" s="208"/>
      <c r="X49" s="208"/>
      <c r="Y49" s="207" t="s">
        <v>125</v>
      </c>
      <c r="Z49" s="207"/>
      <c r="AA49" s="92" t="s">
        <v>126</v>
      </c>
    </row>
    <row r="50" spans="2:27">
      <c r="B50" s="205" t="s">
        <v>127</v>
      </c>
      <c r="C50" s="205"/>
      <c r="D50" s="205"/>
      <c r="E50" s="205"/>
      <c r="F50" s="205"/>
      <c r="G50" s="205"/>
      <c r="H50" s="205"/>
      <c r="I50" s="205"/>
      <c r="K50" s="170"/>
      <c r="L50" s="170"/>
      <c r="M50" s="170"/>
      <c r="N50" s="170"/>
      <c r="O50" s="97"/>
      <c r="Q50" s="97"/>
      <c r="R50" s="97"/>
      <c r="T50" s="207" t="s">
        <v>128</v>
      </c>
      <c r="U50" s="207"/>
      <c r="V50" s="208" t="s">
        <v>129</v>
      </c>
      <c r="W50" s="208"/>
      <c r="X50" s="208"/>
      <c r="Y50" s="207" t="s">
        <v>130</v>
      </c>
      <c r="Z50" s="207"/>
      <c r="AA50" s="92" t="s">
        <v>80</v>
      </c>
    </row>
    <row r="51" spans="2:27">
      <c r="B51" s="205"/>
      <c r="C51" s="205"/>
      <c r="D51" s="205"/>
      <c r="E51" s="205"/>
      <c r="F51" s="205"/>
      <c r="G51" s="205"/>
      <c r="H51" s="205"/>
      <c r="I51" s="205"/>
      <c r="K51" s="97"/>
      <c r="L51" s="97"/>
      <c r="M51" s="97"/>
      <c r="N51" s="97"/>
      <c r="O51" s="97"/>
      <c r="P51" s="97"/>
      <c r="Q51" s="97"/>
      <c r="R51" s="97"/>
      <c r="T51" s="207" t="s">
        <v>131</v>
      </c>
      <c r="U51" s="207"/>
      <c r="V51" s="208" t="s">
        <v>132</v>
      </c>
      <c r="W51" s="208"/>
      <c r="X51" s="208"/>
      <c r="Y51" s="207" t="s">
        <v>133</v>
      </c>
      <c r="Z51" s="207"/>
      <c r="AA51" s="103">
        <v>436.59</v>
      </c>
    </row>
    <row r="52" spans="2:27" ht="12.75" customHeight="1">
      <c r="B52" s="205"/>
      <c r="C52" s="205"/>
      <c r="D52" s="205"/>
      <c r="E52" s="205"/>
      <c r="F52" s="205"/>
      <c r="G52" s="205"/>
      <c r="H52" s="205"/>
      <c r="I52" s="205"/>
      <c r="K52" s="199" t="s">
        <v>167</v>
      </c>
      <c r="L52" s="199"/>
      <c r="M52" s="199"/>
      <c r="N52" s="199"/>
      <c r="O52" s="199"/>
      <c r="P52" s="199"/>
      <c r="Q52" s="199"/>
      <c r="R52" s="199"/>
      <c r="T52" s="207" t="s">
        <v>134</v>
      </c>
      <c r="U52" s="207"/>
      <c r="V52" s="208" t="s">
        <v>135</v>
      </c>
      <c r="W52" s="208"/>
      <c r="X52" s="208"/>
      <c r="Y52" s="207" t="s">
        <v>136</v>
      </c>
      <c r="Z52" s="207"/>
      <c r="AA52" s="103">
        <v>0</v>
      </c>
    </row>
    <row r="53" spans="2:27">
      <c r="B53" s="205"/>
      <c r="C53" s="205"/>
      <c r="D53" s="205"/>
      <c r="E53" s="205"/>
      <c r="F53" s="205"/>
      <c r="G53" s="205"/>
      <c r="H53" s="205"/>
      <c r="I53" s="205"/>
      <c r="K53" s="199"/>
      <c r="L53" s="199"/>
      <c r="M53" s="199"/>
      <c r="N53" s="199"/>
      <c r="O53" s="199"/>
      <c r="P53" s="199"/>
      <c r="Q53" s="199"/>
      <c r="R53" s="199"/>
      <c r="T53" s="207" t="s">
        <v>137</v>
      </c>
      <c r="U53" s="207"/>
      <c r="V53" s="208" t="s">
        <v>138</v>
      </c>
      <c r="W53" s="208"/>
      <c r="X53" s="208"/>
      <c r="Y53" s="207" t="s">
        <v>139</v>
      </c>
      <c r="Z53" s="207"/>
      <c r="AA53" s="104">
        <v>40663</v>
      </c>
    </row>
    <row r="54" spans="2:27">
      <c r="B54" s="95"/>
      <c r="C54" s="95"/>
      <c r="D54" s="95"/>
      <c r="E54" s="95"/>
      <c r="F54" s="95"/>
      <c r="G54" s="95"/>
      <c r="H54" s="95"/>
      <c r="I54" s="95"/>
      <c r="K54" s="199"/>
      <c r="L54" s="199"/>
      <c r="M54" s="199"/>
      <c r="N54" s="199"/>
      <c r="O54" s="199"/>
      <c r="P54" s="199"/>
      <c r="Q54" s="199"/>
      <c r="R54" s="199"/>
      <c r="T54" s="97"/>
      <c r="U54" s="97"/>
      <c r="V54" s="97"/>
      <c r="W54" s="97"/>
      <c r="X54" s="97"/>
      <c r="Y54" s="97"/>
      <c r="Z54" s="97"/>
      <c r="AA54" s="97"/>
    </row>
    <row r="55" spans="2:27">
      <c r="K55" s="199"/>
      <c r="L55" s="199"/>
      <c r="M55" s="199"/>
      <c r="N55" s="199"/>
      <c r="O55" s="199"/>
      <c r="P55" s="199"/>
      <c r="Q55" s="199"/>
      <c r="R55" s="199"/>
    </row>
    <row r="57" spans="2:27">
      <c r="B57" s="166"/>
      <c r="C57" s="166"/>
      <c r="D57" s="166"/>
      <c r="E57" s="166"/>
      <c r="F57" s="166"/>
      <c r="G57" s="166"/>
      <c r="H57" s="166"/>
      <c r="I57" s="166"/>
      <c r="K57" s="166"/>
      <c r="L57" s="166"/>
      <c r="M57" s="166"/>
      <c r="N57" s="166"/>
      <c r="O57" s="166"/>
      <c r="P57" s="166"/>
      <c r="Q57" s="166"/>
      <c r="R57" s="166"/>
      <c r="T57" s="166"/>
      <c r="U57" s="166"/>
      <c r="V57" s="166"/>
      <c r="W57" s="166"/>
      <c r="X57" s="166"/>
      <c r="Y57" s="166"/>
      <c r="Z57" s="166"/>
      <c r="AA57" s="166"/>
    </row>
    <row r="59" spans="2:27" ht="17.45">
      <c r="B59" s="72"/>
      <c r="K59" s="72"/>
      <c r="T59" s="72"/>
    </row>
    <row r="61" spans="2:27" ht="3" customHeight="1"/>
  </sheetData>
  <sheetProtection password="F817" sheet="1" objects="1" scenarios="1" selectLockedCells="1"/>
  <mergeCells count="148">
    <mergeCell ref="K45:R48"/>
    <mergeCell ref="T10:AA10"/>
    <mergeCell ref="T11:AA11"/>
    <mergeCell ref="T22:AA22"/>
    <mergeCell ref="T23:AA23"/>
    <mergeCell ref="T34:AA34"/>
    <mergeCell ref="T35:AA35"/>
    <mergeCell ref="T46:AA46"/>
    <mergeCell ref="T47:AA47"/>
    <mergeCell ref="T48:U48"/>
    <mergeCell ref="Y28:Z28"/>
    <mergeCell ref="Y26:Z26"/>
    <mergeCell ref="T25:U25"/>
    <mergeCell ref="V25:X25"/>
    <mergeCell ref="Y25:Z25"/>
    <mergeCell ref="V26:X26"/>
    <mergeCell ref="V28:X28"/>
    <mergeCell ref="Y27:Z27"/>
    <mergeCell ref="T17:U17"/>
    <mergeCell ref="T21:V21"/>
    <mergeCell ref="W19:AA19"/>
    <mergeCell ref="V17:X17"/>
    <mergeCell ref="T44:V44"/>
    <mergeCell ref="Y17:Z17"/>
    <mergeCell ref="T51:U51"/>
    <mergeCell ref="V51:X51"/>
    <mergeCell ref="Y51:Z51"/>
    <mergeCell ref="T52:U52"/>
    <mergeCell ref="V52:X52"/>
    <mergeCell ref="Y52:Z52"/>
    <mergeCell ref="Y48:Z48"/>
    <mergeCell ref="T50:U50"/>
    <mergeCell ref="V50:X50"/>
    <mergeCell ref="Y50:Z50"/>
    <mergeCell ref="T49:U49"/>
    <mergeCell ref="V49:X49"/>
    <mergeCell ref="Y49:Z49"/>
    <mergeCell ref="V48:X48"/>
    <mergeCell ref="R1:R3"/>
    <mergeCell ref="T24:U24"/>
    <mergeCell ref="V24:X24"/>
    <mergeCell ref="T20:V20"/>
    <mergeCell ref="T13:U13"/>
    <mergeCell ref="T14:U14"/>
    <mergeCell ref="W7:AA7"/>
    <mergeCell ref="Y13:Z13"/>
    <mergeCell ref="Y14:Z14"/>
    <mergeCell ref="Y15:Z15"/>
    <mergeCell ref="AA1:AA3"/>
    <mergeCell ref="T12:U12"/>
    <mergeCell ref="T7:V7"/>
    <mergeCell ref="T8:V8"/>
    <mergeCell ref="W8:AA8"/>
    <mergeCell ref="T9:V9"/>
    <mergeCell ref="Y12:Z12"/>
    <mergeCell ref="V12:X12"/>
    <mergeCell ref="Y16:Z16"/>
    <mergeCell ref="T16:U16"/>
    <mergeCell ref="V13:X13"/>
    <mergeCell ref="V16:X16"/>
    <mergeCell ref="T15:U15"/>
    <mergeCell ref="Y24:Z24"/>
    <mergeCell ref="K26:N26"/>
    <mergeCell ref="T28:U28"/>
    <mergeCell ref="T29:U29"/>
    <mergeCell ref="T31:V31"/>
    <mergeCell ref="Y37:Z37"/>
    <mergeCell ref="T32:V32"/>
    <mergeCell ref="W32:AA32"/>
    <mergeCell ref="T33:V33"/>
    <mergeCell ref="T37:U37"/>
    <mergeCell ref="V37:X37"/>
    <mergeCell ref="T36:U36"/>
    <mergeCell ref="V36:X36"/>
    <mergeCell ref="Y36:Z36"/>
    <mergeCell ref="K33:R36"/>
    <mergeCell ref="T5:X5"/>
    <mergeCell ref="B50:I53"/>
    <mergeCell ref="B38:I41"/>
    <mergeCell ref="B43:C43"/>
    <mergeCell ref="D43:I43"/>
    <mergeCell ref="B44:C44"/>
    <mergeCell ref="D31:I31"/>
    <mergeCell ref="V29:X29"/>
    <mergeCell ref="B22:I24"/>
    <mergeCell ref="B25:D25"/>
    <mergeCell ref="B46:I48"/>
    <mergeCell ref="B49:D49"/>
    <mergeCell ref="B31:C31"/>
    <mergeCell ref="T27:U27"/>
    <mergeCell ref="T26:U26"/>
    <mergeCell ref="K28:R29"/>
    <mergeCell ref="K31:N31"/>
    <mergeCell ref="K50:N50"/>
    <mergeCell ref="T38:U38"/>
    <mergeCell ref="W31:AA31"/>
    <mergeCell ref="B32:C32"/>
    <mergeCell ref="B33:D33"/>
    <mergeCell ref="B34:I36"/>
    <mergeCell ref="B37:D37"/>
    <mergeCell ref="T45:V45"/>
    <mergeCell ref="T43:V43"/>
    <mergeCell ref="I1:I3"/>
    <mergeCell ref="B5:E5"/>
    <mergeCell ref="B7:C7"/>
    <mergeCell ref="D7:I7"/>
    <mergeCell ref="Y29:Z29"/>
    <mergeCell ref="B9:D9"/>
    <mergeCell ref="B10:I12"/>
    <mergeCell ref="B14:I17"/>
    <mergeCell ref="B13:D13"/>
    <mergeCell ref="B8:C8"/>
    <mergeCell ref="T19:V19"/>
    <mergeCell ref="V27:X27"/>
    <mergeCell ref="B20:C20"/>
    <mergeCell ref="B21:D21"/>
    <mergeCell ref="B19:C19"/>
    <mergeCell ref="D19:I19"/>
    <mergeCell ref="B26:I29"/>
    <mergeCell ref="W20:AA20"/>
    <mergeCell ref="K5:N5"/>
    <mergeCell ref="V14:X14"/>
    <mergeCell ref="V15:X15"/>
    <mergeCell ref="K7:R24"/>
    <mergeCell ref="B57:I57"/>
    <mergeCell ref="K57:R57"/>
    <mergeCell ref="T57:AA57"/>
    <mergeCell ref="T53:U53"/>
    <mergeCell ref="V53:X53"/>
    <mergeCell ref="Y53:Z53"/>
    <mergeCell ref="K52:R55"/>
    <mergeCell ref="K38:O38"/>
    <mergeCell ref="K43:O43"/>
    <mergeCell ref="W43:AA43"/>
    <mergeCell ref="T41:U41"/>
    <mergeCell ref="V41:X41"/>
    <mergeCell ref="Y41:Z41"/>
    <mergeCell ref="B45:D45"/>
    <mergeCell ref="V38:X38"/>
    <mergeCell ref="Y38:Z38"/>
    <mergeCell ref="T39:U39"/>
    <mergeCell ref="V39:X39"/>
    <mergeCell ref="Y39:Z39"/>
    <mergeCell ref="K40:R41"/>
    <mergeCell ref="T40:U40"/>
    <mergeCell ref="V40:X40"/>
    <mergeCell ref="Y40:Z40"/>
    <mergeCell ref="W44:AA44"/>
  </mergeCells>
  <phoneticPr fontId="2" type="noConversion"/>
  <pageMargins left="0.59055118110236227" right="0.59055118110236227" top="0.39370078740157483" bottom="0.39370078740157483" header="0" footer="0"/>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indexed="46"/>
  </sheetPr>
  <dimension ref="B1:S61"/>
  <sheetViews>
    <sheetView showGridLines="0" zoomScale="85" zoomScaleNormal="85" workbookViewId="0">
      <selection activeCell="R17" sqref="R17"/>
    </sheetView>
  </sheetViews>
  <sheetFormatPr defaultColWidth="11.42578125" defaultRowHeight="13.15"/>
  <cols>
    <col min="1" max="2" width="4.7109375" customWidth="1"/>
    <col min="10" max="11" width="4.7109375" customWidth="1"/>
  </cols>
  <sheetData>
    <row r="1" spans="2:19" ht="18" customHeight="1">
      <c r="B1" s="87"/>
      <c r="C1" s="8"/>
      <c r="D1" s="8"/>
      <c r="I1" s="173"/>
      <c r="K1" s="87"/>
      <c r="L1" s="8"/>
      <c r="M1" s="8"/>
      <c r="R1" s="173"/>
    </row>
    <row r="2" spans="2:19" ht="12.75" customHeight="1">
      <c r="I2" s="173"/>
      <c r="R2" s="173"/>
    </row>
    <row r="3" spans="2:19" ht="18.75" customHeight="1">
      <c r="B3" s="87"/>
      <c r="C3" s="87"/>
      <c r="D3" s="87"/>
      <c r="E3" s="87"/>
      <c r="I3" s="173"/>
      <c r="K3" s="87"/>
      <c r="L3" s="87"/>
      <c r="M3" s="87"/>
      <c r="N3" s="87"/>
      <c r="P3" s="6"/>
      <c r="R3" s="173"/>
    </row>
    <row r="5" spans="2:19">
      <c r="B5" s="170"/>
      <c r="C5" s="170"/>
      <c r="D5" s="170"/>
      <c r="E5" s="170"/>
      <c r="K5" s="170"/>
      <c r="L5" s="170"/>
      <c r="M5" s="170"/>
      <c r="N5" s="85"/>
    </row>
    <row r="7" spans="2:19">
      <c r="B7" s="199" t="s">
        <v>168</v>
      </c>
      <c r="C7" s="199"/>
      <c r="D7" s="199"/>
      <c r="E7" s="199"/>
      <c r="F7" s="199"/>
      <c r="G7" s="199"/>
      <c r="H7" s="199"/>
      <c r="I7" s="199"/>
      <c r="K7" s="223" t="s">
        <v>169</v>
      </c>
      <c r="L7" s="223"/>
      <c r="M7" s="223"/>
      <c r="N7" s="45"/>
      <c r="O7" s="45"/>
      <c r="P7" s="45"/>
      <c r="Q7" s="45"/>
      <c r="R7" s="45"/>
    </row>
    <row r="8" spans="2:19">
      <c r="B8" s="199"/>
      <c r="C8" s="199"/>
      <c r="D8" s="199"/>
      <c r="E8" s="199"/>
      <c r="F8" s="199"/>
      <c r="G8" s="199"/>
      <c r="H8" s="199"/>
      <c r="I8" s="199"/>
      <c r="K8" s="45"/>
      <c r="L8" s="45"/>
      <c r="M8" s="45"/>
      <c r="N8" s="45"/>
      <c r="O8" s="45"/>
      <c r="P8" s="45"/>
      <c r="Q8" s="45"/>
      <c r="R8" s="45"/>
    </row>
    <row r="9" spans="2:19">
      <c r="B9" s="45"/>
      <c r="C9" s="45"/>
      <c r="D9" s="45"/>
      <c r="E9" s="45"/>
      <c r="F9" s="45"/>
      <c r="G9" s="45"/>
      <c r="H9" s="45"/>
      <c r="I9" s="45"/>
      <c r="K9" s="45"/>
      <c r="L9" s="45"/>
      <c r="P9" s="222" t="s">
        <v>170</v>
      </c>
      <c r="Q9" s="222"/>
      <c r="R9" s="106" t="s">
        <v>77</v>
      </c>
      <c r="S9" s="96"/>
    </row>
    <row r="10" spans="2:19">
      <c r="B10" s="170"/>
      <c r="C10" s="170"/>
      <c r="D10" s="170"/>
      <c r="E10" s="170"/>
      <c r="G10" s="45"/>
      <c r="H10" s="45"/>
      <c r="I10" s="45"/>
      <c r="K10" s="223" t="s">
        <v>171</v>
      </c>
      <c r="L10" s="223"/>
      <c r="M10" s="223"/>
      <c r="N10" s="105"/>
      <c r="O10" s="105"/>
      <c r="P10" s="208" t="s">
        <v>101</v>
      </c>
      <c r="Q10" s="208"/>
      <c r="R10" s="103">
        <v>150</v>
      </c>
    </row>
    <row r="11" spans="2:19">
      <c r="B11" s="45"/>
      <c r="C11" s="45"/>
      <c r="D11" s="45"/>
      <c r="E11" s="45"/>
      <c r="F11" s="45"/>
      <c r="G11" s="45"/>
      <c r="H11" s="45"/>
      <c r="I11" s="45"/>
      <c r="K11" s="223" t="s">
        <v>172</v>
      </c>
      <c r="L11" s="223"/>
      <c r="M11" s="223"/>
      <c r="N11" s="105"/>
      <c r="O11" s="105"/>
      <c r="P11" s="208">
        <f>---P12---R11</f>
        <v>0</v>
      </c>
      <c r="Q11" s="208"/>
      <c r="R11" s="103">
        <v>0</v>
      </c>
    </row>
    <row r="12" spans="2:19" ht="12.75" customHeight="1">
      <c r="B12" s="199" t="s">
        <v>173</v>
      </c>
      <c r="C12" s="199"/>
      <c r="D12" s="199"/>
      <c r="E12" s="199"/>
      <c r="F12" s="199"/>
      <c r="G12" s="199"/>
      <c r="H12" s="199"/>
      <c r="I12" s="199"/>
      <c r="K12" s="223" t="s">
        <v>174</v>
      </c>
      <c r="L12" s="223"/>
      <c r="M12" s="223"/>
      <c r="N12" s="105"/>
      <c r="O12" s="105"/>
      <c r="P12" s="208">
        <v>0</v>
      </c>
      <c r="Q12" s="208"/>
      <c r="R12" s="103">
        <v>0</v>
      </c>
    </row>
    <row r="13" spans="2:19">
      <c r="B13" s="199"/>
      <c r="C13" s="199"/>
      <c r="D13" s="199"/>
      <c r="E13" s="199"/>
      <c r="F13" s="199"/>
      <c r="G13" s="199"/>
      <c r="H13" s="199"/>
      <c r="I13" s="199"/>
      <c r="K13" s="45"/>
      <c r="L13" s="45"/>
      <c r="M13" s="45"/>
      <c r="N13" s="45"/>
      <c r="O13" s="45"/>
      <c r="P13" s="45"/>
      <c r="Q13" s="45"/>
      <c r="R13" s="45"/>
    </row>
    <row r="14" spans="2:19">
      <c r="B14" s="45"/>
      <c r="C14" s="45"/>
      <c r="D14" s="45"/>
      <c r="E14" s="45"/>
      <c r="F14" s="45"/>
      <c r="G14" s="45"/>
      <c r="H14" s="45"/>
      <c r="I14" s="45"/>
      <c r="K14" s="223" t="s">
        <v>175</v>
      </c>
      <c r="L14" s="223"/>
      <c r="M14" s="223"/>
      <c r="N14" s="45"/>
      <c r="O14" s="45"/>
      <c r="P14" s="45"/>
      <c r="Q14" s="45"/>
      <c r="R14" s="45"/>
    </row>
    <row r="15" spans="2:19">
      <c r="B15" s="170"/>
      <c r="C15" s="170"/>
      <c r="D15" s="170"/>
      <c r="E15" s="170"/>
      <c r="F15" s="45"/>
      <c r="G15" s="45"/>
      <c r="I15" s="45"/>
      <c r="K15" s="45"/>
      <c r="L15" s="45"/>
      <c r="M15" s="45"/>
      <c r="N15" s="45"/>
      <c r="O15" s="45"/>
      <c r="P15" s="45"/>
      <c r="Q15" s="45"/>
      <c r="R15" s="45"/>
    </row>
    <row r="16" spans="2:19">
      <c r="B16" s="45"/>
      <c r="C16" s="45"/>
      <c r="D16" s="45"/>
      <c r="E16" s="45"/>
      <c r="F16" s="45"/>
      <c r="G16" s="45"/>
      <c r="H16" s="45"/>
      <c r="I16" s="45"/>
      <c r="K16" s="45"/>
      <c r="L16" s="45"/>
      <c r="P16" s="222" t="s">
        <v>170</v>
      </c>
      <c r="Q16" s="222"/>
      <c r="R16" s="106" t="s">
        <v>77</v>
      </c>
    </row>
    <row r="17" spans="2:18" ht="12.75" customHeight="1">
      <c r="B17" s="199" t="s">
        <v>176</v>
      </c>
      <c r="C17" s="199"/>
      <c r="D17" s="199"/>
      <c r="E17" s="199"/>
      <c r="F17" s="199"/>
      <c r="G17" s="199"/>
      <c r="H17" s="199"/>
      <c r="I17" s="199"/>
      <c r="K17" s="223" t="s">
        <v>177</v>
      </c>
      <c r="L17" s="223"/>
      <c r="M17" s="223"/>
      <c r="N17" s="223"/>
      <c r="O17" s="223"/>
      <c r="P17" s="208" t="s">
        <v>66</v>
      </c>
      <c r="Q17" s="208"/>
      <c r="R17" s="103">
        <v>0</v>
      </c>
    </row>
    <row r="18" spans="2:18">
      <c r="B18" s="199"/>
      <c r="C18" s="199"/>
      <c r="D18" s="199"/>
      <c r="E18" s="199"/>
      <c r="F18" s="199"/>
      <c r="G18" s="199"/>
      <c r="H18" s="199"/>
      <c r="I18" s="199"/>
      <c r="K18" s="223" t="s">
        <v>178</v>
      </c>
      <c r="L18" s="223"/>
      <c r="M18" s="223"/>
      <c r="N18" s="223"/>
      <c r="O18" s="223"/>
      <c r="P18" s="208" t="s">
        <v>66</v>
      </c>
      <c r="Q18" s="208"/>
      <c r="R18" s="103">
        <v>0</v>
      </c>
    </row>
    <row r="19" spans="2:18">
      <c r="B19" s="45"/>
      <c r="C19" s="45"/>
      <c r="D19" s="45"/>
      <c r="E19" s="45"/>
      <c r="F19" s="45"/>
      <c r="G19" s="45"/>
      <c r="H19" s="45"/>
      <c r="I19" s="45"/>
      <c r="K19" s="223" t="s">
        <v>179</v>
      </c>
      <c r="L19" s="223"/>
      <c r="M19" s="223"/>
      <c r="N19" s="223"/>
      <c r="O19" s="223"/>
      <c r="P19" s="208" t="s">
        <v>66</v>
      </c>
      <c r="Q19" s="208"/>
      <c r="R19" s="103">
        <v>0</v>
      </c>
    </row>
    <row r="20" spans="2:18">
      <c r="B20" s="170"/>
      <c r="C20" s="170"/>
      <c r="D20" s="170"/>
      <c r="E20" s="170"/>
      <c r="F20" s="45"/>
      <c r="H20" s="45"/>
      <c r="I20" s="45"/>
      <c r="K20" s="96"/>
      <c r="L20" s="96"/>
      <c r="M20" s="96"/>
      <c r="N20" s="96"/>
      <c r="O20" s="45"/>
      <c r="P20" s="45"/>
      <c r="Q20" s="45"/>
      <c r="R20" s="45"/>
    </row>
    <row r="21" spans="2:18">
      <c r="B21" s="45"/>
      <c r="C21" s="45"/>
      <c r="D21" s="45"/>
      <c r="E21" s="45"/>
      <c r="F21" s="45"/>
      <c r="G21" s="45"/>
      <c r="H21" s="45"/>
      <c r="I21" s="45"/>
      <c r="K21" s="223" t="s">
        <v>180</v>
      </c>
      <c r="L21" s="223"/>
      <c r="M21" s="223"/>
      <c r="N21" s="45"/>
      <c r="O21" s="45"/>
      <c r="P21" s="45"/>
      <c r="Q21" s="45"/>
      <c r="R21" s="45"/>
    </row>
    <row r="22" spans="2:18" ht="12.75" customHeight="1">
      <c r="B22" s="199" t="s">
        <v>181</v>
      </c>
      <c r="C22" s="199"/>
      <c r="D22" s="199"/>
      <c r="E22" s="199"/>
      <c r="F22" s="199"/>
      <c r="G22" s="199"/>
      <c r="H22" s="199"/>
      <c r="I22" s="199"/>
      <c r="K22" s="45"/>
      <c r="L22" s="45"/>
      <c r="M22" s="45"/>
      <c r="N22" s="45"/>
      <c r="O22" s="45"/>
      <c r="P22" s="45"/>
      <c r="Q22" s="45"/>
      <c r="R22" s="45"/>
    </row>
    <row r="23" spans="2:18">
      <c r="B23" s="199"/>
      <c r="C23" s="199"/>
      <c r="D23" s="199"/>
      <c r="E23" s="199"/>
      <c r="F23" s="199"/>
      <c r="G23" s="199"/>
      <c r="H23" s="199"/>
      <c r="I23" s="199"/>
      <c r="K23" s="45"/>
      <c r="L23" s="45"/>
      <c r="M23" s="45"/>
      <c r="N23" s="222" t="s">
        <v>182</v>
      </c>
      <c r="O23" s="222"/>
      <c r="P23" s="106" t="s">
        <v>77</v>
      </c>
      <c r="Q23" s="106" t="s">
        <v>183</v>
      </c>
      <c r="R23" s="106" t="s">
        <v>184</v>
      </c>
    </row>
    <row r="24" spans="2:18">
      <c r="B24" s="45"/>
      <c r="C24" s="45"/>
      <c r="D24" s="45"/>
      <c r="E24" s="45"/>
      <c r="F24" s="45"/>
      <c r="H24" s="45"/>
      <c r="I24" s="45"/>
      <c r="K24" s="223" t="s">
        <v>185</v>
      </c>
      <c r="L24" s="223"/>
      <c r="M24" s="223"/>
      <c r="N24" s="208" t="s">
        <v>186</v>
      </c>
      <c r="O24" s="208"/>
      <c r="P24" s="103">
        <v>100</v>
      </c>
      <c r="Q24" s="108" t="s">
        <v>88</v>
      </c>
      <c r="R24" s="103">
        <v>1200</v>
      </c>
    </row>
    <row r="25" spans="2:18">
      <c r="B25" s="170" t="s">
        <v>187</v>
      </c>
      <c r="C25" s="170"/>
      <c r="D25" s="170"/>
      <c r="E25" s="170"/>
      <c r="F25" s="97"/>
      <c r="G25" s="97"/>
      <c r="H25" s="97"/>
      <c r="I25" s="97"/>
      <c r="K25" s="223" t="s">
        <v>188</v>
      </c>
      <c r="L25" s="223"/>
      <c r="M25" s="223"/>
      <c r="N25" s="208" t="s">
        <v>186</v>
      </c>
      <c r="O25" s="208"/>
      <c r="P25" s="103">
        <v>100</v>
      </c>
      <c r="Q25" s="86" t="s">
        <v>88</v>
      </c>
      <c r="R25" s="103">
        <v>1200</v>
      </c>
    </row>
    <row r="26" spans="2:18">
      <c r="B26" s="97"/>
      <c r="C26" s="97"/>
      <c r="D26" s="97"/>
      <c r="E26" s="97"/>
      <c r="F26" s="97"/>
      <c r="G26" s="97"/>
      <c r="H26" s="97"/>
      <c r="I26" s="97"/>
      <c r="K26" s="223" t="s">
        <v>189</v>
      </c>
      <c r="L26" s="223"/>
      <c r="M26" s="223"/>
      <c r="N26" s="208" t="s">
        <v>190</v>
      </c>
      <c r="O26" s="208"/>
      <c r="P26" s="103">
        <v>100</v>
      </c>
      <c r="Q26" s="86" t="s">
        <v>88</v>
      </c>
      <c r="R26" s="103">
        <v>1200</v>
      </c>
    </row>
    <row r="27" spans="2:18" ht="12.75" customHeight="1">
      <c r="B27" s="199" t="s">
        <v>191</v>
      </c>
      <c r="C27" s="199"/>
      <c r="D27" s="199"/>
      <c r="E27" s="199"/>
      <c r="F27" s="199"/>
      <c r="G27" s="199"/>
      <c r="H27" s="199"/>
      <c r="I27" s="199"/>
      <c r="K27" s="223" t="s">
        <v>192</v>
      </c>
      <c r="L27" s="223"/>
      <c r="M27" s="223"/>
      <c r="N27" s="208" t="s">
        <v>193</v>
      </c>
      <c r="O27" s="208"/>
      <c r="P27" s="103">
        <v>100</v>
      </c>
      <c r="Q27" s="86" t="s">
        <v>88</v>
      </c>
      <c r="R27" s="103">
        <v>1200</v>
      </c>
    </row>
    <row r="28" spans="2:18">
      <c r="B28" s="199"/>
      <c r="C28" s="199"/>
      <c r="D28" s="199"/>
      <c r="E28" s="199"/>
      <c r="F28" s="199"/>
      <c r="G28" s="199"/>
      <c r="H28" s="199"/>
      <c r="I28" s="199"/>
      <c r="K28" s="223" t="s">
        <v>194</v>
      </c>
      <c r="L28" s="223"/>
      <c r="M28" s="223"/>
      <c r="N28" s="208" t="s">
        <v>126</v>
      </c>
      <c r="O28" s="208"/>
      <c r="P28" s="86" t="s">
        <v>126</v>
      </c>
      <c r="Q28" s="86" t="s">
        <v>126</v>
      </c>
      <c r="R28" s="86" t="s">
        <v>126</v>
      </c>
    </row>
    <row r="29" spans="2:18">
      <c r="B29" s="97"/>
      <c r="C29" s="97"/>
      <c r="D29" s="97"/>
      <c r="E29" s="97"/>
      <c r="F29" s="97"/>
      <c r="G29" s="97"/>
      <c r="H29" s="97"/>
      <c r="I29" s="97"/>
      <c r="K29" s="223" t="s">
        <v>195</v>
      </c>
      <c r="L29" s="223"/>
      <c r="M29" s="223"/>
      <c r="N29" s="97"/>
      <c r="O29" s="97"/>
      <c r="P29" s="97"/>
      <c r="Q29" s="97"/>
      <c r="R29" s="97"/>
    </row>
    <row r="30" spans="2:18">
      <c r="B30" s="170"/>
      <c r="C30" s="170"/>
      <c r="D30" s="170"/>
      <c r="E30" s="170"/>
      <c r="F30" s="45"/>
      <c r="H30" s="45"/>
      <c r="I30" s="45"/>
      <c r="K30" s="45"/>
      <c r="L30" s="223" t="s">
        <v>196</v>
      </c>
      <c r="M30" s="223"/>
      <c r="N30" s="223"/>
      <c r="O30" s="224"/>
      <c r="P30" s="92" t="s">
        <v>126</v>
      </c>
      <c r="Q30" s="92" t="s">
        <v>126</v>
      </c>
      <c r="R30" s="92" t="s">
        <v>126</v>
      </c>
    </row>
    <row r="31" spans="2:18">
      <c r="B31" s="45"/>
      <c r="C31" s="45"/>
      <c r="D31" s="102"/>
      <c r="E31" s="102"/>
      <c r="F31" s="102"/>
      <c r="G31" s="102"/>
      <c r="H31" s="102"/>
      <c r="I31" s="102"/>
      <c r="K31" s="45"/>
      <c r="L31" s="223" t="s">
        <v>197</v>
      </c>
      <c r="M31" s="223"/>
      <c r="N31" s="223"/>
      <c r="O31" s="224"/>
      <c r="P31" s="103">
        <v>100</v>
      </c>
      <c r="Q31" s="92" t="s">
        <v>198</v>
      </c>
      <c r="R31" s="103">
        <v>1200</v>
      </c>
    </row>
    <row r="32" spans="2:18" ht="12.75" customHeight="1">
      <c r="B32" s="199" t="s">
        <v>199</v>
      </c>
      <c r="C32" s="199"/>
      <c r="D32" s="199"/>
      <c r="E32" s="199"/>
      <c r="F32" s="199"/>
      <c r="G32" s="199"/>
      <c r="H32" s="199"/>
      <c r="I32" s="199"/>
      <c r="K32" s="45"/>
      <c r="L32" s="223" t="s">
        <v>200</v>
      </c>
      <c r="M32" s="223"/>
      <c r="N32" s="223"/>
      <c r="O32" s="224"/>
      <c r="P32" s="103" t="s">
        <v>126</v>
      </c>
      <c r="Q32" s="92" t="s">
        <v>126</v>
      </c>
      <c r="R32" s="92" t="s">
        <v>126</v>
      </c>
    </row>
    <row r="33" spans="2:18">
      <c r="B33" s="199"/>
      <c r="C33" s="199"/>
      <c r="D33" s="199"/>
      <c r="E33" s="199"/>
      <c r="F33" s="199"/>
      <c r="G33" s="199"/>
      <c r="H33" s="199"/>
      <c r="I33" s="199"/>
      <c r="K33" s="45"/>
      <c r="L33" s="45"/>
      <c r="M33" s="45"/>
      <c r="N33" s="45"/>
      <c r="O33" s="45"/>
      <c r="P33" s="107"/>
      <c r="Q33" s="45"/>
      <c r="R33" s="45"/>
    </row>
    <row r="34" spans="2:18">
      <c r="B34" s="45"/>
      <c r="C34" s="45"/>
      <c r="D34" s="45"/>
      <c r="E34" s="97"/>
      <c r="F34" s="97"/>
      <c r="G34" s="97"/>
      <c r="H34" s="97"/>
      <c r="I34" s="97"/>
      <c r="K34" s="45"/>
      <c r="L34" s="45"/>
      <c r="M34" s="45"/>
      <c r="N34" s="97"/>
      <c r="O34" s="97"/>
      <c r="P34" s="107"/>
      <c r="Q34" s="97"/>
      <c r="R34" s="97"/>
    </row>
    <row r="35" spans="2:18">
      <c r="B35" s="170"/>
      <c r="C35" s="170"/>
      <c r="D35" s="170"/>
      <c r="E35" s="170"/>
      <c r="F35" s="97"/>
      <c r="H35" s="97"/>
      <c r="I35" s="97"/>
      <c r="K35" s="96"/>
      <c r="L35" s="96"/>
      <c r="M35" s="96"/>
      <c r="N35" s="96"/>
      <c r="O35" s="97"/>
      <c r="P35" s="97"/>
      <c r="Q35" s="97"/>
      <c r="R35" s="97"/>
    </row>
    <row r="36" spans="2:18">
      <c r="B36" s="97"/>
      <c r="C36" s="97"/>
      <c r="D36" s="97"/>
      <c r="E36" s="97"/>
      <c r="F36" s="97"/>
      <c r="G36" s="97"/>
      <c r="H36" s="97"/>
      <c r="I36" s="97"/>
      <c r="K36" s="97"/>
      <c r="L36" s="97"/>
      <c r="M36" s="97"/>
      <c r="N36" s="97"/>
      <c r="O36" s="97"/>
      <c r="P36" s="97"/>
      <c r="Q36" s="97"/>
      <c r="R36" s="97"/>
    </row>
    <row r="37" spans="2:18" ht="12.75" customHeight="1">
      <c r="B37" s="199" t="s">
        <v>201</v>
      </c>
      <c r="C37" s="199"/>
      <c r="D37" s="199"/>
      <c r="E37" s="199"/>
      <c r="F37" s="199"/>
      <c r="G37" s="199"/>
      <c r="H37" s="199"/>
      <c r="I37" s="199"/>
      <c r="K37" s="97"/>
      <c r="L37" s="97"/>
      <c r="M37" s="97"/>
      <c r="N37" s="97"/>
      <c r="O37" s="97"/>
      <c r="P37" s="97"/>
      <c r="Q37" s="97"/>
      <c r="R37" s="97"/>
    </row>
    <row r="38" spans="2:18">
      <c r="B38" s="199"/>
      <c r="C38" s="199"/>
      <c r="D38" s="199"/>
      <c r="E38" s="199"/>
      <c r="F38" s="199"/>
      <c r="G38" s="199"/>
      <c r="H38" s="199"/>
      <c r="I38" s="199"/>
      <c r="K38" s="97"/>
      <c r="L38" s="97"/>
      <c r="M38" s="97"/>
      <c r="N38" s="97"/>
      <c r="O38" s="97"/>
      <c r="P38" s="97"/>
      <c r="Q38" s="97"/>
      <c r="R38" s="97"/>
    </row>
    <row r="39" spans="2:18">
      <c r="B39" s="97"/>
      <c r="C39" s="97"/>
      <c r="D39" s="97"/>
      <c r="E39" s="97"/>
      <c r="F39" s="97"/>
      <c r="G39" s="97"/>
      <c r="H39" s="97"/>
      <c r="I39" s="97"/>
      <c r="K39" s="97"/>
      <c r="L39" s="97"/>
      <c r="M39" s="97"/>
      <c r="N39" s="97"/>
      <c r="O39" s="97"/>
      <c r="P39" s="97"/>
      <c r="Q39" s="97"/>
      <c r="R39" s="97"/>
    </row>
    <row r="40" spans="2:18">
      <c r="B40" s="170"/>
      <c r="C40" s="170"/>
      <c r="D40" s="170"/>
      <c r="E40" s="170"/>
      <c r="F40" s="45"/>
      <c r="G40" s="45"/>
      <c r="H40" s="45"/>
      <c r="I40" s="45"/>
      <c r="K40" s="96"/>
      <c r="L40" s="96"/>
      <c r="M40" s="96"/>
      <c r="N40" s="96"/>
      <c r="O40" s="45"/>
      <c r="P40" s="45"/>
      <c r="Q40" s="45"/>
      <c r="R40" s="45"/>
    </row>
    <row r="41" spans="2:18">
      <c r="B41" s="45"/>
      <c r="C41" s="45"/>
      <c r="D41" s="102"/>
      <c r="E41" s="102"/>
      <c r="G41" s="102"/>
      <c r="H41" s="102"/>
      <c r="I41" s="102"/>
      <c r="K41" s="45"/>
      <c r="L41" s="45"/>
      <c r="M41" s="102"/>
      <c r="N41" s="102"/>
      <c r="O41" s="102"/>
      <c r="P41" s="102"/>
      <c r="Q41" s="102"/>
      <c r="R41" s="102"/>
    </row>
    <row r="42" spans="2:18" ht="12.75" customHeight="1">
      <c r="B42" s="199" t="s">
        <v>202</v>
      </c>
      <c r="C42" s="199"/>
      <c r="D42" s="199"/>
      <c r="E42" s="199"/>
      <c r="F42" s="199"/>
      <c r="G42" s="199"/>
      <c r="H42" s="199"/>
      <c r="I42" s="199"/>
      <c r="K42" s="45"/>
      <c r="L42" s="45"/>
      <c r="M42" s="45"/>
      <c r="N42" s="45"/>
      <c r="O42" s="45"/>
      <c r="P42" s="45"/>
      <c r="Q42" s="45"/>
      <c r="R42" s="45"/>
    </row>
    <row r="43" spans="2:18">
      <c r="B43" s="199"/>
      <c r="C43" s="199"/>
      <c r="D43" s="199"/>
      <c r="E43" s="199"/>
      <c r="F43" s="199"/>
      <c r="G43" s="199"/>
      <c r="H43" s="199"/>
      <c r="I43" s="199"/>
      <c r="K43" s="45"/>
      <c r="L43" s="45"/>
      <c r="M43" s="45"/>
      <c r="N43" s="45"/>
      <c r="O43" s="45"/>
      <c r="P43" s="45"/>
      <c r="Q43" s="45"/>
      <c r="R43" s="45"/>
    </row>
    <row r="44" spans="2:18">
      <c r="B44" s="45"/>
      <c r="C44" s="45"/>
      <c r="D44" s="45"/>
      <c r="E44" s="97"/>
      <c r="F44" s="97"/>
      <c r="G44" s="97"/>
      <c r="H44" s="97"/>
      <c r="I44" s="97"/>
      <c r="K44" s="45"/>
      <c r="L44" s="45"/>
      <c r="M44" s="45"/>
      <c r="N44" s="97"/>
      <c r="O44" s="97"/>
      <c r="P44" s="97"/>
      <c r="Q44" s="97"/>
      <c r="R44" s="97"/>
    </row>
    <row r="45" spans="2:18">
      <c r="B45" s="170"/>
      <c r="C45" s="170"/>
      <c r="D45" s="170"/>
      <c r="E45" s="170"/>
      <c r="F45" s="97"/>
      <c r="H45" s="97"/>
      <c r="I45" s="97"/>
      <c r="K45" s="96"/>
      <c r="L45" s="96"/>
      <c r="M45" s="96"/>
      <c r="N45" s="96"/>
      <c r="O45" s="97"/>
      <c r="P45" s="97"/>
      <c r="Q45" s="97"/>
      <c r="R45" s="97"/>
    </row>
    <row r="46" spans="2:18">
      <c r="B46" s="97"/>
      <c r="C46" s="97"/>
      <c r="D46" s="97"/>
      <c r="E46" s="97"/>
      <c r="F46" s="97"/>
      <c r="G46" s="97"/>
      <c r="H46" s="97"/>
      <c r="I46" s="97"/>
      <c r="K46" s="97"/>
      <c r="L46" s="97"/>
      <c r="M46" s="97"/>
      <c r="N46" s="97"/>
      <c r="O46" s="97"/>
      <c r="P46" s="97"/>
      <c r="Q46" s="97"/>
      <c r="R46" s="97"/>
    </row>
    <row r="47" spans="2:18" ht="12.75" customHeight="1">
      <c r="B47" s="199" t="s">
        <v>203</v>
      </c>
      <c r="C47" s="199"/>
      <c r="D47" s="199"/>
      <c r="E47" s="199"/>
      <c r="F47" s="199"/>
      <c r="G47" s="199"/>
      <c r="H47" s="199"/>
      <c r="I47" s="199"/>
      <c r="K47" s="97"/>
      <c r="L47" s="97"/>
      <c r="M47" s="97"/>
      <c r="N47" s="97"/>
      <c r="O47" s="97"/>
      <c r="P47" s="97"/>
      <c r="Q47" s="97"/>
      <c r="R47" s="97"/>
    </row>
    <row r="48" spans="2:18">
      <c r="B48" s="199"/>
      <c r="C48" s="199"/>
      <c r="D48" s="199"/>
      <c r="E48" s="199"/>
      <c r="F48" s="199"/>
      <c r="G48" s="199"/>
      <c r="H48" s="199"/>
      <c r="I48" s="199"/>
      <c r="K48" s="97"/>
      <c r="L48" s="97"/>
      <c r="M48" s="97"/>
      <c r="N48" s="97"/>
      <c r="O48" s="97"/>
      <c r="P48" s="97"/>
      <c r="Q48" s="97"/>
      <c r="R48" s="97"/>
    </row>
    <row r="49" spans="2:18">
      <c r="B49" s="97"/>
      <c r="C49" s="97"/>
      <c r="D49" s="97"/>
      <c r="E49" s="97"/>
      <c r="F49" s="97"/>
      <c r="G49" s="97"/>
      <c r="H49" s="97"/>
      <c r="I49" s="97"/>
      <c r="K49" s="97"/>
      <c r="L49" s="97"/>
      <c r="M49" s="97"/>
      <c r="N49" s="97"/>
      <c r="O49" s="97"/>
      <c r="P49" s="97"/>
      <c r="Q49" s="97"/>
      <c r="R49" s="97"/>
    </row>
    <row r="50" spans="2:18">
      <c r="B50" s="170"/>
      <c r="C50" s="170"/>
      <c r="D50" s="170"/>
      <c r="E50" s="170"/>
      <c r="G50" s="97"/>
      <c r="H50" s="97"/>
      <c r="I50" s="97"/>
      <c r="K50" s="96"/>
      <c r="L50" s="96"/>
      <c r="M50" s="96"/>
      <c r="N50" s="96"/>
      <c r="O50" s="97"/>
      <c r="P50" s="97"/>
      <c r="Q50" s="97"/>
      <c r="R50" s="97"/>
    </row>
    <row r="51" spans="2:18">
      <c r="B51" s="97"/>
      <c r="C51" s="97"/>
      <c r="D51" s="97"/>
      <c r="E51" s="97"/>
      <c r="F51" s="97"/>
      <c r="G51" s="97"/>
      <c r="H51" s="97"/>
      <c r="I51" s="97"/>
      <c r="K51" s="97"/>
      <c r="L51" s="97"/>
      <c r="M51" s="97"/>
      <c r="N51" s="97"/>
      <c r="O51" s="97"/>
      <c r="P51" s="97"/>
      <c r="Q51" s="97"/>
      <c r="R51" s="97"/>
    </row>
    <row r="52" spans="2:18" ht="12.75" customHeight="1">
      <c r="B52" s="199" t="s">
        <v>204</v>
      </c>
      <c r="C52" s="199"/>
      <c r="D52" s="199"/>
      <c r="E52" s="199"/>
      <c r="F52" s="199"/>
      <c r="G52" s="199"/>
      <c r="H52" s="199"/>
      <c r="I52" s="199"/>
      <c r="K52" s="97"/>
      <c r="L52" s="97"/>
      <c r="M52" s="97"/>
      <c r="N52" s="97"/>
      <c r="O52" s="97"/>
      <c r="P52" s="97"/>
      <c r="Q52" s="97"/>
      <c r="R52" s="97"/>
    </row>
    <row r="53" spans="2:18">
      <c r="B53" s="199"/>
      <c r="C53" s="199"/>
      <c r="D53" s="199"/>
      <c r="E53" s="199"/>
      <c r="F53" s="199"/>
      <c r="G53" s="199"/>
      <c r="H53" s="199"/>
      <c r="I53" s="199"/>
      <c r="K53" s="97"/>
      <c r="L53" s="97"/>
      <c r="M53" s="97"/>
      <c r="N53" s="97"/>
      <c r="O53" s="97"/>
      <c r="P53" s="97"/>
      <c r="Q53" s="97"/>
      <c r="R53" s="97"/>
    </row>
    <row r="57" spans="2:18">
      <c r="B57" s="166"/>
      <c r="C57" s="166"/>
      <c r="D57" s="166"/>
      <c r="E57" s="166"/>
      <c r="F57" s="166"/>
      <c r="G57" s="166"/>
      <c r="H57" s="166"/>
      <c r="I57" s="166"/>
      <c r="K57" s="166"/>
      <c r="L57" s="166"/>
      <c r="M57" s="166"/>
      <c r="N57" s="166"/>
      <c r="O57" s="166"/>
      <c r="P57" s="166"/>
      <c r="Q57" s="166"/>
      <c r="R57" s="166"/>
    </row>
    <row r="59" spans="2:18" ht="17.45">
      <c r="B59" s="72"/>
      <c r="K59" s="72"/>
    </row>
    <row r="61" spans="2:18" ht="2.65" customHeight="1"/>
  </sheetData>
  <sheetProtection password="F817" sheet="1" objects="1" scenarios="1" selectLockedCells="1"/>
  <mergeCells count="60">
    <mergeCell ref="B50:E50"/>
    <mergeCell ref="B52:I53"/>
    <mergeCell ref="B30:E30"/>
    <mergeCell ref="N23:O23"/>
    <mergeCell ref="B45:E45"/>
    <mergeCell ref="B27:I28"/>
    <mergeCell ref="K29:M29"/>
    <mergeCell ref="N27:O27"/>
    <mergeCell ref="N25:O25"/>
    <mergeCell ref="N26:O26"/>
    <mergeCell ref="N28:O28"/>
    <mergeCell ref="K27:M27"/>
    <mergeCell ref="K28:M28"/>
    <mergeCell ref="K26:M26"/>
    <mergeCell ref="P16:Q16"/>
    <mergeCell ref="K19:M19"/>
    <mergeCell ref="N19:O19"/>
    <mergeCell ref="P17:Q17"/>
    <mergeCell ref="P18:Q18"/>
    <mergeCell ref="P19:Q19"/>
    <mergeCell ref="N17:O17"/>
    <mergeCell ref="K17:M17"/>
    <mergeCell ref="N18:O18"/>
    <mergeCell ref="B57:I57"/>
    <mergeCell ref="K57:R57"/>
    <mergeCell ref="K21:M21"/>
    <mergeCell ref="K24:M24"/>
    <mergeCell ref="K25:M25"/>
    <mergeCell ref="N24:O24"/>
    <mergeCell ref="L32:O32"/>
    <mergeCell ref="L31:O31"/>
    <mergeCell ref="B47:I48"/>
    <mergeCell ref="B40:E40"/>
    <mergeCell ref="B37:I38"/>
    <mergeCell ref="L30:O30"/>
    <mergeCell ref="B42:I43"/>
    <mergeCell ref="B25:E25"/>
    <mergeCell ref="B32:I33"/>
    <mergeCell ref="B35:E35"/>
    <mergeCell ref="K14:M14"/>
    <mergeCell ref="B17:I18"/>
    <mergeCell ref="B20:E20"/>
    <mergeCell ref="B22:I23"/>
    <mergeCell ref="B15:E15"/>
    <mergeCell ref="K18:M18"/>
    <mergeCell ref="R1:R3"/>
    <mergeCell ref="I1:I3"/>
    <mergeCell ref="B5:E5"/>
    <mergeCell ref="P11:Q11"/>
    <mergeCell ref="P12:Q12"/>
    <mergeCell ref="B7:I8"/>
    <mergeCell ref="B10:E10"/>
    <mergeCell ref="B12:I13"/>
    <mergeCell ref="P9:Q9"/>
    <mergeCell ref="P10:Q10"/>
    <mergeCell ref="K7:M7"/>
    <mergeCell ref="K5:M5"/>
    <mergeCell ref="K10:M10"/>
    <mergeCell ref="K11:M11"/>
    <mergeCell ref="K12:M12"/>
  </mergeCells>
  <phoneticPr fontId="2" type="noConversion"/>
  <pageMargins left="0.59055118110236227" right="0.59055118110236227" top="0.39370078740157483" bottom="0.39370078740157483" header="0" footer="0"/>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indexed="22"/>
  </sheetPr>
  <dimension ref="A1:P44"/>
  <sheetViews>
    <sheetView showGridLines="0" topLeftCell="A9" zoomScaleNormal="100" zoomScaleSheetLayoutView="100" workbookViewId="0">
      <selection activeCell="F29" sqref="F29"/>
    </sheetView>
  </sheetViews>
  <sheetFormatPr defaultColWidth="10.85546875" defaultRowHeight="13.15"/>
  <cols>
    <col min="1" max="2" width="4.7109375" style="2" customWidth="1"/>
    <col min="3" max="9" width="11.42578125" style="2" customWidth="1"/>
    <col min="10" max="16" width="11.7109375" style="2" customWidth="1"/>
    <col min="17" max="16384" width="10.85546875" style="2"/>
  </cols>
  <sheetData>
    <row r="1" spans="2:16" ht="18" customHeight="1">
      <c r="B1" s="225"/>
      <c r="C1" s="225"/>
      <c r="D1" s="225"/>
      <c r="E1" s="225"/>
      <c r="F1"/>
      <c r="G1"/>
      <c r="H1"/>
      <c r="I1" s="173"/>
      <c r="J1"/>
      <c r="K1"/>
      <c r="L1"/>
      <c r="M1"/>
      <c r="N1"/>
      <c r="O1" s="30"/>
      <c r="P1" s="30"/>
    </row>
    <row r="2" spans="2:16" ht="12.75" customHeight="1">
      <c r="B2"/>
      <c r="C2"/>
      <c r="D2"/>
      <c r="E2"/>
      <c r="F2"/>
      <c r="G2"/>
      <c r="H2"/>
      <c r="I2" s="173"/>
      <c r="J2"/>
      <c r="K2"/>
      <c r="L2"/>
      <c r="M2"/>
      <c r="N2"/>
      <c r="O2" s="30"/>
      <c r="P2" s="30"/>
    </row>
    <row r="3" spans="2:16" ht="18.75" customHeight="1">
      <c r="B3" s="88"/>
      <c r="C3" s="88"/>
      <c r="D3" s="88"/>
      <c r="E3" s="88"/>
      <c r="F3" s="88"/>
      <c r="G3"/>
      <c r="H3"/>
      <c r="I3" s="173"/>
      <c r="J3"/>
      <c r="K3"/>
      <c r="L3"/>
      <c r="M3"/>
      <c r="N3"/>
      <c r="O3" s="30"/>
      <c r="P3" s="30"/>
    </row>
    <row r="4" spans="2:16" ht="18.75" customHeight="1">
      <c r="B4" s="41"/>
      <c r="C4" s="41"/>
      <c r="D4"/>
      <c r="E4" s="41"/>
      <c r="F4" s="41"/>
      <c r="G4"/>
      <c r="H4"/>
      <c r="I4" s="18"/>
      <c r="J4"/>
      <c r="K4"/>
      <c r="L4"/>
      <c r="M4"/>
      <c r="N4"/>
      <c r="O4" s="30"/>
      <c r="P4" s="30"/>
    </row>
    <row r="5" spans="2:16" ht="42" customHeight="1">
      <c r="B5" s="41"/>
      <c r="C5" s="226"/>
      <c r="D5" s="227"/>
      <c r="E5" s="227"/>
      <c r="F5" s="227"/>
      <c r="G5" s="227"/>
      <c r="H5" s="227"/>
      <c r="I5" s="227"/>
      <c r="J5"/>
      <c r="K5"/>
      <c r="L5"/>
      <c r="M5"/>
      <c r="N5"/>
      <c r="O5" s="30"/>
      <c r="P5" s="30"/>
    </row>
    <row r="6" spans="2:16" ht="113.25" customHeight="1">
      <c r="B6"/>
      <c r="C6" s="1"/>
      <c r="D6"/>
      <c r="E6"/>
      <c r="F6"/>
      <c r="G6"/>
      <c r="H6"/>
      <c r="I6"/>
      <c r="J6"/>
      <c r="K6"/>
      <c r="L6"/>
      <c r="M6"/>
      <c r="N6"/>
      <c r="O6" s="18"/>
      <c r="P6" s="18"/>
    </row>
    <row r="7" spans="2:16" ht="12.75" customHeight="1">
      <c r="B7"/>
      <c r="C7" s="170"/>
      <c r="D7" s="228"/>
      <c r="E7" s="228"/>
      <c r="F7" s="228"/>
      <c r="G7"/>
      <c r="H7"/>
      <c r="I7"/>
      <c r="J7"/>
      <c r="K7"/>
      <c r="L7"/>
      <c r="M7"/>
      <c r="N7"/>
      <c r="O7" s="18"/>
      <c r="P7" s="18"/>
    </row>
    <row r="9" spans="2:16">
      <c r="C9" s="17" t="s">
        <v>205</v>
      </c>
      <c r="D9" s="19" t="s">
        <v>206</v>
      </c>
      <c r="E9" s="19" t="s">
        <v>207</v>
      </c>
      <c r="F9" s="19" t="s">
        <v>208</v>
      </c>
      <c r="G9" s="19" t="s">
        <v>209</v>
      </c>
      <c r="H9" s="19" t="s">
        <v>210</v>
      </c>
      <c r="I9" s="19" t="s">
        <v>211</v>
      </c>
    </row>
    <row r="10" spans="2:16">
      <c r="C10" s="17" t="s">
        <v>70</v>
      </c>
      <c r="D10" s="26">
        <f>'2. P. MARKETING'!BO25</f>
        <v>25000</v>
      </c>
      <c r="E10" s="26">
        <f>'2. P. MARKETING'!BQ25</f>
        <v>15000</v>
      </c>
      <c r="F10" s="26">
        <f>'2. P. MARKETING'!BS25</f>
        <v>12000</v>
      </c>
      <c r="G10" s="26">
        <f>'2. P. MARKETING'!BU25</f>
        <v>10000</v>
      </c>
      <c r="H10" s="26">
        <f>'2. P. MARKETING'!BW25</f>
        <v>10000</v>
      </c>
      <c r="I10" s="26">
        <f>'2. P. MARKETING'!BY25</f>
        <v>8000</v>
      </c>
    </row>
    <row r="11" spans="2:16">
      <c r="C11" s="17"/>
      <c r="D11" s="19" t="s">
        <v>212</v>
      </c>
      <c r="E11" s="19" t="s">
        <v>213</v>
      </c>
      <c r="F11" s="19" t="s">
        <v>214</v>
      </c>
      <c r="G11" s="19" t="s">
        <v>215</v>
      </c>
      <c r="H11" s="19" t="s">
        <v>216</v>
      </c>
      <c r="I11" s="19" t="s">
        <v>217</v>
      </c>
      <c r="J11" s="25"/>
      <c r="P11" s="38"/>
    </row>
    <row r="12" spans="2:16">
      <c r="C12" s="17"/>
      <c r="D12" s="26">
        <f>'2. P. MARKETING'!BO29</f>
        <v>6000</v>
      </c>
      <c r="E12" s="26">
        <f>'2. P. MARKETING'!BQ29</f>
        <v>6000</v>
      </c>
      <c r="F12" s="26">
        <f>'2. P. MARKETING'!BS29</f>
        <v>15000</v>
      </c>
      <c r="G12" s="26">
        <f>'2. P. MARKETING'!BU29</f>
        <v>7500</v>
      </c>
      <c r="H12" s="26">
        <f>'2. P. MARKETING'!BW29</f>
        <v>5000</v>
      </c>
      <c r="I12" s="109">
        <f>'2. P. MARKETING'!BY29</f>
        <v>6500</v>
      </c>
      <c r="J12" s="38"/>
      <c r="P12" s="38"/>
    </row>
    <row r="13" spans="2:16">
      <c r="C13" s="3"/>
    </row>
    <row r="14" spans="2:16" ht="52.9">
      <c r="C14" s="17" t="s">
        <v>218</v>
      </c>
      <c r="D14" s="19" t="s">
        <v>219</v>
      </c>
      <c r="E14" s="19" t="s">
        <v>220</v>
      </c>
      <c r="F14" s="19" t="s">
        <v>221</v>
      </c>
    </row>
    <row r="15" spans="2:16">
      <c r="C15" s="3"/>
      <c r="D15" s="24">
        <f>SUM(D10:I10,D12:I12)</f>
        <v>126000</v>
      </c>
      <c r="E15" s="24">
        <f>D15*(1+$F$28)</f>
        <v>144900</v>
      </c>
      <c r="F15" s="24">
        <f>E15*(1+$F$28)</f>
        <v>166635</v>
      </c>
    </row>
    <row r="16" spans="2:16">
      <c r="C16" s="3"/>
    </row>
    <row r="17" spans="3:16">
      <c r="C17" s="3"/>
    </row>
    <row r="18" spans="3:16">
      <c r="C18" s="4"/>
    </row>
    <row r="19" spans="3:16">
      <c r="C19" s="17" t="s">
        <v>205</v>
      </c>
      <c r="D19" s="19" t="s">
        <v>206</v>
      </c>
      <c r="E19" s="19" t="s">
        <v>207</v>
      </c>
      <c r="F19" s="19" t="s">
        <v>208</v>
      </c>
      <c r="G19" s="19" t="s">
        <v>209</v>
      </c>
      <c r="H19" s="19" t="s">
        <v>210</v>
      </c>
      <c r="I19" s="19" t="s">
        <v>211</v>
      </c>
    </row>
    <row r="20" spans="3:16">
      <c r="C20" s="17" t="s">
        <v>222</v>
      </c>
      <c r="D20" s="26">
        <f>'2. P. MARKETING'!BO35</f>
        <v>200</v>
      </c>
      <c r="E20" s="26">
        <f>'2. P. MARKETING'!BQ35</f>
        <v>200</v>
      </c>
      <c r="F20" s="26">
        <f>'2. P. MARKETING'!BS35</f>
        <v>250</v>
      </c>
      <c r="G20" s="26">
        <f>'2. P. MARKETING'!BU35</f>
        <v>250</v>
      </c>
      <c r="H20" s="26">
        <f>'2. P. MARKETING'!BW35</f>
        <v>250</v>
      </c>
      <c r="I20" s="26">
        <f>'2. P. MARKETING'!BY35</f>
        <v>250</v>
      </c>
    </row>
    <row r="21" spans="3:16">
      <c r="C21" s="17"/>
      <c r="D21" s="19" t="s">
        <v>212</v>
      </c>
      <c r="E21" s="19" t="s">
        <v>213</v>
      </c>
      <c r="F21" s="19" t="s">
        <v>214</v>
      </c>
      <c r="G21" s="19" t="s">
        <v>215</v>
      </c>
      <c r="H21" s="19" t="s">
        <v>216</v>
      </c>
      <c r="I21" s="19" t="s">
        <v>217</v>
      </c>
      <c r="J21" s="25"/>
      <c r="P21" s="38"/>
    </row>
    <row r="22" spans="3:16">
      <c r="C22" s="17"/>
      <c r="D22" s="26">
        <f>'2. P. MARKETING'!BO39</f>
        <v>250</v>
      </c>
      <c r="E22" s="26">
        <f>'2. P. MARKETING'!BQ39</f>
        <v>250</v>
      </c>
      <c r="F22" s="26">
        <f>'2. P. MARKETING'!BS39</f>
        <v>250</v>
      </c>
      <c r="G22" s="26">
        <f>'2. P. MARKETING'!BU39</f>
        <v>250</v>
      </c>
      <c r="H22" s="26">
        <f>'2. P. MARKETING'!BW39</f>
        <v>250</v>
      </c>
      <c r="I22" s="109">
        <f>'2. P. MARKETING'!BY39</f>
        <v>250</v>
      </c>
      <c r="J22" s="38"/>
      <c r="P22" s="38"/>
    </row>
    <row r="24" spans="3:16" ht="52.9">
      <c r="C24" s="17" t="s">
        <v>218</v>
      </c>
      <c r="D24" s="19" t="s">
        <v>219</v>
      </c>
      <c r="E24" s="19" t="s">
        <v>220</v>
      </c>
      <c r="F24" s="19" t="s">
        <v>221</v>
      </c>
    </row>
    <row r="25" spans="3:16">
      <c r="C25" s="3"/>
      <c r="D25" s="24">
        <f>SUM(D20:I20,D22:I22)</f>
        <v>2900</v>
      </c>
      <c r="E25" s="24">
        <f>D25*(1+$F$29)</f>
        <v>3045</v>
      </c>
      <c r="F25" s="24">
        <f>E25*(1+$F$29)</f>
        <v>3197.25</v>
      </c>
    </row>
    <row r="26" spans="3:16">
      <c r="C26" s="4"/>
    </row>
    <row r="27" spans="3:16">
      <c r="C27" s="4"/>
    </row>
    <row r="28" spans="3:16" ht="13.5" customHeight="1">
      <c r="C28" s="229" t="s">
        <v>223</v>
      </c>
      <c r="D28" s="229"/>
      <c r="E28" s="229"/>
      <c r="F28" s="110">
        <v>0.15</v>
      </c>
    </row>
    <row r="29" spans="3:16">
      <c r="C29" s="229" t="s">
        <v>224</v>
      </c>
      <c r="D29" s="229"/>
      <c r="E29" s="229"/>
      <c r="F29" s="110">
        <v>0.05</v>
      </c>
    </row>
    <row r="30" spans="3:16">
      <c r="C30" s="4"/>
    </row>
    <row r="31" spans="3:16">
      <c r="C31" s="4"/>
    </row>
    <row r="32" spans="3:16">
      <c r="C32" s="4"/>
    </row>
    <row r="33" spans="1:9">
      <c r="C33" s="4"/>
    </row>
    <row r="34" spans="1:9">
      <c r="C34" s="4"/>
    </row>
    <row r="40" spans="1:9">
      <c r="A40"/>
      <c r="B40" s="166"/>
      <c r="C40" s="166"/>
      <c r="D40" s="166"/>
      <c r="E40" s="166"/>
      <c r="F40" s="166"/>
      <c r="G40" s="166"/>
      <c r="H40" s="166"/>
      <c r="I40" s="166"/>
    </row>
    <row r="41" spans="1:9">
      <c r="A41"/>
      <c r="B41"/>
      <c r="C41"/>
      <c r="D41"/>
      <c r="E41"/>
      <c r="F41"/>
      <c r="G41"/>
      <c r="H41"/>
      <c r="I41"/>
    </row>
    <row r="42" spans="1:9" ht="17.45">
      <c r="A42"/>
      <c r="B42" s="72"/>
      <c r="C42"/>
      <c r="D42"/>
      <c r="E42"/>
      <c r="F42"/>
      <c r="G42"/>
      <c r="H42"/>
      <c r="I42"/>
    </row>
    <row r="43" spans="1:9">
      <c r="A43"/>
      <c r="B43"/>
      <c r="C43"/>
      <c r="D43"/>
      <c r="E43"/>
      <c r="F43"/>
      <c r="G43"/>
      <c r="H43"/>
      <c r="I43"/>
    </row>
    <row r="44" spans="1:9">
      <c r="A44"/>
      <c r="B44"/>
      <c r="C44"/>
      <c r="D44"/>
      <c r="E44"/>
      <c r="F44"/>
      <c r="G44"/>
      <c r="H44"/>
      <c r="I44"/>
    </row>
  </sheetData>
  <sheetProtection password="F817" sheet="1" objects="1" scenarios="1" selectLockedCells="1"/>
  <mergeCells count="7">
    <mergeCell ref="I1:I3"/>
    <mergeCell ref="B1:E1"/>
    <mergeCell ref="C5:I5"/>
    <mergeCell ref="B40:I40"/>
    <mergeCell ref="C7:F7"/>
    <mergeCell ref="C28:E28"/>
    <mergeCell ref="C29:E29"/>
  </mergeCells>
  <phoneticPr fontId="2" type="noConversion"/>
  <pageMargins left="0.59055118110236227" right="0.59055118110236227" top="0.39370078740157483" bottom="0.39370078740157483" header="0" footer="0"/>
  <pageSetup paperSize="9" orientation="portrait"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indexed="22"/>
  </sheetPr>
  <dimension ref="B1:IQ51"/>
  <sheetViews>
    <sheetView showGridLines="0" topLeftCell="A21" zoomScale="85" zoomScaleNormal="85" workbookViewId="0">
      <selection activeCell="F39" sqref="F39"/>
    </sheetView>
  </sheetViews>
  <sheetFormatPr defaultColWidth="11.42578125" defaultRowHeight="13.15"/>
  <cols>
    <col min="1" max="2" width="4.7109375" customWidth="1"/>
    <col min="3" max="3" width="22.85546875" customWidth="1"/>
    <col min="6" max="6" width="14.5703125" bestFit="1" customWidth="1"/>
    <col min="7" max="7" width="20.85546875" customWidth="1"/>
    <col min="8" max="10" width="4.7109375" customWidth="1"/>
    <col min="11" max="11" width="22.85546875" customWidth="1"/>
    <col min="14" max="14" width="13.42578125" bestFit="1" customWidth="1"/>
    <col min="15" max="15" width="17.85546875" customWidth="1"/>
  </cols>
  <sheetData>
    <row r="1" spans="2:16" ht="18" customHeight="1">
      <c r="B1" s="225"/>
      <c r="C1" s="225"/>
      <c r="D1" s="225"/>
      <c r="H1" s="173"/>
      <c r="J1" s="225"/>
      <c r="K1" s="225"/>
      <c r="L1" s="225"/>
      <c r="P1" s="173"/>
    </row>
    <row r="2" spans="2:16" ht="12.75" customHeight="1">
      <c r="H2" s="173"/>
      <c r="P2" s="173"/>
    </row>
    <row r="3" spans="2:16" ht="18.75" customHeight="1">
      <c r="B3" s="87"/>
      <c r="C3" s="8"/>
      <c r="D3" s="8"/>
      <c r="E3" s="8"/>
      <c r="H3" s="173"/>
      <c r="J3" s="87"/>
      <c r="K3" s="8"/>
      <c r="L3" s="8"/>
      <c r="M3" s="8"/>
      <c r="P3" s="173"/>
    </row>
    <row r="4" spans="2:16" ht="13.5" customHeight="1">
      <c r="B4" s="1"/>
      <c r="H4" s="18"/>
      <c r="J4" s="1"/>
      <c r="P4" s="18"/>
    </row>
    <row r="5" spans="2:16" ht="42" customHeight="1">
      <c r="B5" s="233"/>
      <c r="C5" s="233"/>
      <c r="D5" s="233"/>
      <c r="E5" s="233"/>
      <c r="F5" s="233"/>
      <c r="G5" s="233"/>
      <c r="H5" s="233"/>
      <c r="J5" s="233"/>
      <c r="K5" s="233"/>
      <c r="L5" s="233"/>
      <c r="M5" s="233"/>
      <c r="N5" s="233"/>
      <c r="O5" s="233"/>
      <c r="P5" s="233"/>
    </row>
    <row r="7" spans="2:16" ht="51" customHeight="1">
      <c r="B7" s="232"/>
      <c r="C7" s="232"/>
      <c r="D7" s="232"/>
      <c r="J7" s="232"/>
      <c r="K7" s="232"/>
      <c r="L7" s="232"/>
    </row>
    <row r="9" spans="2:16" ht="12.75" customHeight="1">
      <c r="B9" s="231" t="s">
        <v>225</v>
      </c>
      <c r="C9" s="231"/>
      <c r="D9" s="231"/>
      <c r="E9" s="231"/>
      <c r="F9" s="20" t="s">
        <v>226</v>
      </c>
      <c r="I9" s="231" t="s">
        <v>227</v>
      </c>
      <c r="J9" s="231"/>
      <c r="K9" s="231"/>
      <c r="L9" s="231"/>
      <c r="M9" s="231"/>
      <c r="N9" s="20" t="s">
        <v>226</v>
      </c>
    </row>
    <row r="10" spans="2:16">
      <c r="C10" s="9"/>
      <c r="D10" s="9"/>
      <c r="E10" s="9"/>
      <c r="F10" s="9"/>
      <c r="K10" s="9"/>
      <c r="N10" s="9"/>
    </row>
    <row r="11" spans="2:16" ht="12.75" customHeight="1">
      <c r="B11" s="231" t="s">
        <v>228</v>
      </c>
      <c r="C11" s="231"/>
      <c r="D11" s="231"/>
      <c r="F11" s="9"/>
      <c r="I11" s="231" t="s">
        <v>229</v>
      </c>
      <c r="J11" s="231"/>
      <c r="K11" s="231"/>
      <c r="L11" s="231"/>
      <c r="M11" s="9"/>
      <c r="N11" s="9"/>
    </row>
    <row r="12" spans="2:16" ht="12.75" customHeight="1">
      <c r="B12" s="21"/>
      <c r="C12" s="21"/>
      <c r="D12" s="21"/>
      <c r="E12" s="9"/>
      <c r="F12" s="9"/>
      <c r="J12" s="236" t="s">
        <v>230</v>
      </c>
      <c r="K12" s="236"/>
      <c r="N12" s="89">
        <v>14000</v>
      </c>
    </row>
    <row r="13" spans="2:16" ht="12.75" customHeight="1">
      <c r="C13" s="231" t="s">
        <v>231</v>
      </c>
      <c r="D13" s="231"/>
      <c r="E13" s="111"/>
      <c r="F13" s="111"/>
      <c r="G13" s="20" t="s">
        <v>232</v>
      </c>
      <c r="I13" s="231" t="s">
        <v>233</v>
      </c>
      <c r="J13" s="231"/>
      <c r="K13" s="231"/>
      <c r="L13" s="231"/>
      <c r="M13" s="9"/>
      <c r="N13" s="9"/>
    </row>
    <row r="14" spans="2:16">
      <c r="C14" s="112" t="s">
        <v>234</v>
      </c>
      <c r="D14" s="112"/>
      <c r="F14" s="89">
        <v>661.31</v>
      </c>
      <c r="G14" s="89">
        <f>67.69+71.19</f>
        <v>138.88</v>
      </c>
      <c r="J14" s="235" t="s">
        <v>235</v>
      </c>
      <c r="K14" s="235"/>
      <c r="L14" s="235"/>
      <c r="N14" s="89">
        <v>25000</v>
      </c>
    </row>
    <row r="15" spans="2:16">
      <c r="C15" s="112" t="s">
        <v>236</v>
      </c>
      <c r="D15" s="112"/>
      <c r="F15" s="89">
        <v>0</v>
      </c>
      <c r="G15" s="89">
        <v>0</v>
      </c>
      <c r="K15" s="235"/>
      <c r="L15" s="235"/>
      <c r="N15" s="2"/>
    </row>
    <row r="16" spans="2:16">
      <c r="C16" s="112" t="s">
        <v>237</v>
      </c>
      <c r="D16" s="112"/>
      <c r="F16" s="89">
        <v>382.52</v>
      </c>
      <c r="G16" s="89">
        <v>60.82</v>
      </c>
      <c r="K16" s="235"/>
      <c r="L16" s="235"/>
      <c r="N16" s="2"/>
    </row>
    <row r="17" spans="2:14">
      <c r="C17" s="112" t="s">
        <v>238</v>
      </c>
      <c r="D17" s="112"/>
      <c r="F17" s="89">
        <v>0</v>
      </c>
      <c r="G17" s="89">
        <v>0</v>
      </c>
      <c r="K17" s="235"/>
      <c r="L17" s="235"/>
      <c r="N17" s="2"/>
    </row>
    <row r="18" spans="2:14" ht="12.75" customHeight="1">
      <c r="C18" s="231" t="s">
        <v>239</v>
      </c>
      <c r="D18" s="231"/>
      <c r="E18" s="114"/>
      <c r="F18" s="114"/>
      <c r="J18" s="231" t="s">
        <v>240</v>
      </c>
      <c r="K18" s="231"/>
      <c r="L18" s="231"/>
      <c r="M18" s="9"/>
      <c r="N18" s="23">
        <f>SUM(N14:N17)</f>
        <v>25000</v>
      </c>
    </row>
    <row r="19" spans="2:14">
      <c r="C19" s="112" t="s">
        <v>241</v>
      </c>
      <c r="D19" s="112"/>
      <c r="F19" s="89">
        <v>0</v>
      </c>
      <c r="G19" s="89">
        <v>0</v>
      </c>
      <c r="K19" s="113"/>
      <c r="L19" s="113"/>
      <c r="M19" s="9"/>
      <c r="N19" s="9"/>
    </row>
    <row r="20" spans="2:14">
      <c r="C20" s="112" t="s">
        <v>242</v>
      </c>
      <c r="D20" s="112"/>
      <c r="F20" s="89">
        <v>0</v>
      </c>
      <c r="G20" s="89">
        <v>0</v>
      </c>
      <c r="I20" s="231" t="s">
        <v>243</v>
      </c>
      <c r="J20" s="231"/>
      <c r="K20" s="231"/>
      <c r="L20" s="231"/>
      <c r="M20" s="9"/>
      <c r="N20" s="9"/>
    </row>
    <row r="21" spans="2:14">
      <c r="C21" s="112" t="s">
        <v>244</v>
      </c>
      <c r="D21" s="112"/>
      <c r="F21" s="89">
        <v>0</v>
      </c>
      <c r="G21" s="89">
        <v>0</v>
      </c>
      <c r="J21" s="235" t="s">
        <v>245</v>
      </c>
      <c r="K21" s="235"/>
      <c r="L21" s="235"/>
      <c r="N21" s="89">
        <v>15000</v>
      </c>
    </row>
    <row r="22" spans="2:14">
      <c r="C22" s="112" t="s">
        <v>246</v>
      </c>
      <c r="D22" s="112"/>
      <c r="F22" s="89">
        <v>0</v>
      </c>
      <c r="G22" s="89">
        <v>0</v>
      </c>
      <c r="K22" s="235"/>
      <c r="L22" s="235"/>
      <c r="N22" s="2"/>
    </row>
    <row r="23" spans="2:14">
      <c r="C23" s="112" t="s">
        <v>247</v>
      </c>
      <c r="D23" s="112"/>
      <c r="F23" s="89">
        <v>1000</v>
      </c>
      <c r="G23" s="89">
        <v>210</v>
      </c>
    </row>
    <row r="24" spans="2:14">
      <c r="C24" s="112" t="s">
        <v>248</v>
      </c>
      <c r="D24" s="112"/>
      <c r="F24" s="89">
        <v>4318.21</v>
      </c>
      <c r="G24" s="89">
        <v>906.84</v>
      </c>
      <c r="K24" s="235"/>
      <c r="L24" s="235"/>
      <c r="N24" s="2"/>
    </row>
    <row r="25" spans="2:14">
      <c r="C25" s="112" t="s">
        <v>249</v>
      </c>
      <c r="D25" s="112"/>
      <c r="F25" s="89">
        <v>0</v>
      </c>
      <c r="G25" s="89">
        <v>0</v>
      </c>
      <c r="K25" s="235"/>
      <c r="L25" s="235"/>
      <c r="N25" s="2"/>
    </row>
    <row r="26" spans="2:14">
      <c r="C26" s="112" t="s">
        <v>250</v>
      </c>
      <c r="D26" s="112"/>
      <c r="F26" s="89">
        <v>0</v>
      </c>
      <c r="G26" s="89">
        <v>0</v>
      </c>
      <c r="J26" s="231" t="s">
        <v>251</v>
      </c>
      <c r="K26" s="231"/>
      <c r="L26" s="231"/>
      <c r="M26" s="9"/>
      <c r="N26" s="23">
        <f>SUM(N21:N25)</f>
        <v>15000</v>
      </c>
    </row>
    <row r="27" spans="2:14" ht="12.75" customHeight="1">
      <c r="C27" s="231" t="s">
        <v>252</v>
      </c>
      <c r="D27" s="231"/>
      <c r="E27" s="114"/>
      <c r="F27" s="114"/>
      <c r="K27" s="9"/>
      <c r="L27" s="9"/>
      <c r="M27" s="9"/>
      <c r="N27" s="9"/>
    </row>
    <row r="28" spans="2:14" ht="12.75" customHeight="1">
      <c r="C28" s="112" t="s">
        <v>253</v>
      </c>
      <c r="D28" s="112"/>
      <c r="F28" s="89">
        <v>5250</v>
      </c>
      <c r="G28" s="2"/>
      <c r="I28" s="231" t="s">
        <v>254</v>
      </c>
      <c r="J28" s="231"/>
      <c r="K28" s="231"/>
      <c r="L28" s="115"/>
      <c r="M28" s="115"/>
      <c r="N28" s="17">
        <f>N12+N18+N26</f>
        <v>54000</v>
      </c>
    </row>
    <row r="29" spans="2:14">
      <c r="C29" s="231" t="s">
        <v>255</v>
      </c>
      <c r="D29" s="231"/>
      <c r="F29" s="23">
        <f>SUM(F14:F17)+SUM(F19:F26)+F28</f>
        <v>11612.04</v>
      </c>
    </row>
    <row r="30" spans="2:14">
      <c r="C30" s="112"/>
      <c r="D30" s="112"/>
      <c r="E30" s="2"/>
      <c r="F30" s="5"/>
      <c r="M30" s="234" t="str">
        <f>IF(N28=F42,"Balance cuadrado","Balance descuadrado")</f>
        <v>Balance cuadrado</v>
      </c>
      <c r="N30" s="234"/>
    </row>
    <row r="31" spans="2:14" ht="12.75" customHeight="1">
      <c r="B31" s="230" t="s">
        <v>256</v>
      </c>
      <c r="C31" s="230"/>
      <c r="D31" s="230"/>
      <c r="E31" s="44"/>
      <c r="F31" s="44"/>
    </row>
    <row r="32" spans="2:14" ht="12.75" customHeight="1">
      <c r="B32" s="22"/>
      <c r="C32" s="22"/>
      <c r="D32" s="22"/>
      <c r="E32" s="44"/>
      <c r="F32" s="44"/>
    </row>
    <row r="33" spans="2:251" ht="12.75" customHeight="1">
      <c r="C33" s="231" t="s">
        <v>257</v>
      </c>
      <c r="D33" s="231"/>
      <c r="E33" s="114"/>
      <c r="F33" s="114"/>
    </row>
    <row r="34" spans="2:251" ht="12.75" customHeight="1">
      <c r="C34" s="116" t="s">
        <v>257</v>
      </c>
      <c r="D34" s="116"/>
      <c r="F34" s="89">
        <v>0</v>
      </c>
      <c r="G34" s="89">
        <v>0</v>
      </c>
      <c r="H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row>
    <row r="35" spans="2:251" ht="12.75" customHeight="1">
      <c r="C35" s="231" t="s">
        <v>258</v>
      </c>
      <c r="D35" s="231"/>
      <c r="E35" s="114"/>
      <c r="F35" s="114"/>
    </row>
    <row r="36" spans="2:251">
      <c r="C36" s="112" t="s">
        <v>259</v>
      </c>
      <c r="D36" s="112"/>
      <c r="F36" s="89">
        <v>0</v>
      </c>
      <c r="G36" s="89">
        <v>0</v>
      </c>
    </row>
    <row r="37" spans="2:251" ht="12.75" customHeight="1">
      <c r="C37" s="112" t="s">
        <v>260</v>
      </c>
      <c r="D37" s="112"/>
      <c r="F37" s="89">
        <v>0</v>
      </c>
      <c r="G37" s="89">
        <v>0</v>
      </c>
    </row>
    <row r="38" spans="2:251" ht="12.75" customHeight="1">
      <c r="C38" s="112" t="s">
        <v>261</v>
      </c>
      <c r="D38" s="112"/>
      <c r="F38" s="26">
        <f>SUM(G14:G37)</f>
        <v>1316.54</v>
      </c>
      <c r="G38" s="26"/>
    </row>
    <row r="39" spans="2:251">
      <c r="C39" s="112" t="s">
        <v>262</v>
      </c>
      <c r="D39" s="112"/>
      <c r="F39" s="89">
        <v>41071.42</v>
      </c>
      <c r="G39" s="26"/>
    </row>
    <row r="40" spans="2:251">
      <c r="C40" s="231" t="s">
        <v>263</v>
      </c>
      <c r="D40" s="231"/>
      <c r="F40" s="23">
        <f>F34+SUM(F36:F39)</f>
        <v>42387.96</v>
      </c>
    </row>
    <row r="41" spans="2:251">
      <c r="C41" s="112"/>
      <c r="D41" s="112"/>
      <c r="E41" s="2"/>
      <c r="F41" s="5"/>
    </row>
    <row r="42" spans="2:251" ht="12.75" customHeight="1">
      <c r="B42" s="230" t="s">
        <v>264</v>
      </c>
      <c r="C42" s="230"/>
      <c r="D42" s="230"/>
      <c r="E42" s="230"/>
      <c r="F42" s="17">
        <f>F29+F40</f>
        <v>54000</v>
      </c>
    </row>
    <row r="43" spans="2:251">
      <c r="C43" s="5"/>
      <c r="D43" s="5"/>
      <c r="E43" s="5"/>
      <c r="F43" s="5"/>
    </row>
    <row r="44" spans="2:251">
      <c r="C44" s="5"/>
      <c r="D44" s="5"/>
      <c r="E44" s="5"/>
      <c r="F44" s="5"/>
    </row>
    <row r="50" spans="2:16">
      <c r="B50" s="73"/>
      <c r="C50" s="73"/>
      <c r="D50" s="73"/>
      <c r="E50" s="73"/>
      <c r="F50" s="73"/>
      <c r="G50" s="73"/>
      <c r="I50" s="73"/>
      <c r="J50" s="73"/>
      <c r="K50" s="73"/>
      <c r="L50" s="73"/>
      <c r="M50" s="73"/>
      <c r="N50" s="73"/>
      <c r="O50" s="73"/>
    </row>
    <row r="51" spans="2:16">
      <c r="B51" s="162"/>
      <c r="C51" s="162"/>
      <c r="D51" s="162"/>
      <c r="E51" s="162"/>
      <c r="F51" s="162"/>
      <c r="G51" s="162"/>
      <c r="I51" s="162"/>
      <c r="J51" s="162"/>
      <c r="K51" s="162"/>
      <c r="L51" s="162"/>
      <c r="M51" s="162"/>
      <c r="N51" s="162"/>
      <c r="O51" s="162"/>
      <c r="P51" s="80"/>
    </row>
  </sheetData>
  <sheetProtection password="F817" sheet="1" objects="1" scenarios="1" selectLockedCells="1"/>
  <mergeCells count="36">
    <mergeCell ref="J14:L14"/>
    <mergeCell ref="K24:L24"/>
    <mergeCell ref="K25:L25"/>
    <mergeCell ref="J18:L18"/>
    <mergeCell ref="I20:L20"/>
    <mergeCell ref="M30:N30"/>
    <mergeCell ref="I28:K28"/>
    <mergeCell ref="P1:P3"/>
    <mergeCell ref="J7:L7"/>
    <mergeCell ref="J5:P5"/>
    <mergeCell ref="J1:L1"/>
    <mergeCell ref="K22:L22"/>
    <mergeCell ref="K15:L15"/>
    <mergeCell ref="K16:L16"/>
    <mergeCell ref="K17:L17"/>
    <mergeCell ref="I9:M9"/>
    <mergeCell ref="J26:L26"/>
    <mergeCell ref="J21:L21"/>
    <mergeCell ref="I11:L11"/>
    <mergeCell ref="I13:L13"/>
    <mergeCell ref="J12:K12"/>
    <mergeCell ref="H1:H3"/>
    <mergeCell ref="C35:D35"/>
    <mergeCell ref="B7:D7"/>
    <mergeCell ref="B9:E9"/>
    <mergeCell ref="B5:H5"/>
    <mergeCell ref="B1:D1"/>
    <mergeCell ref="B11:D11"/>
    <mergeCell ref="C13:D13"/>
    <mergeCell ref="C18:D18"/>
    <mergeCell ref="C27:D27"/>
    <mergeCell ref="B42:E42"/>
    <mergeCell ref="C29:D29"/>
    <mergeCell ref="C40:D40"/>
    <mergeCell ref="B31:D31"/>
    <mergeCell ref="C33:D33"/>
  </mergeCells>
  <phoneticPr fontId="2" type="noConversion"/>
  <pageMargins left="0.59055118110236227" right="0.59055118110236227" top="0.39370078740157483" bottom="0.39370078740157483" header="0" footer="0"/>
  <pageSetup paperSize="9"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indexed="22"/>
  </sheetPr>
  <dimension ref="B1:J49"/>
  <sheetViews>
    <sheetView showGridLines="0" topLeftCell="A7" zoomScale="85" zoomScaleNormal="85" zoomScaleSheetLayoutView="100" workbookViewId="0">
      <selection activeCell="F26" sqref="F26"/>
    </sheetView>
  </sheetViews>
  <sheetFormatPr defaultColWidth="11.42578125" defaultRowHeight="13.15"/>
  <cols>
    <col min="1" max="2" width="4.7109375" customWidth="1"/>
  </cols>
  <sheetData>
    <row r="1" spans="2:9" ht="18" customHeight="1">
      <c r="B1" s="225"/>
      <c r="C1" s="225"/>
      <c r="D1" s="225"/>
      <c r="E1" s="225"/>
      <c r="I1" s="173"/>
    </row>
    <row r="2" spans="2:9" ht="12.75" customHeight="1">
      <c r="I2" s="173"/>
    </row>
    <row r="3" spans="2:9" ht="18.75" customHeight="1">
      <c r="B3" s="87"/>
      <c r="C3" s="8"/>
      <c r="D3" s="8"/>
      <c r="E3" s="8"/>
      <c r="F3" s="8"/>
      <c r="I3" s="173"/>
    </row>
    <row r="4" spans="2:9" ht="13.5" customHeight="1">
      <c r="B4" s="1"/>
      <c r="I4" s="18"/>
    </row>
    <row r="5" spans="2:9" ht="42" customHeight="1">
      <c r="B5" s="233"/>
      <c r="C5" s="233"/>
      <c r="D5" s="233"/>
      <c r="E5" s="233"/>
      <c r="F5" s="233"/>
      <c r="G5" s="233"/>
      <c r="H5" s="233"/>
      <c r="I5" s="233"/>
    </row>
    <row r="6" spans="2:9" ht="63.75" customHeight="1">
      <c r="C6" s="7"/>
      <c r="D6" s="7"/>
      <c r="E6" s="7"/>
      <c r="F6" s="7"/>
      <c r="G6" s="7"/>
      <c r="H6" s="7"/>
    </row>
    <row r="7" spans="2:9" ht="12.75" customHeight="1">
      <c r="B7" s="232"/>
      <c r="C7" s="232"/>
      <c r="D7" s="232"/>
      <c r="E7" s="232"/>
      <c r="G7" s="7"/>
      <c r="H7" s="7"/>
    </row>
    <row r="8" spans="2:9">
      <c r="C8" s="21"/>
      <c r="D8" s="21"/>
      <c r="E8" s="21"/>
      <c r="F8" s="7"/>
      <c r="G8" s="7"/>
      <c r="H8" s="7"/>
    </row>
    <row r="9" spans="2:9">
      <c r="B9" s="241" t="s">
        <v>265</v>
      </c>
      <c r="C9" s="241"/>
      <c r="D9" s="23" t="s">
        <v>266</v>
      </c>
      <c r="E9" s="240" t="s">
        <v>267</v>
      </c>
      <c r="F9" s="240"/>
      <c r="G9" s="37" t="s">
        <v>268</v>
      </c>
      <c r="H9" s="37" t="s">
        <v>269</v>
      </c>
      <c r="I9" s="37" t="s">
        <v>270</v>
      </c>
    </row>
    <row r="10" spans="2:9">
      <c r="B10" s="176">
        <f>'6. PEF2-3. INVERS. Y FINANC.'!N14</f>
        <v>25000</v>
      </c>
      <c r="C10" s="176"/>
      <c r="D10" s="117">
        <v>5</v>
      </c>
      <c r="E10" s="242">
        <v>4.4999999999999998E-2</v>
      </c>
      <c r="F10" s="242"/>
      <c r="G10" s="26">
        <f>G13/12</f>
        <v>466.07548103791618</v>
      </c>
      <c r="H10" s="26">
        <f>G10</f>
        <v>466.07548103791618</v>
      </c>
      <c r="I10" s="26">
        <f>H10</f>
        <v>466.07548103791618</v>
      </c>
    </row>
    <row r="11" spans="2:9">
      <c r="B11" s="54"/>
      <c r="C11" s="57" t="s">
        <v>271</v>
      </c>
      <c r="D11" s="54"/>
      <c r="E11" s="56"/>
      <c r="F11" s="56"/>
      <c r="G11" s="26">
        <f>SUM('AMORTIZ. PTMO.'!D12:D23)</f>
        <v>4561.2179885428213</v>
      </c>
      <c r="H11" s="26">
        <f>SUM('AMORTIZ. PTMO.'!D24:D35)</f>
        <v>4770.7595449084738</v>
      </c>
      <c r="I11" s="26">
        <f>SUM('AMORTIZ. PTMO.'!D36:D47)</f>
        <v>4989.9274037122959</v>
      </c>
    </row>
    <row r="12" spans="2:9">
      <c r="B12" s="54"/>
      <c r="C12" s="57" t="s">
        <v>272</v>
      </c>
      <c r="D12" s="54"/>
      <c r="E12" s="56"/>
      <c r="F12" s="56"/>
      <c r="G12" s="26">
        <f>SUM('AMORTIZ. PTMO.'!C12:C23)</f>
        <v>1031.6877839121728</v>
      </c>
      <c r="H12" s="26">
        <f>SUM('AMORTIZ. PTMO.'!C24:C35)</f>
        <v>822.14622754652135</v>
      </c>
      <c r="I12" s="26">
        <f>SUM('AMORTIZ. PTMO.'!C36:C47)</f>
        <v>602.97836874269876</v>
      </c>
    </row>
    <row r="13" spans="2:9">
      <c r="B13" s="54"/>
      <c r="C13" s="57" t="s">
        <v>273</v>
      </c>
      <c r="D13" s="54"/>
      <c r="E13" s="56"/>
      <c r="F13" s="56"/>
      <c r="G13" s="26">
        <f>SUM(G11:G12)</f>
        <v>5592.9057724549939</v>
      </c>
      <c r="H13" s="26">
        <f>SUM(H11:H12)</f>
        <v>5592.9057724549948</v>
      </c>
      <c r="I13" s="26">
        <f>SUM(I11:I12)</f>
        <v>5592.9057724549948</v>
      </c>
    </row>
    <row r="14" spans="2:9">
      <c r="B14" s="176">
        <f>'6. PEF2-3. INVERS. Y FINANC.'!N21</f>
        <v>15000</v>
      </c>
      <c r="C14" s="176"/>
      <c r="D14" s="66">
        <v>1</v>
      </c>
      <c r="E14" s="242">
        <v>4.4999999999999998E-2</v>
      </c>
      <c r="F14" s="242"/>
      <c r="G14" s="26">
        <f>G17/12</f>
        <v>1306.25</v>
      </c>
      <c r="H14" s="26">
        <f>H17/12</f>
        <v>0</v>
      </c>
      <c r="I14" s="26">
        <f>I17/12</f>
        <v>0</v>
      </c>
    </row>
    <row r="15" spans="2:9">
      <c r="B15" s="54"/>
      <c r="C15" s="57" t="s">
        <v>271</v>
      </c>
      <c r="D15" s="54"/>
      <c r="E15" s="56"/>
      <c r="F15" s="56"/>
      <c r="G15" s="26">
        <f>B14</f>
        <v>15000</v>
      </c>
      <c r="H15" s="26">
        <v>0</v>
      </c>
      <c r="I15" s="26">
        <v>0</v>
      </c>
    </row>
    <row r="16" spans="2:9">
      <c r="B16" s="54"/>
      <c r="C16" s="57" t="s">
        <v>272</v>
      </c>
      <c r="D16" s="54"/>
      <c r="E16" s="56"/>
      <c r="F16" s="56"/>
      <c r="G16" s="26">
        <f>G15*E14</f>
        <v>675</v>
      </c>
      <c r="H16" s="26">
        <v>0</v>
      </c>
      <c r="I16" s="26">
        <v>0</v>
      </c>
    </row>
    <row r="17" spans="2:9">
      <c r="B17" s="54"/>
      <c r="C17" s="57" t="s">
        <v>273</v>
      </c>
      <c r="D17" s="54"/>
      <c r="E17" s="56"/>
      <c r="F17" s="56"/>
      <c r="G17" s="26">
        <f>SUM(G15:G16)</f>
        <v>15675</v>
      </c>
      <c r="H17" s="26">
        <f>SUM(H15:H16)</f>
        <v>0</v>
      </c>
      <c r="I17" s="26">
        <f>SUM(I15:I16)</f>
        <v>0</v>
      </c>
    </row>
    <row r="18" spans="2:9" ht="25.5" customHeight="1">
      <c r="C18" s="36"/>
      <c r="D18" s="7"/>
      <c r="E18" s="7"/>
      <c r="F18" s="7"/>
      <c r="G18" s="7"/>
      <c r="H18" s="7"/>
    </row>
    <row r="19" spans="2:9" ht="25.5" customHeight="1">
      <c r="B19" s="238" t="s">
        <v>231</v>
      </c>
      <c r="C19" s="238"/>
      <c r="D19" s="238"/>
      <c r="E19" s="35" t="s">
        <v>77</v>
      </c>
      <c r="F19" s="35" t="s">
        <v>274</v>
      </c>
      <c r="G19" s="35" t="s">
        <v>275</v>
      </c>
      <c r="H19" s="39" t="s">
        <v>220</v>
      </c>
      <c r="I19" s="35" t="s">
        <v>276</v>
      </c>
    </row>
    <row r="20" spans="2:9" ht="12.75" customHeight="1">
      <c r="B20" s="235" t="s">
        <v>234</v>
      </c>
      <c r="C20" s="235"/>
      <c r="D20" s="237"/>
      <c r="E20" s="26">
        <f>'6. PEF2-3. INVERS. Y FINANC.'!F14</f>
        <v>661.31</v>
      </c>
      <c r="F20" s="118">
        <v>3</v>
      </c>
      <c r="G20" s="26">
        <f>E20/F20</f>
        <v>220.43666666666664</v>
      </c>
      <c r="H20" s="26">
        <f t="shared" ref="H20:I32" si="0">G20</f>
        <v>220.43666666666664</v>
      </c>
      <c r="I20" s="26">
        <f t="shared" si="0"/>
        <v>220.43666666666664</v>
      </c>
    </row>
    <row r="21" spans="2:9" ht="12.75" customHeight="1">
      <c r="B21" s="235" t="s">
        <v>236</v>
      </c>
      <c r="C21" s="235"/>
      <c r="D21" s="237"/>
      <c r="E21" s="26">
        <f>'6. PEF2-3. INVERS. Y FINANC.'!F15</f>
        <v>0</v>
      </c>
      <c r="F21" s="118">
        <v>3</v>
      </c>
      <c r="G21" s="26"/>
      <c r="H21" s="26">
        <f t="shared" si="0"/>
        <v>0</v>
      </c>
      <c r="I21" s="26">
        <f t="shared" si="0"/>
        <v>0</v>
      </c>
    </row>
    <row r="22" spans="2:9">
      <c r="B22" s="235" t="s">
        <v>237</v>
      </c>
      <c r="C22" s="235"/>
      <c r="D22" s="237"/>
      <c r="E22" s="26">
        <f>'6. PEF2-3. INVERS. Y FINANC.'!F16</f>
        <v>382.52</v>
      </c>
      <c r="F22" s="118">
        <v>3</v>
      </c>
      <c r="G22" s="26">
        <f>E22/F22</f>
        <v>127.50666666666666</v>
      </c>
      <c r="H22" s="26">
        <f t="shared" si="0"/>
        <v>127.50666666666666</v>
      </c>
      <c r="I22" s="26">
        <f t="shared" si="0"/>
        <v>127.50666666666666</v>
      </c>
    </row>
    <row r="23" spans="2:9">
      <c r="B23" s="235" t="s">
        <v>238</v>
      </c>
      <c r="C23" s="235"/>
      <c r="D23" s="237"/>
      <c r="E23" s="26">
        <f>'6. PEF2-3. INVERS. Y FINANC.'!F17</f>
        <v>0</v>
      </c>
      <c r="F23" s="118">
        <v>3</v>
      </c>
      <c r="G23" s="26"/>
      <c r="H23" s="26">
        <f t="shared" si="0"/>
        <v>0</v>
      </c>
      <c r="I23" s="26">
        <f t="shared" si="0"/>
        <v>0</v>
      </c>
    </row>
    <row r="24" spans="2:9" ht="12.75" customHeight="1">
      <c r="B24" s="231" t="s">
        <v>239</v>
      </c>
      <c r="C24" s="231"/>
      <c r="D24" s="239"/>
      <c r="E24" s="26"/>
      <c r="F24" s="40"/>
      <c r="G24" s="26"/>
      <c r="H24" s="26">
        <f t="shared" si="0"/>
        <v>0</v>
      </c>
      <c r="I24" s="26">
        <f t="shared" si="0"/>
        <v>0</v>
      </c>
    </row>
    <row r="25" spans="2:9">
      <c r="B25" s="235" t="s">
        <v>241</v>
      </c>
      <c r="C25" s="235"/>
      <c r="D25" s="237"/>
      <c r="E25" s="26">
        <f>'6. PEF2-3. INVERS. Y FINANC.'!F19</f>
        <v>0</v>
      </c>
      <c r="F25" s="118">
        <v>3</v>
      </c>
      <c r="G25" s="26"/>
      <c r="H25" s="26">
        <f t="shared" si="0"/>
        <v>0</v>
      </c>
      <c r="I25" s="26">
        <f t="shared" si="0"/>
        <v>0</v>
      </c>
    </row>
    <row r="26" spans="2:9">
      <c r="B26" s="235" t="s">
        <v>242</v>
      </c>
      <c r="C26" s="235"/>
      <c r="D26" s="237"/>
      <c r="E26" s="26">
        <f>'6. PEF2-3. INVERS. Y FINANC.'!F20</f>
        <v>0</v>
      </c>
      <c r="F26" s="118">
        <v>3</v>
      </c>
      <c r="G26" s="26">
        <f t="shared" ref="G26:G32" si="1">E26/F26</f>
        <v>0</v>
      </c>
      <c r="H26" s="26">
        <f t="shared" si="0"/>
        <v>0</v>
      </c>
      <c r="I26" s="26">
        <f t="shared" si="0"/>
        <v>0</v>
      </c>
    </row>
    <row r="27" spans="2:9">
      <c r="B27" s="235" t="s">
        <v>244</v>
      </c>
      <c r="C27" s="235"/>
      <c r="D27" s="237"/>
      <c r="E27" s="26">
        <f>'6. PEF2-3. INVERS. Y FINANC.'!F21</f>
        <v>0</v>
      </c>
      <c r="F27" s="118">
        <v>3</v>
      </c>
      <c r="G27" s="26">
        <f t="shared" si="1"/>
        <v>0</v>
      </c>
      <c r="H27" s="26">
        <f t="shared" si="0"/>
        <v>0</v>
      </c>
      <c r="I27" s="26">
        <f t="shared" si="0"/>
        <v>0</v>
      </c>
    </row>
    <row r="28" spans="2:9">
      <c r="B28" s="235" t="s">
        <v>246</v>
      </c>
      <c r="C28" s="235"/>
      <c r="D28" s="237"/>
      <c r="E28" s="26">
        <f>'6. PEF2-3. INVERS. Y FINANC.'!F22</f>
        <v>0</v>
      </c>
      <c r="F28" s="118">
        <v>3</v>
      </c>
      <c r="G28" s="26">
        <f t="shared" si="1"/>
        <v>0</v>
      </c>
      <c r="H28" s="26">
        <f t="shared" si="0"/>
        <v>0</v>
      </c>
      <c r="I28" s="26">
        <f t="shared" si="0"/>
        <v>0</v>
      </c>
    </row>
    <row r="29" spans="2:9">
      <c r="B29" s="235" t="s">
        <v>247</v>
      </c>
      <c r="C29" s="235"/>
      <c r="D29" s="237"/>
      <c r="E29" s="26">
        <f>'6. PEF2-3. INVERS. Y FINANC.'!F23</f>
        <v>1000</v>
      </c>
      <c r="F29" s="118">
        <v>3</v>
      </c>
      <c r="G29" s="26">
        <f t="shared" si="1"/>
        <v>333.33333333333331</v>
      </c>
      <c r="H29" s="26">
        <f t="shared" si="0"/>
        <v>333.33333333333331</v>
      </c>
      <c r="I29" s="26">
        <f t="shared" si="0"/>
        <v>333.33333333333331</v>
      </c>
    </row>
    <row r="30" spans="2:9">
      <c r="B30" s="235" t="s">
        <v>248</v>
      </c>
      <c r="C30" s="235"/>
      <c r="D30" s="237"/>
      <c r="E30" s="26">
        <f>'6. PEF2-3. INVERS. Y FINANC.'!F24</f>
        <v>4318.21</v>
      </c>
      <c r="F30" s="118">
        <v>3</v>
      </c>
      <c r="G30" s="26">
        <f t="shared" si="1"/>
        <v>1439.4033333333334</v>
      </c>
      <c r="H30" s="26">
        <f t="shared" si="0"/>
        <v>1439.4033333333334</v>
      </c>
      <c r="I30" s="26">
        <f t="shared" si="0"/>
        <v>1439.4033333333334</v>
      </c>
    </row>
    <row r="31" spans="2:9">
      <c r="B31" s="235" t="s">
        <v>253</v>
      </c>
      <c r="C31" s="235"/>
      <c r="D31" s="237"/>
      <c r="E31" s="26">
        <f>'6. PEF2-3. INVERS. Y FINANC.'!F28</f>
        <v>5250</v>
      </c>
      <c r="F31" s="70"/>
      <c r="G31" s="71"/>
      <c r="H31" s="71"/>
      <c r="I31" s="71"/>
    </row>
    <row r="32" spans="2:9">
      <c r="B32" s="235" t="s">
        <v>250</v>
      </c>
      <c r="C32" s="235"/>
      <c r="D32" s="237"/>
      <c r="E32" s="26">
        <f>'6. PEF2-3. INVERS. Y FINANC.'!F26</f>
        <v>0</v>
      </c>
      <c r="F32" s="118">
        <v>3</v>
      </c>
      <c r="G32" s="26">
        <f t="shared" si="1"/>
        <v>0</v>
      </c>
      <c r="H32" s="26">
        <f t="shared" si="0"/>
        <v>0</v>
      </c>
      <c r="I32" s="26">
        <f t="shared" si="0"/>
        <v>0</v>
      </c>
    </row>
    <row r="33" spans="2:10">
      <c r="B33" s="235" t="s">
        <v>277</v>
      </c>
      <c r="C33" s="235"/>
      <c r="D33" s="237"/>
      <c r="E33" s="26">
        <f>SUM(E20:E32)-E31</f>
        <v>6362.0400000000009</v>
      </c>
      <c r="F33" s="40"/>
      <c r="G33" s="26">
        <f>SUM(G20:G32)</f>
        <v>2120.6800000000003</v>
      </c>
      <c r="H33" s="26">
        <f>SUM(H20:H32)</f>
        <v>2120.6800000000003</v>
      </c>
      <c r="I33" s="26">
        <f>SUM(I20:I32)</f>
        <v>2120.6800000000003</v>
      </c>
    </row>
    <row r="36" spans="2:10">
      <c r="B36" t="s">
        <v>278</v>
      </c>
      <c r="C36" t="s">
        <v>279</v>
      </c>
    </row>
    <row r="46" spans="2:10">
      <c r="B46" s="73"/>
      <c r="C46" s="73"/>
      <c r="D46" s="73"/>
      <c r="E46" s="73"/>
      <c r="F46" s="73"/>
      <c r="G46" s="73"/>
      <c r="H46" s="73"/>
      <c r="I46" s="73"/>
    </row>
    <row r="47" spans="2:10">
      <c r="B47" s="166"/>
      <c r="C47" s="166"/>
      <c r="D47" s="166"/>
      <c r="E47" s="166"/>
      <c r="F47" s="166"/>
      <c r="G47" s="166"/>
      <c r="H47" s="166"/>
      <c r="I47" s="166"/>
      <c r="J47" s="80"/>
    </row>
    <row r="49" spans="2:2" ht="17.45">
      <c r="B49" s="72"/>
    </row>
  </sheetData>
  <sheetProtection password="F817" sheet="1" objects="1" scenarios="1" selectLockedCells="1"/>
  <mergeCells count="26">
    <mergeCell ref="B47:I47"/>
    <mergeCell ref="B9:C9"/>
    <mergeCell ref="B14:C14"/>
    <mergeCell ref="B1:E1"/>
    <mergeCell ref="B31:D31"/>
    <mergeCell ref="B25:D25"/>
    <mergeCell ref="B26:D26"/>
    <mergeCell ref="B5:I5"/>
    <mergeCell ref="B22:D22"/>
    <mergeCell ref="B23:D23"/>
    <mergeCell ref="B30:D30"/>
    <mergeCell ref="B21:D21"/>
    <mergeCell ref="E14:F14"/>
    <mergeCell ref="B10:C10"/>
    <mergeCell ref="E10:F10"/>
    <mergeCell ref="B20:D20"/>
    <mergeCell ref="I1:I3"/>
    <mergeCell ref="B7:E7"/>
    <mergeCell ref="B32:D32"/>
    <mergeCell ref="B33:D33"/>
    <mergeCell ref="B19:D19"/>
    <mergeCell ref="B24:D24"/>
    <mergeCell ref="B27:D27"/>
    <mergeCell ref="B28:D28"/>
    <mergeCell ref="B29:D29"/>
    <mergeCell ref="E9:F9"/>
  </mergeCells>
  <phoneticPr fontId="2" type="noConversion"/>
  <dataValidations count="1">
    <dataValidation type="whole" allowBlank="1" showInputMessage="1" showErrorMessage="1" prompt="Máximo: 10 años" sqref="D10" xr:uid="{00000000-0002-0000-0700-000000000000}">
      <formula1>1</formula1>
      <formula2>10</formula2>
    </dataValidation>
  </dataValidations>
  <pageMargins left="0.59055118110236227" right="0.59055118110236227" top="0.39370078740157483" bottom="0.39370078740157483" header="0" footer="0"/>
  <pageSetup paperSize="9" orientation="portrait" horizontalDpi="200" verticalDpi="200"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indexed="22"/>
  </sheetPr>
  <dimension ref="A1:L57"/>
  <sheetViews>
    <sheetView showGridLines="0" topLeftCell="A11" zoomScaleNormal="100" workbookViewId="0">
      <selection activeCell="F28" sqref="F28"/>
    </sheetView>
  </sheetViews>
  <sheetFormatPr defaultColWidth="22.7109375" defaultRowHeight="13.15"/>
  <cols>
    <col min="1" max="2" width="4.7109375" style="7" customWidth="1"/>
    <col min="3" max="9" width="11.42578125" style="7" customWidth="1"/>
    <col min="10" max="10" width="9.7109375" style="7" customWidth="1"/>
    <col min="11" max="16384" width="22.7109375" style="7"/>
  </cols>
  <sheetData>
    <row r="1" spans="2:12" customFormat="1" ht="17.45">
      <c r="B1" s="244"/>
      <c r="C1" s="244"/>
      <c r="D1" s="244"/>
      <c r="E1" s="244"/>
      <c r="H1" s="7"/>
      <c r="I1" s="173"/>
      <c r="J1" s="7"/>
    </row>
    <row r="2" spans="2:12" customFormat="1">
      <c r="H2" s="7"/>
      <c r="I2" s="173"/>
      <c r="J2" s="7"/>
    </row>
    <row r="3" spans="2:12" customFormat="1" ht="17.45">
      <c r="B3" s="87"/>
      <c r="C3" s="8"/>
      <c r="D3" s="8"/>
      <c r="E3" s="8"/>
      <c r="F3" s="8"/>
      <c r="I3" s="173"/>
      <c r="J3" s="7"/>
    </row>
    <row r="4" spans="2:12" customFormat="1" ht="13.5" customHeight="1">
      <c r="B4" s="1"/>
      <c r="H4" s="7"/>
      <c r="I4" s="18"/>
      <c r="J4" s="7"/>
    </row>
    <row r="5" spans="2:12" customFormat="1" ht="42" customHeight="1">
      <c r="B5" s="233"/>
      <c r="C5" s="233"/>
      <c r="D5" s="233"/>
      <c r="E5" s="233"/>
      <c r="F5" s="233"/>
      <c r="G5" s="233"/>
      <c r="H5" s="233"/>
      <c r="I5" s="233"/>
      <c r="J5" s="7"/>
    </row>
    <row r="6" spans="2:12" ht="25.5" customHeight="1"/>
    <row r="7" spans="2:12" customFormat="1" ht="38.25" customHeight="1">
      <c r="B7" s="232"/>
      <c r="C7" s="232"/>
      <c r="D7" s="232"/>
    </row>
    <row r="9" spans="2:12">
      <c r="C9" s="243" t="s">
        <v>280</v>
      </c>
      <c r="D9" s="243"/>
      <c r="F9" s="28" t="s">
        <v>102</v>
      </c>
      <c r="G9" s="28" t="s">
        <v>281</v>
      </c>
      <c r="H9" s="28" t="s">
        <v>282</v>
      </c>
      <c r="I9" s="29"/>
    </row>
    <row r="10" spans="2:12">
      <c r="C10" s="29"/>
      <c r="D10" s="29"/>
      <c r="F10" s="28"/>
      <c r="G10" s="28"/>
      <c r="H10" s="28"/>
      <c r="I10" s="29"/>
    </row>
    <row r="11" spans="2:12">
      <c r="C11" s="245" t="s">
        <v>283</v>
      </c>
      <c r="D11" s="245"/>
      <c r="E11" s="245"/>
      <c r="F11" s="125">
        <f>'6. PEF1. PLAN COMERCIAL'!D15</f>
        <v>126000</v>
      </c>
      <c r="G11" s="125">
        <f>'6. PEF1. PLAN COMERCIAL'!E15</f>
        <v>144900</v>
      </c>
      <c r="H11" s="125">
        <f>'6. PEF1. PLAN COMERCIAL'!F15</f>
        <v>166635</v>
      </c>
      <c r="I11" s="126"/>
    </row>
    <row r="12" spans="2:12">
      <c r="C12" s="119"/>
      <c r="D12" s="119"/>
      <c r="F12" s="120"/>
      <c r="G12" s="120"/>
      <c r="H12" s="120"/>
      <c r="I12" s="120"/>
    </row>
    <row r="13" spans="2:12" ht="13.5" customHeight="1">
      <c r="C13" s="245" t="s">
        <v>284</v>
      </c>
      <c r="D13" s="245"/>
      <c r="E13" s="245"/>
      <c r="F13" s="125">
        <f>F15+F14+F16</f>
        <v>53704</v>
      </c>
      <c r="G13" s="125">
        <f>G15+G14+G16</f>
        <v>56389.200000000004</v>
      </c>
      <c r="H13" s="125">
        <f>H15+H14+H16</f>
        <v>59208.66</v>
      </c>
      <c r="I13" s="126"/>
    </row>
    <row r="14" spans="2:12" ht="12.75" customHeight="1">
      <c r="C14" s="247" t="s">
        <v>285</v>
      </c>
      <c r="D14" s="247"/>
      <c r="E14" s="248"/>
      <c r="F14" s="26">
        <f>'6. PEF1. PLAN COMERCIAL'!D25</f>
        <v>2900</v>
      </c>
      <c r="G14" s="26">
        <f>'6. PEF1. PLAN COMERCIAL'!E25</f>
        <v>3045</v>
      </c>
      <c r="H14" s="26">
        <f>'6. PEF1. PLAN COMERCIAL'!F25</f>
        <v>3197.25</v>
      </c>
      <c r="I14" s="2"/>
    </row>
    <row r="15" spans="2:12" ht="13.5" customHeight="1">
      <c r="C15" s="247" t="s">
        <v>286</v>
      </c>
      <c r="D15" s="247"/>
      <c r="E15" s="248"/>
      <c r="F15" s="89">
        <v>50803</v>
      </c>
      <c r="G15" s="26">
        <f>F15*(1+F42)</f>
        <v>53343.15</v>
      </c>
      <c r="H15" s="26">
        <f>G15*(1+F42)</f>
        <v>56010.307500000003</v>
      </c>
      <c r="I15" s="2"/>
    </row>
    <row r="16" spans="2:12" ht="27" customHeight="1">
      <c r="C16" s="247" t="s">
        <v>287</v>
      </c>
      <c r="D16" s="247"/>
      <c r="E16" s="248"/>
      <c r="F16" s="89">
        <v>1</v>
      </c>
      <c r="G16" s="26">
        <f>F16*(1+F43)</f>
        <v>1.05</v>
      </c>
      <c r="H16" s="26">
        <f>G16*(1+F42)</f>
        <v>1.1025</v>
      </c>
      <c r="I16" s="2"/>
      <c r="J16" s="122"/>
      <c r="K16" s="122"/>
      <c r="L16" s="122"/>
    </row>
    <row r="17" spans="3:12" ht="13.5" customHeight="1">
      <c r="C17" s="121"/>
      <c r="D17" s="121"/>
      <c r="F17" s="2"/>
      <c r="G17" s="2"/>
      <c r="H17" s="2"/>
      <c r="I17" s="2"/>
      <c r="J17" s="123"/>
      <c r="K17" s="122"/>
      <c r="L17" s="122"/>
    </row>
    <row r="18" spans="3:12" ht="13.5" customHeight="1">
      <c r="C18" s="245" t="s">
        <v>288</v>
      </c>
      <c r="D18" s="245"/>
      <c r="E18" s="245"/>
      <c r="F18" s="19">
        <f>F11-F13</f>
        <v>72296</v>
      </c>
      <c r="G18" s="19">
        <f>G11-G13</f>
        <v>88510.799999999988</v>
      </c>
      <c r="H18" s="19">
        <f>H11-H13</f>
        <v>107426.34</v>
      </c>
      <c r="I18" s="25"/>
      <c r="J18" s="122"/>
      <c r="K18" s="122"/>
      <c r="L18" s="122"/>
    </row>
    <row r="19" spans="3:12" ht="13.5" customHeight="1">
      <c r="C19" s="119"/>
      <c r="D19" s="119"/>
      <c r="F19" s="25"/>
      <c r="G19" s="25"/>
      <c r="H19" s="25"/>
      <c r="I19" s="25"/>
      <c r="J19" s="122"/>
      <c r="K19" s="122"/>
      <c r="L19" s="122"/>
    </row>
    <row r="20" spans="3:12" ht="25.5" customHeight="1">
      <c r="C20" s="245" t="s">
        <v>289</v>
      </c>
      <c r="D20" s="245"/>
      <c r="E20" s="124"/>
      <c r="F20" s="125">
        <f>SUM(F21:F31)</f>
        <v>66065.679999999993</v>
      </c>
      <c r="G20" s="125">
        <f>SUM(G21:G31)</f>
        <v>69263.029999999984</v>
      </c>
      <c r="H20" s="125">
        <f>SUM(H21:H31)</f>
        <v>72620.262499999997</v>
      </c>
      <c r="I20" s="126"/>
      <c r="J20" s="122"/>
      <c r="K20" s="122"/>
      <c r="L20" s="122"/>
    </row>
    <row r="21" spans="3:12" ht="13.5" customHeight="1">
      <c r="C21" s="247" t="s">
        <v>290</v>
      </c>
      <c r="D21" s="247"/>
      <c r="E21" s="248"/>
      <c r="F21" s="89">
        <v>50</v>
      </c>
      <c r="G21" s="26">
        <f>F21*(1+F43)</f>
        <v>52.5</v>
      </c>
      <c r="H21" s="26">
        <f>G21*(1+F43)</f>
        <v>55.125</v>
      </c>
      <c r="I21" s="2"/>
      <c r="J21" s="122"/>
      <c r="K21" s="122"/>
      <c r="L21" s="122"/>
    </row>
    <row r="22" spans="3:12" ht="13.5" customHeight="1">
      <c r="C22" s="247" t="s">
        <v>291</v>
      </c>
      <c r="D22" s="247"/>
      <c r="E22" s="248"/>
      <c r="F22" s="89">
        <v>1</v>
      </c>
      <c r="G22" s="26">
        <f>F22*(1+F43)</f>
        <v>1.05</v>
      </c>
      <c r="H22" s="26">
        <f>G22*(1+F43)</f>
        <v>1.1025</v>
      </c>
      <c r="I22" s="2"/>
      <c r="J22" s="122"/>
      <c r="K22" s="122"/>
      <c r="L22" s="122"/>
    </row>
    <row r="23" spans="3:12" ht="13.5" customHeight="1">
      <c r="C23" s="247" t="s">
        <v>292</v>
      </c>
      <c r="D23" s="247"/>
      <c r="E23" s="248"/>
      <c r="F23" s="89">
        <v>384</v>
      </c>
      <c r="G23" s="26">
        <f>F23*(1+F43)</f>
        <v>403.20000000000005</v>
      </c>
      <c r="H23" s="26">
        <f>G23*(1+F43)</f>
        <v>423.36000000000007</v>
      </c>
      <c r="I23" s="2"/>
      <c r="J23" s="122"/>
      <c r="K23" s="122"/>
      <c r="L23" s="122"/>
    </row>
    <row r="24" spans="3:12" ht="27" customHeight="1">
      <c r="C24" s="247" t="s">
        <v>293</v>
      </c>
      <c r="D24" s="247"/>
      <c r="E24" s="248"/>
      <c r="F24" s="89">
        <v>23814</v>
      </c>
      <c r="G24" s="26">
        <f>F24*(1+F43)</f>
        <v>25004.7</v>
      </c>
      <c r="H24" s="26">
        <f>G24*(1+F43)</f>
        <v>26254.935000000001</v>
      </c>
      <c r="I24" s="2"/>
      <c r="J24" s="122"/>
      <c r="K24" s="122"/>
      <c r="L24" s="122"/>
    </row>
    <row r="25" spans="3:12" ht="13.5" customHeight="1">
      <c r="C25" s="247" t="s">
        <v>294</v>
      </c>
      <c r="D25" s="247"/>
      <c r="E25" s="248"/>
      <c r="F25" s="89">
        <v>520</v>
      </c>
      <c r="G25" s="26">
        <f>F25*(1+F43)</f>
        <v>546</v>
      </c>
      <c r="H25" s="26">
        <f>G25*(1+F43)</f>
        <v>573.30000000000007</v>
      </c>
      <c r="I25" s="2"/>
      <c r="J25" s="122"/>
      <c r="K25" s="122"/>
      <c r="L25" s="122"/>
    </row>
    <row r="26" spans="3:12" ht="13.5" customHeight="1">
      <c r="C26" s="247" t="s">
        <v>295</v>
      </c>
      <c r="D26" s="247"/>
      <c r="E26" s="248"/>
      <c r="F26" s="89">
        <v>2500</v>
      </c>
      <c r="G26" s="26">
        <f>F26*(1+F43)</f>
        <v>2625</v>
      </c>
      <c r="H26" s="26">
        <f>G26*(1+F43)</f>
        <v>2756.25</v>
      </c>
      <c r="I26" s="2"/>
      <c r="J26" s="122"/>
      <c r="K26" s="122"/>
      <c r="L26" s="122"/>
    </row>
    <row r="27" spans="3:12" ht="13.5" customHeight="1">
      <c r="C27" s="247" t="s">
        <v>296</v>
      </c>
      <c r="D27" s="247"/>
      <c r="E27" s="248"/>
      <c r="F27" s="89">
        <v>1</v>
      </c>
      <c r="G27" s="26">
        <f>F27*(1+F43)</f>
        <v>1.05</v>
      </c>
      <c r="H27" s="26">
        <f>G27*(1+F43)</f>
        <v>1.1025</v>
      </c>
      <c r="I27" s="2"/>
      <c r="J27" s="122"/>
      <c r="K27" s="122"/>
      <c r="L27" s="122"/>
    </row>
    <row r="28" spans="3:12" ht="13.5" customHeight="1">
      <c r="C28" s="247" t="s">
        <v>297</v>
      </c>
      <c r="D28" s="247"/>
      <c r="E28" s="248"/>
      <c r="F28" s="89">
        <v>36673</v>
      </c>
      <c r="G28" s="26">
        <f>F28*(1+F43)</f>
        <v>38506.65</v>
      </c>
      <c r="H28" s="26">
        <f>G28*(1+F43)</f>
        <v>40431.982500000006</v>
      </c>
      <c r="I28" s="2"/>
      <c r="J28" s="122"/>
      <c r="K28" s="122"/>
      <c r="L28" s="122"/>
    </row>
    <row r="29" spans="3:12" ht="13.5" customHeight="1">
      <c r="C29" s="247" t="s">
        <v>298</v>
      </c>
      <c r="D29" s="247"/>
      <c r="E29" s="248"/>
      <c r="F29" s="89">
        <v>1</v>
      </c>
      <c r="G29" s="26">
        <f>F29*(1+F44)</f>
        <v>1.1499999999999999</v>
      </c>
      <c r="H29" s="26">
        <f>G29*(1+F44)</f>
        <v>1.3224999999999998</v>
      </c>
      <c r="I29" s="2"/>
      <c r="J29" s="122"/>
      <c r="K29" s="122"/>
      <c r="L29" s="122"/>
    </row>
    <row r="30" spans="3:12" ht="13.5" customHeight="1">
      <c r="C30" s="247" t="s">
        <v>299</v>
      </c>
      <c r="D30" s="247"/>
      <c r="E30" s="248"/>
      <c r="F30" s="26">
        <f>'6.PEF4. AMORTIZACIÓN'!G33</f>
        <v>2120.6800000000003</v>
      </c>
      <c r="G30" s="26">
        <f>'6.PEF4. AMORTIZACIÓN'!G33</f>
        <v>2120.6800000000003</v>
      </c>
      <c r="H30" s="26">
        <f>'6.PEF4. AMORTIZACIÓN'!G33</f>
        <v>2120.6800000000003</v>
      </c>
      <c r="I30" s="2"/>
      <c r="J30" s="46"/>
      <c r="K30" s="122"/>
      <c r="L30" s="122"/>
    </row>
    <row r="31" spans="3:12" ht="13.5" customHeight="1">
      <c r="C31" s="247" t="s">
        <v>300</v>
      </c>
      <c r="D31" s="247"/>
      <c r="E31" s="248"/>
      <c r="F31" s="89">
        <v>1</v>
      </c>
      <c r="G31" s="26">
        <f>F31*(1+F43)</f>
        <v>1.05</v>
      </c>
      <c r="H31" s="26">
        <f>G31*(1+F43)</f>
        <v>1.1025</v>
      </c>
      <c r="I31" s="2"/>
      <c r="J31" s="123"/>
      <c r="K31" s="122"/>
      <c r="L31" s="122"/>
    </row>
    <row r="32" spans="3:12" ht="5.0999999999999996" customHeight="1">
      <c r="C32" s="246"/>
      <c r="D32" s="246"/>
      <c r="E32" s="122"/>
      <c r="F32" s="25"/>
      <c r="G32" s="25"/>
      <c r="H32" s="25"/>
      <c r="I32" s="25"/>
      <c r="J32" s="122"/>
      <c r="K32" s="122"/>
      <c r="L32" s="122"/>
    </row>
    <row r="33" spans="3:12" ht="5.0999999999999996" customHeight="1">
      <c r="C33" s="119"/>
      <c r="D33" s="119"/>
      <c r="F33" s="25"/>
      <c r="G33" s="25"/>
      <c r="H33" s="25"/>
      <c r="I33" s="25"/>
      <c r="J33" s="127"/>
      <c r="K33" s="122"/>
      <c r="L33" s="122"/>
    </row>
    <row r="34" spans="3:12" ht="5.0999999999999996" customHeight="1">
      <c r="C34" s="246"/>
      <c r="D34" s="246"/>
      <c r="F34" s="128"/>
      <c r="G34" s="128"/>
      <c r="H34" s="128"/>
      <c r="I34" s="25"/>
      <c r="J34" s="129"/>
      <c r="K34" s="122"/>
      <c r="L34" s="122"/>
    </row>
    <row r="35" spans="3:12" ht="5.0999999999999996" customHeight="1">
      <c r="C35" s="119"/>
      <c r="D35" s="119"/>
      <c r="F35" s="25"/>
      <c r="G35" s="25"/>
      <c r="H35" s="25"/>
      <c r="I35" s="25"/>
      <c r="J35" s="122"/>
      <c r="K35" s="122"/>
      <c r="L35" s="122"/>
    </row>
    <row r="36" spans="3:12" ht="5.0999999999999996" customHeight="1">
      <c r="C36" s="246"/>
      <c r="D36" s="246"/>
      <c r="E36" s="122"/>
      <c r="F36" s="25"/>
      <c r="G36" s="25"/>
      <c r="H36" s="25"/>
      <c r="I36" s="25"/>
      <c r="J36" s="122"/>
      <c r="K36" s="122"/>
      <c r="L36" s="122"/>
    </row>
    <row r="37" spans="3:12" ht="5.0999999999999996" customHeight="1">
      <c r="C37" s="119"/>
      <c r="D37" s="119"/>
      <c r="F37" s="25"/>
      <c r="G37" s="25"/>
      <c r="H37" s="25"/>
      <c r="I37" s="25"/>
      <c r="J37" s="122"/>
      <c r="K37" s="122"/>
      <c r="L37" s="122"/>
    </row>
    <row r="38" spans="3:12" ht="5.0999999999999996" customHeight="1">
      <c r="C38" s="246"/>
      <c r="D38" s="246"/>
      <c r="E38" s="122"/>
      <c r="F38" s="25"/>
      <c r="G38" s="25"/>
      <c r="H38" s="25"/>
      <c r="I38" s="25"/>
      <c r="J38" s="122"/>
      <c r="K38" s="122"/>
      <c r="L38" s="122"/>
    </row>
    <row r="39" spans="3:12" ht="5.0999999999999996" customHeight="1">
      <c r="C39" s="119"/>
      <c r="D39" s="119"/>
      <c r="F39" s="130"/>
      <c r="G39" s="130"/>
      <c r="H39" s="130"/>
      <c r="I39" s="130"/>
      <c r="J39" s="122"/>
      <c r="K39" s="122"/>
      <c r="L39" s="122"/>
    </row>
    <row r="40" spans="3:12" ht="5.0999999999999996" customHeight="1">
      <c r="C40" s="246"/>
      <c r="D40" s="246"/>
      <c r="E40" s="122"/>
      <c r="F40" s="25"/>
      <c r="G40" s="25"/>
      <c r="H40" s="25"/>
      <c r="I40" s="25"/>
      <c r="J40" s="122"/>
      <c r="K40" s="122"/>
      <c r="L40" s="122"/>
    </row>
    <row r="41" spans="3:12">
      <c r="C41" s="14"/>
      <c r="D41" s="14"/>
    </row>
    <row r="42" spans="3:12">
      <c r="C42" s="7" t="s">
        <v>301</v>
      </c>
      <c r="F42" s="131">
        <f>'6. PEF1. PLAN COMERCIAL'!F29</f>
        <v>0.05</v>
      </c>
    </row>
    <row r="43" spans="3:12">
      <c r="C43" s="7" t="s">
        <v>302</v>
      </c>
      <c r="F43" s="133">
        <v>0.05</v>
      </c>
    </row>
    <row r="44" spans="3:12">
      <c r="C44" s="249" t="s">
        <v>303</v>
      </c>
      <c r="D44" s="249"/>
      <c r="E44" s="249"/>
      <c r="F44" s="133">
        <v>0.15</v>
      </c>
    </row>
    <row r="51" spans="1:9" ht="24.75" customHeight="1">
      <c r="B51" s="132"/>
      <c r="C51" s="132"/>
      <c r="D51" s="132"/>
      <c r="E51" s="132"/>
      <c r="F51" s="132"/>
      <c r="G51" s="132"/>
      <c r="H51" s="132"/>
      <c r="I51" s="132"/>
    </row>
    <row r="52" spans="1:9">
      <c r="A52" s="80"/>
      <c r="B52" s="166"/>
      <c r="C52" s="166"/>
      <c r="D52" s="166"/>
      <c r="E52" s="166"/>
      <c r="F52" s="166"/>
      <c r="G52" s="166"/>
      <c r="H52" s="166"/>
      <c r="I52" s="166"/>
    </row>
    <row r="53" spans="1:9">
      <c r="A53"/>
      <c r="B53"/>
      <c r="C53"/>
      <c r="D53"/>
      <c r="E53"/>
      <c r="F53"/>
      <c r="G53"/>
      <c r="H53"/>
      <c r="I53"/>
    </row>
    <row r="54" spans="1:9" ht="17.45">
      <c r="A54"/>
      <c r="B54" s="72"/>
      <c r="C54"/>
      <c r="D54"/>
      <c r="E54"/>
      <c r="F54"/>
      <c r="G54"/>
      <c r="H54"/>
      <c r="I54"/>
    </row>
    <row r="55" spans="1:9">
      <c r="A55"/>
      <c r="B55"/>
      <c r="C55"/>
      <c r="D55"/>
      <c r="E55"/>
      <c r="F55"/>
      <c r="G55"/>
      <c r="H55"/>
      <c r="I55"/>
    </row>
    <row r="56" spans="1:9">
      <c r="A56"/>
      <c r="B56"/>
      <c r="C56"/>
      <c r="D56"/>
      <c r="E56"/>
      <c r="F56"/>
      <c r="G56"/>
      <c r="H56"/>
      <c r="I56"/>
    </row>
    <row r="57" spans="1:9" ht="1.9" customHeight="1"/>
  </sheetData>
  <sheetProtection password="F817" sheet="1" objects="1" scenarios="1" selectLockedCells="1"/>
  <mergeCells count="30">
    <mergeCell ref="B52:I52"/>
    <mergeCell ref="C22:E22"/>
    <mergeCell ref="C23:E23"/>
    <mergeCell ref="C24:E24"/>
    <mergeCell ref="C13:E13"/>
    <mergeCell ref="C44:E44"/>
    <mergeCell ref="C36:D36"/>
    <mergeCell ref="C38:D38"/>
    <mergeCell ref="C40:D40"/>
    <mergeCell ref="C11:E11"/>
    <mergeCell ref="C34:D34"/>
    <mergeCell ref="C18:E18"/>
    <mergeCell ref="C25:E25"/>
    <mergeCell ref="C26:E26"/>
    <mergeCell ref="C32:D32"/>
    <mergeCell ref="C14:E14"/>
    <mergeCell ref="C20:D20"/>
    <mergeCell ref="C15:E15"/>
    <mergeCell ref="C16:E16"/>
    <mergeCell ref="C21:E21"/>
    <mergeCell ref="C27:E27"/>
    <mergeCell ref="C28:E28"/>
    <mergeCell ref="C29:E29"/>
    <mergeCell ref="C30:E30"/>
    <mergeCell ref="C31:E31"/>
    <mergeCell ref="I1:I3"/>
    <mergeCell ref="B7:D7"/>
    <mergeCell ref="C9:D9"/>
    <mergeCell ref="B5:I5"/>
    <mergeCell ref="B1:E1"/>
  </mergeCells>
  <phoneticPr fontId="2" type="noConversion"/>
  <pageMargins left="0.59055118110236227" right="0.59055118110236227" top="0.39370078740157483" bottom="0.39370078740157483" header="0" footer="0"/>
  <pageSetup paperSize="9"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indexed="22"/>
  </sheetPr>
  <dimension ref="A1:BK65"/>
  <sheetViews>
    <sheetView showGridLines="0" topLeftCell="AT5" zoomScale="85" zoomScaleNormal="85" workbookViewId="0">
      <selection activeCell="F28" sqref="F28"/>
    </sheetView>
  </sheetViews>
  <sheetFormatPr defaultColWidth="11.42578125" defaultRowHeight="13.15"/>
  <cols>
    <col min="1" max="2" width="4.7109375" customWidth="1"/>
    <col min="10" max="11" width="4.7109375" customWidth="1"/>
    <col min="19" max="20" width="4.7109375" customWidth="1"/>
    <col min="28" max="29" width="4.7109375" customWidth="1"/>
    <col min="37" max="38" width="4.7109375" customWidth="1"/>
    <col min="46" max="47" width="4.7109375" customWidth="1"/>
    <col min="53" max="54" width="11.5703125" bestFit="1" customWidth="1"/>
    <col min="55" max="56" width="4.7109375" customWidth="1"/>
    <col min="58" max="60" width="15.7109375" customWidth="1"/>
    <col min="61" max="61" width="10.140625" customWidth="1"/>
  </cols>
  <sheetData>
    <row r="1" spans="2:63" ht="18" customHeight="1">
      <c r="B1" s="88"/>
      <c r="C1" s="88"/>
      <c r="D1" s="163"/>
      <c r="E1" s="163"/>
      <c r="I1" s="173"/>
      <c r="K1" s="225"/>
      <c r="L1" s="225"/>
      <c r="M1" s="225"/>
      <c r="N1" s="225"/>
      <c r="R1" s="173"/>
      <c r="T1" s="225"/>
      <c r="U1" s="225"/>
      <c r="V1" s="225"/>
      <c r="W1" s="225"/>
      <c r="AA1" s="173"/>
      <c r="AC1" s="225"/>
      <c r="AD1" s="225"/>
      <c r="AE1" s="225"/>
      <c r="AF1" s="225"/>
      <c r="AJ1" s="173"/>
      <c r="AL1" s="225"/>
      <c r="AM1" s="225"/>
      <c r="AN1" s="225"/>
      <c r="AO1" s="225"/>
      <c r="AS1" s="173"/>
      <c r="AU1" s="225"/>
      <c r="AV1" s="225"/>
      <c r="AW1" s="225"/>
      <c r="AX1" s="225"/>
      <c r="BB1" s="173"/>
      <c r="BD1" s="225"/>
      <c r="BE1" s="225"/>
      <c r="BF1" s="225"/>
      <c r="BG1" s="225"/>
      <c r="BK1" s="173"/>
    </row>
    <row r="2" spans="2:63" ht="12.75" customHeight="1">
      <c r="I2" s="173"/>
      <c r="R2" s="173"/>
      <c r="AA2" s="173"/>
      <c r="AJ2" s="173"/>
      <c r="AS2" s="173"/>
      <c r="BB2" s="173"/>
      <c r="BK2" s="173"/>
    </row>
    <row r="3" spans="2:63" ht="18.75" customHeight="1">
      <c r="B3" s="88"/>
      <c r="C3" s="88"/>
      <c r="D3" s="88"/>
      <c r="E3" s="88"/>
      <c r="F3" s="163"/>
      <c r="I3" s="173"/>
      <c r="K3" s="88"/>
      <c r="L3" s="88"/>
      <c r="M3" s="88"/>
      <c r="N3" s="88"/>
      <c r="O3" s="163"/>
      <c r="R3" s="173"/>
      <c r="T3" s="88"/>
      <c r="U3" s="88"/>
      <c r="V3" s="88"/>
      <c r="W3" s="88"/>
      <c r="X3" s="163"/>
      <c r="AA3" s="173"/>
      <c r="AC3" s="88"/>
      <c r="AD3" s="88"/>
      <c r="AE3" s="88"/>
      <c r="AF3" s="88"/>
      <c r="AG3" s="163"/>
      <c r="AJ3" s="173"/>
      <c r="AL3" s="88"/>
      <c r="AM3" s="88"/>
      <c r="AN3" s="88"/>
      <c r="AO3" s="88"/>
      <c r="AP3" s="163"/>
      <c r="AS3" s="173"/>
      <c r="AU3" s="88"/>
      <c r="AV3" s="88"/>
      <c r="AW3" s="88"/>
      <c r="AX3" s="88"/>
      <c r="AY3" s="163"/>
      <c r="BB3" s="173"/>
      <c r="BD3" s="88"/>
      <c r="BE3" s="88"/>
      <c r="BF3" s="88"/>
      <c r="BG3" s="88"/>
      <c r="BH3" s="163"/>
      <c r="BK3" s="173"/>
    </row>
    <row r="4" spans="2:63" s="5" customFormat="1" ht="17.45">
      <c r="B4"/>
      <c r="C4" s="1"/>
      <c r="D4"/>
      <c r="E4"/>
      <c r="F4"/>
      <c r="G4"/>
      <c r="H4"/>
      <c r="I4" s="260" t="s">
        <v>304</v>
      </c>
      <c r="K4"/>
      <c r="L4" s="1"/>
      <c r="M4"/>
      <c r="N4"/>
      <c r="O4"/>
      <c r="P4"/>
      <c r="Q4"/>
      <c r="R4" s="260" t="s">
        <v>305</v>
      </c>
      <c r="T4"/>
      <c r="U4" s="1"/>
      <c r="V4"/>
      <c r="W4"/>
      <c r="X4"/>
      <c r="Y4"/>
      <c r="Z4"/>
      <c r="AA4" s="260" t="s">
        <v>306</v>
      </c>
      <c r="AC4"/>
      <c r="AD4" s="1"/>
      <c r="AE4"/>
      <c r="AF4"/>
      <c r="AG4"/>
      <c r="AH4"/>
      <c r="AI4"/>
      <c r="AJ4" s="260" t="s">
        <v>307</v>
      </c>
      <c r="AL4"/>
      <c r="AM4" s="1"/>
      <c r="AN4"/>
      <c r="AO4"/>
      <c r="AP4"/>
      <c r="AQ4"/>
      <c r="AR4"/>
      <c r="AS4" s="260" t="s">
        <v>308</v>
      </c>
      <c r="AU4"/>
      <c r="AV4" s="1"/>
      <c r="AW4"/>
      <c r="AX4"/>
      <c r="AY4"/>
      <c r="AZ4"/>
      <c r="BA4"/>
      <c r="BB4" s="260" t="s">
        <v>309</v>
      </c>
      <c r="BD4"/>
      <c r="BE4" s="1"/>
      <c r="BF4"/>
      <c r="BG4"/>
      <c r="BH4"/>
      <c r="BI4"/>
      <c r="BJ4" s="260" t="s">
        <v>310</v>
      </c>
    </row>
    <row r="5" spans="2:63" ht="12.75" customHeight="1">
      <c r="B5" s="170"/>
      <c r="C5" s="170"/>
      <c r="D5" s="170"/>
      <c r="E5" s="170"/>
      <c r="F5" s="170"/>
      <c r="I5" s="260"/>
      <c r="K5" s="170"/>
      <c r="L5" s="170"/>
      <c r="M5" s="170"/>
      <c r="N5" s="170"/>
      <c r="O5" s="170"/>
      <c r="R5" s="260"/>
      <c r="T5" s="170"/>
      <c r="U5" s="170"/>
      <c r="V5" s="170"/>
      <c r="W5" s="170"/>
      <c r="X5" s="170"/>
      <c r="AA5" s="260"/>
      <c r="AC5" s="170"/>
      <c r="AD5" s="170"/>
      <c r="AE5" s="170"/>
      <c r="AF5" s="170"/>
      <c r="AG5" s="170"/>
      <c r="AJ5" s="260"/>
      <c r="AL5" s="170"/>
      <c r="AM5" s="170"/>
      <c r="AN5" s="170"/>
      <c r="AO5" s="170"/>
      <c r="AP5" s="170"/>
      <c r="AS5" s="260"/>
      <c r="AU5" s="170"/>
      <c r="AV5" s="170"/>
      <c r="AW5" s="170"/>
      <c r="AX5" s="170"/>
      <c r="AY5" s="170"/>
      <c r="BB5" s="260"/>
      <c r="BD5" s="170"/>
      <c r="BE5" s="170"/>
      <c r="BF5" s="170"/>
      <c r="BG5" s="170"/>
      <c r="BH5" s="170"/>
      <c r="BJ5" s="260"/>
    </row>
    <row r="7" spans="2:63" s="5" customFormat="1" ht="15" customHeight="1">
      <c r="B7"/>
      <c r="C7"/>
      <c r="D7"/>
      <c r="E7"/>
      <c r="F7"/>
      <c r="G7"/>
      <c r="H7"/>
      <c r="I7"/>
      <c r="K7"/>
      <c r="L7"/>
      <c r="M7"/>
      <c r="N7"/>
      <c r="O7"/>
      <c r="P7"/>
      <c r="Q7"/>
      <c r="R7"/>
      <c r="T7"/>
      <c r="U7"/>
      <c r="V7"/>
      <c r="W7"/>
      <c r="X7"/>
      <c r="Y7"/>
      <c r="Z7"/>
      <c r="AA7"/>
      <c r="AC7"/>
      <c r="AD7"/>
      <c r="AE7"/>
      <c r="AF7"/>
      <c r="AG7"/>
      <c r="AH7"/>
      <c r="AI7"/>
      <c r="AJ7"/>
      <c r="AL7"/>
      <c r="AM7"/>
      <c r="AN7"/>
      <c r="AO7"/>
      <c r="AP7"/>
      <c r="AQ7"/>
      <c r="AR7"/>
      <c r="AS7"/>
      <c r="AU7"/>
      <c r="AV7"/>
      <c r="AW7"/>
      <c r="AX7"/>
      <c r="AY7"/>
      <c r="AZ7"/>
      <c r="BA7"/>
      <c r="BB7"/>
      <c r="BD7"/>
      <c r="BE7"/>
      <c r="BF7"/>
      <c r="BG7"/>
      <c r="BH7"/>
      <c r="BI7"/>
      <c r="BJ7"/>
      <c r="BK7"/>
    </row>
    <row r="8" spans="2:63" ht="12.75" customHeight="1">
      <c r="B8" s="231" t="s">
        <v>311</v>
      </c>
      <c r="C8" s="231"/>
      <c r="D8" s="20" t="s">
        <v>206</v>
      </c>
      <c r="E8" s="20" t="s">
        <v>207</v>
      </c>
      <c r="F8" s="20" t="s">
        <v>208</v>
      </c>
      <c r="G8" s="20" t="s">
        <v>209</v>
      </c>
      <c r="H8" s="20" t="s">
        <v>210</v>
      </c>
      <c r="I8" s="20" t="s">
        <v>211</v>
      </c>
      <c r="K8" s="231" t="s">
        <v>311</v>
      </c>
      <c r="L8" s="231"/>
      <c r="M8" s="20" t="s">
        <v>212</v>
      </c>
      <c r="N8" s="20" t="s">
        <v>213</v>
      </c>
      <c r="O8" s="20" t="s">
        <v>214</v>
      </c>
      <c r="P8" s="20" t="s">
        <v>215</v>
      </c>
      <c r="Q8" s="20" t="s">
        <v>216</v>
      </c>
      <c r="R8" s="20" t="s">
        <v>217</v>
      </c>
      <c r="T8" s="231" t="s">
        <v>311</v>
      </c>
      <c r="U8" s="231"/>
      <c r="V8" s="20" t="s">
        <v>312</v>
      </c>
      <c r="W8" s="20" t="s">
        <v>313</v>
      </c>
      <c r="X8" s="20" t="s">
        <v>314</v>
      </c>
      <c r="Y8" s="20" t="s">
        <v>315</v>
      </c>
      <c r="Z8" s="20" t="s">
        <v>316</v>
      </c>
      <c r="AA8" s="20" t="s">
        <v>317</v>
      </c>
      <c r="AC8" s="231" t="s">
        <v>311</v>
      </c>
      <c r="AD8" s="231"/>
      <c r="AE8" s="20" t="s">
        <v>318</v>
      </c>
      <c r="AF8" s="20" t="s">
        <v>319</v>
      </c>
      <c r="AG8" s="20" t="s">
        <v>320</v>
      </c>
      <c r="AH8" s="20" t="s">
        <v>321</v>
      </c>
      <c r="AI8" s="20" t="s">
        <v>322</v>
      </c>
      <c r="AJ8" s="20" t="s">
        <v>323</v>
      </c>
      <c r="AL8" s="231" t="s">
        <v>311</v>
      </c>
      <c r="AM8" s="231"/>
      <c r="AN8" s="20" t="s">
        <v>324</v>
      </c>
      <c r="AO8" s="20" t="s">
        <v>325</v>
      </c>
      <c r="AP8" s="20" t="s">
        <v>326</v>
      </c>
      <c r="AQ8" s="20" t="s">
        <v>327</v>
      </c>
      <c r="AR8" s="20" t="s">
        <v>328</v>
      </c>
      <c r="AS8" s="20" t="s">
        <v>329</v>
      </c>
      <c r="AU8" s="231" t="s">
        <v>311</v>
      </c>
      <c r="AV8" s="231"/>
      <c r="AW8" s="20" t="s">
        <v>330</v>
      </c>
      <c r="AX8" s="20" t="s">
        <v>331</v>
      </c>
      <c r="AY8" s="20" t="s">
        <v>332</v>
      </c>
      <c r="AZ8" s="20" t="s">
        <v>333</v>
      </c>
      <c r="BA8" s="20" t="s">
        <v>334</v>
      </c>
      <c r="BB8" s="20" t="s">
        <v>335</v>
      </c>
      <c r="BD8" s="231" t="s">
        <v>311</v>
      </c>
      <c r="BE8" s="231"/>
      <c r="BF8" s="20" t="s">
        <v>336</v>
      </c>
      <c r="BG8" s="20" t="s">
        <v>337</v>
      </c>
      <c r="BH8" s="20" t="s">
        <v>338</v>
      </c>
      <c r="BI8" s="32"/>
      <c r="BJ8" s="32"/>
      <c r="BK8" s="32"/>
    </row>
    <row r="9" spans="2:63">
      <c r="C9" s="9"/>
      <c r="D9" s="32"/>
      <c r="E9" s="32"/>
      <c r="F9" s="32"/>
      <c r="G9" s="32"/>
      <c r="H9" s="32"/>
      <c r="I9" s="32"/>
      <c r="P9" s="9"/>
      <c r="Q9" s="9"/>
      <c r="R9" s="9"/>
      <c r="U9" s="9"/>
      <c r="V9" s="32"/>
      <c r="W9" s="32"/>
      <c r="X9" s="32"/>
      <c r="Y9" s="32"/>
      <c r="Z9" s="32"/>
      <c r="AA9" s="32"/>
      <c r="AH9" s="9"/>
      <c r="AI9" s="9"/>
      <c r="AJ9" s="9"/>
      <c r="AM9" s="9"/>
      <c r="AN9" s="32"/>
      <c r="AO9" s="32"/>
      <c r="AP9" s="32"/>
      <c r="AQ9" s="32"/>
      <c r="AR9" s="32"/>
      <c r="AS9" s="32"/>
      <c r="AZ9" s="9"/>
      <c r="BA9" s="9"/>
      <c r="BB9" s="9"/>
      <c r="BI9" s="9"/>
      <c r="BJ9" s="9"/>
      <c r="BK9" s="9"/>
    </row>
    <row r="10" spans="2:63" ht="12.75" customHeight="1">
      <c r="B10" s="258" t="s">
        <v>70</v>
      </c>
      <c r="C10" s="259"/>
      <c r="D10" s="26">
        <f>'6. PEF1. PLAN COMERCIAL'!D10</f>
        <v>25000</v>
      </c>
      <c r="E10" s="26">
        <f>'6. PEF1. PLAN COMERCIAL'!E10</f>
        <v>15000</v>
      </c>
      <c r="F10" s="26">
        <f>'6. PEF1. PLAN COMERCIAL'!F10</f>
        <v>12000</v>
      </c>
      <c r="G10" s="26">
        <f>'6. PEF1. PLAN COMERCIAL'!G10</f>
        <v>10000</v>
      </c>
      <c r="H10" s="26">
        <f>'6. PEF1. PLAN COMERCIAL'!H10</f>
        <v>10000</v>
      </c>
      <c r="I10" s="26">
        <f>'6. PEF1. PLAN COMERCIAL'!I10</f>
        <v>8000</v>
      </c>
      <c r="K10" s="258" t="s">
        <v>70</v>
      </c>
      <c r="L10" s="259"/>
      <c r="M10" s="26">
        <f>'6. PEF1. PLAN COMERCIAL'!D12</f>
        <v>6000</v>
      </c>
      <c r="N10" s="26">
        <f>'6. PEF1. PLAN COMERCIAL'!E12</f>
        <v>6000</v>
      </c>
      <c r="O10" s="26">
        <f>'6. PEF1. PLAN COMERCIAL'!F12</f>
        <v>15000</v>
      </c>
      <c r="P10" s="26">
        <f>'6. PEF1. PLAN COMERCIAL'!G12</f>
        <v>7500</v>
      </c>
      <c r="Q10" s="26">
        <f>'6. PEF1. PLAN COMERCIAL'!H12</f>
        <v>5000</v>
      </c>
      <c r="R10" s="26">
        <f>'6. PEF1. PLAN COMERCIAL'!I12</f>
        <v>6500</v>
      </c>
      <c r="T10" s="258" t="s">
        <v>70</v>
      </c>
      <c r="U10" s="259"/>
      <c r="V10" s="26">
        <f>D10*(1+'6. PEF1. PLAN COMERCIAL'!$F$28)</f>
        <v>28749.999999999996</v>
      </c>
      <c r="W10" s="26">
        <f>E10*(1+'6. PEF1. PLAN COMERCIAL'!$F$28)</f>
        <v>17250</v>
      </c>
      <c r="X10" s="26">
        <f>F10*(1+'6. PEF1. PLAN COMERCIAL'!$F$28)</f>
        <v>13799.999999999998</v>
      </c>
      <c r="Y10" s="26">
        <f>G10*(1+'6. PEF1. PLAN COMERCIAL'!$F$28)</f>
        <v>11500</v>
      </c>
      <c r="Z10" s="26">
        <f>H10*(1+'6. PEF1. PLAN COMERCIAL'!$F$28)</f>
        <v>11500</v>
      </c>
      <c r="AA10" s="26">
        <f>I10*(1+'6. PEF1. PLAN COMERCIAL'!$F$28)</f>
        <v>9200</v>
      </c>
      <c r="AC10" s="258" t="s">
        <v>70</v>
      </c>
      <c r="AD10" s="259"/>
      <c r="AE10" s="26">
        <f>M10*(1+'6. PEF1. PLAN COMERCIAL'!$F$28)</f>
        <v>6899.9999999999991</v>
      </c>
      <c r="AF10" s="26">
        <f>N10*(1+'6. PEF1. PLAN COMERCIAL'!$F$28)</f>
        <v>6899.9999999999991</v>
      </c>
      <c r="AG10" s="26">
        <f>O10*(1+'6. PEF1. PLAN COMERCIAL'!$F$28)</f>
        <v>17250</v>
      </c>
      <c r="AH10" s="26">
        <f>P10*(1+'6. PEF1. PLAN COMERCIAL'!$F$28)</f>
        <v>8625</v>
      </c>
      <c r="AI10" s="26">
        <f>Q10*(1+'6. PEF1. PLAN COMERCIAL'!$F$28)</f>
        <v>5750</v>
      </c>
      <c r="AJ10" s="26">
        <f>R10*(1+'6. PEF1. PLAN COMERCIAL'!$F$28)</f>
        <v>7474.9999999999991</v>
      </c>
      <c r="AL10" s="258" t="s">
        <v>70</v>
      </c>
      <c r="AM10" s="259"/>
      <c r="AN10" s="26">
        <f>V10*(1+'6. PEF1. PLAN COMERCIAL'!$F$28)</f>
        <v>33062.499999999993</v>
      </c>
      <c r="AO10" s="26">
        <f>W10*(1+'6. PEF1. PLAN COMERCIAL'!$F$28)</f>
        <v>19837.5</v>
      </c>
      <c r="AP10" s="26">
        <f>X10*(1+'6. PEF1. PLAN COMERCIAL'!$F$28)</f>
        <v>15869.999999999996</v>
      </c>
      <c r="AQ10" s="26">
        <f>Y10*(1+'6. PEF1. PLAN COMERCIAL'!$F$28)</f>
        <v>13224.999999999998</v>
      </c>
      <c r="AR10" s="26">
        <f>Z10*(1+'6. PEF1. PLAN COMERCIAL'!$F$28)</f>
        <v>13224.999999999998</v>
      </c>
      <c r="AS10" s="26">
        <f>AA10*(1+'6. PEF1. PLAN COMERCIAL'!$F$28)</f>
        <v>10580</v>
      </c>
      <c r="AU10" s="258" t="s">
        <v>70</v>
      </c>
      <c r="AV10" s="259"/>
      <c r="AW10" s="26">
        <f>AE10*(1+'6. PEF1. PLAN COMERCIAL'!$F$28)</f>
        <v>7934.9999999999982</v>
      </c>
      <c r="AX10" s="26">
        <f>AF10*(1+'6. PEF1. PLAN COMERCIAL'!$F$28)</f>
        <v>7934.9999999999982</v>
      </c>
      <c r="AY10" s="26">
        <f>AG10*(1+'6. PEF1. PLAN COMERCIAL'!$F$28)</f>
        <v>19837.5</v>
      </c>
      <c r="AZ10" s="26">
        <f>AH10*(1+'6. PEF1. PLAN COMERCIAL'!$F$28)</f>
        <v>9918.75</v>
      </c>
      <c r="BA10" s="26">
        <f>AI10*(1+'6. PEF1. PLAN COMERCIAL'!$F$28)</f>
        <v>6612.4999999999991</v>
      </c>
      <c r="BB10" s="26">
        <f>AJ10*(1+'6. PEF1. PLAN COMERCIAL'!$F$28)</f>
        <v>8596.2499999999982</v>
      </c>
      <c r="BD10" s="258" t="s">
        <v>70</v>
      </c>
      <c r="BE10" s="259"/>
      <c r="BF10" s="26">
        <f>SUM(D10:I10)+SUM(M10:R10)</f>
        <v>126000</v>
      </c>
      <c r="BG10" s="26">
        <f>SUM(V10:AA10)+SUM(AE10:AJ10)</f>
        <v>144900</v>
      </c>
      <c r="BH10" s="26">
        <f>SUM(AN10:AS10)+SUM(AW10:BB10)</f>
        <v>166635</v>
      </c>
      <c r="BI10" s="2"/>
      <c r="BJ10" s="2"/>
      <c r="BK10" s="2"/>
    </row>
    <row r="11" spans="2:63" s="5" customFormat="1" ht="12.75" customHeight="1">
      <c r="B11" s="254" t="s">
        <v>339</v>
      </c>
      <c r="C11" s="255"/>
      <c r="D11" s="26">
        <f>'6. PEF1. PLAN COMERCIAL'!D20</f>
        <v>200</v>
      </c>
      <c r="E11" s="26">
        <f>'6. PEF1. PLAN COMERCIAL'!E20</f>
        <v>200</v>
      </c>
      <c r="F11" s="26">
        <f>'6. PEF1. PLAN COMERCIAL'!F20</f>
        <v>250</v>
      </c>
      <c r="G11" s="26">
        <f>'6. PEF1. PLAN COMERCIAL'!G20</f>
        <v>250</v>
      </c>
      <c r="H11" s="26">
        <f>'6. PEF1. PLAN COMERCIAL'!H20</f>
        <v>250</v>
      </c>
      <c r="I11" s="26">
        <f>'6. PEF1. PLAN COMERCIAL'!I20</f>
        <v>250</v>
      </c>
      <c r="J11" s="3"/>
      <c r="K11" s="254" t="s">
        <v>340</v>
      </c>
      <c r="L11" s="255"/>
      <c r="M11" s="26">
        <f>'6. PEF1. PLAN COMERCIAL'!D22</f>
        <v>250</v>
      </c>
      <c r="N11" s="26">
        <f>'6. PEF1. PLAN COMERCIAL'!E22</f>
        <v>250</v>
      </c>
      <c r="O11" s="26">
        <f>'6. PEF1. PLAN COMERCIAL'!F22</f>
        <v>250</v>
      </c>
      <c r="P11" s="26">
        <f>'6. PEF1. PLAN COMERCIAL'!G22</f>
        <v>250</v>
      </c>
      <c r="Q11" s="26">
        <f>'6. PEF1. PLAN COMERCIAL'!H22</f>
        <v>250</v>
      </c>
      <c r="R11" s="26">
        <f>'6. PEF1. PLAN COMERCIAL'!I22</f>
        <v>250</v>
      </c>
      <c r="T11" s="254" t="s">
        <v>340</v>
      </c>
      <c r="U11" s="255"/>
      <c r="V11" s="26">
        <f>D11*(1+'6. PEF1. PLAN COMERCIAL'!$F$29)</f>
        <v>210</v>
      </c>
      <c r="W11" s="26">
        <f>E11*(1+'6. PEF1. PLAN COMERCIAL'!$F$29)</f>
        <v>210</v>
      </c>
      <c r="X11" s="26">
        <f>F11*(1+'6. PEF1. PLAN COMERCIAL'!$F$29)</f>
        <v>262.5</v>
      </c>
      <c r="Y11" s="26">
        <f>G11*(1+'6. PEF1. PLAN COMERCIAL'!$F$29)</f>
        <v>262.5</v>
      </c>
      <c r="Z11" s="26">
        <f>H11*(1+'6. PEF1. PLAN COMERCIAL'!$F$29)</f>
        <v>262.5</v>
      </c>
      <c r="AA11" s="26">
        <f>I11*(1+'6. PEF1. PLAN COMERCIAL'!$F$29)</f>
        <v>262.5</v>
      </c>
      <c r="AB11" s="3"/>
      <c r="AC11" s="254" t="s">
        <v>340</v>
      </c>
      <c r="AD11" s="255"/>
      <c r="AE11" s="26">
        <f>M11*(1+'6. PEF1. PLAN COMERCIAL'!$F$29)</f>
        <v>262.5</v>
      </c>
      <c r="AF11" s="26">
        <f>N11*(1+'6. PEF1. PLAN COMERCIAL'!$F$29)</f>
        <v>262.5</v>
      </c>
      <c r="AG11" s="26">
        <f>O11*(1+'6. PEF1. PLAN COMERCIAL'!$F$29)</f>
        <v>262.5</v>
      </c>
      <c r="AH11" s="26">
        <f>P11*(1+'6. PEF1. PLAN COMERCIAL'!$F$29)</f>
        <v>262.5</v>
      </c>
      <c r="AI11" s="26">
        <f>Q11*(1+'6. PEF1. PLAN COMERCIAL'!$F$29)</f>
        <v>262.5</v>
      </c>
      <c r="AJ11" s="26">
        <f>R11*(1+'6. PEF1. PLAN COMERCIAL'!$F$29)</f>
        <v>262.5</v>
      </c>
      <c r="AL11" s="254" t="s">
        <v>340</v>
      </c>
      <c r="AM11" s="255"/>
      <c r="AN11" s="26">
        <f>V11*(1+'6. PEF1. PLAN COMERCIAL'!$F$29)</f>
        <v>220.5</v>
      </c>
      <c r="AO11" s="26">
        <f>W11*(1+'6. PEF1. PLAN COMERCIAL'!$F$29)</f>
        <v>220.5</v>
      </c>
      <c r="AP11" s="26">
        <f>X11*(1+'6. PEF1. PLAN COMERCIAL'!$F$29)</f>
        <v>275.625</v>
      </c>
      <c r="AQ11" s="26">
        <f>Y11*(1+'6. PEF1. PLAN COMERCIAL'!$F$29)</f>
        <v>275.625</v>
      </c>
      <c r="AR11" s="26">
        <f>Z11*(1+'6. PEF1. PLAN COMERCIAL'!$F$29)</f>
        <v>275.625</v>
      </c>
      <c r="AS11" s="26">
        <f>AA11*(1+'6. PEF1. PLAN COMERCIAL'!$F$29)</f>
        <v>275.625</v>
      </c>
      <c r="AT11" s="3"/>
      <c r="AU11" s="254" t="s">
        <v>340</v>
      </c>
      <c r="AV11" s="255"/>
      <c r="AW11" s="26">
        <f>AE11*(1+'6. PEF1. PLAN COMERCIAL'!$F$29)</f>
        <v>275.625</v>
      </c>
      <c r="AX11" s="26">
        <f>AF11*(1+'6. PEF1. PLAN COMERCIAL'!$F$29)</f>
        <v>275.625</v>
      </c>
      <c r="AY11" s="26">
        <f>AG11*(1+'6. PEF1. PLAN COMERCIAL'!$F$29)</f>
        <v>275.625</v>
      </c>
      <c r="AZ11" s="26">
        <f>AH11*(1+'6. PEF1. PLAN COMERCIAL'!$F$29)</f>
        <v>275.625</v>
      </c>
      <c r="BA11" s="26">
        <f>AI11*(1+'6. PEF1. PLAN COMERCIAL'!$F$29)</f>
        <v>275.625</v>
      </c>
      <c r="BB11" s="26">
        <f>AJ11*(1+'6. PEF1. PLAN COMERCIAL'!$F$29)</f>
        <v>275.625</v>
      </c>
      <c r="BC11" s="3"/>
      <c r="BD11" s="254" t="s">
        <v>340</v>
      </c>
      <c r="BE11" s="255"/>
      <c r="BF11" s="26">
        <f>SUM(D11:I11)+SUM(M11:R11)</f>
        <v>2900</v>
      </c>
      <c r="BG11" s="26">
        <f>SUM(V11:AA11)+SUM(AE11:AJ11)</f>
        <v>3045</v>
      </c>
      <c r="BH11" s="26">
        <f>SUM(AN11:AS11)+SUM(AW11:BB11)</f>
        <v>3197.25</v>
      </c>
      <c r="BI11" s="2"/>
      <c r="BJ11" s="2"/>
      <c r="BK11" s="2"/>
    </row>
    <row r="12" spans="2:63" s="5" customFormat="1" ht="12.75" customHeight="1">
      <c r="B12" s="254" t="s">
        <v>286</v>
      </c>
      <c r="C12" s="255"/>
      <c r="D12" s="34">
        <f>(('6. PEF5. VENTAS Y COSTES'!$F$15+'6. PEF5. VENTAS Y COSTES'!$F$16)/12)</f>
        <v>4233.666666666667</v>
      </c>
      <c r="E12" s="26">
        <f>(('6. PEF5. VENTAS Y COSTES'!$F$15+'6. PEF5. VENTAS Y COSTES'!$F$16)/12)</f>
        <v>4233.666666666667</v>
      </c>
      <c r="F12" s="26">
        <f>(('6. PEF5. VENTAS Y COSTES'!$F$15+'6. PEF5. VENTAS Y COSTES'!$F$16)/12)</f>
        <v>4233.666666666667</v>
      </c>
      <c r="G12" s="26">
        <f>(('6. PEF5. VENTAS Y COSTES'!$F$15+'6. PEF5. VENTAS Y COSTES'!$F$16)/12)</f>
        <v>4233.666666666667</v>
      </c>
      <c r="H12" s="26">
        <f>(('6. PEF5. VENTAS Y COSTES'!$F$15+'6. PEF5. VENTAS Y COSTES'!$F$16)/12)</f>
        <v>4233.666666666667</v>
      </c>
      <c r="I12" s="26">
        <f>(('6. PEF5. VENTAS Y COSTES'!$F$15+'6. PEF5. VENTAS Y COSTES'!$F$16)/12)</f>
        <v>4233.666666666667</v>
      </c>
      <c r="J12" s="3"/>
      <c r="K12" s="254" t="s">
        <v>286</v>
      </c>
      <c r="L12" s="255"/>
      <c r="M12" s="26">
        <f>(('6. PEF5. VENTAS Y COSTES'!$F$15+'6. PEF5. VENTAS Y COSTES'!$F$16)/12)</f>
        <v>4233.666666666667</v>
      </c>
      <c r="N12" s="26">
        <f>(('6. PEF5. VENTAS Y COSTES'!$F$15+'6. PEF5. VENTAS Y COSTES'!$F$16)/12)</f>
        <v>4233.666666666667</v>
      </c>
      <c r="O12" s="26">
        <f>(('6. PEF5. VENTAS Y COSTES'!$F$15+'6. PEF5. VENTAS Y COSTES'!$F$16)/12)</f>
        <v>4233.666666666667</v>
      </c>
      <c r="P12" s="26">
        <f>(('6. PEF5. VENTAS Y COSTES'!$F$15+'6. PEF5. VENTAS Y COSTES'!$F$16)/12)</f>
        <v>4233.666666666667</v>
      </c>
      <c r="Q12" s="26">
        <f>(('6. PEF5. VENTAS Y COSTES'!$F$15+'6. PEF5. VENTAS Y COSTES'!$F$16)/12)</f>
        <v>4233.666666666667</v>
      </c>
      <c r="R12" s="26">
        <f>(('6. PEF5. VENTAS Y COSTES'!$F$15+'6. PEF5. VENTAS Y COSTES'!$F$16)/12)</f>
        <v>4233.666666666667</v>
      </c>
      <c r="T12" s="254" t="s">
        <v>286</v>
      </c>
      <c r="U12" s="255"/>
      <c r="V12" s="34">
        <f>(('6. PEF5. VENTAS Y COSTES'!$G$15+'6. PEF5. VENTAS Y COSTES'!$G$16)/12)</f>
        <v>4445.3500000000004</v>
      </c>
      <c r="W12" s="34">
        <f>(('6. PEF5. VENTAS Y COSTES'!$G$15+'6. PEF5. VENTAS Y COSTES'!$G$16)/12)</f>
        <v>4445.3500000000004</v>
      </c>
      <c r="X12" s="34">
        <f>(('6. PEF5. VENTAS Y COSTES'!$G$15+'6. PEF5. VENTAS Y COSTES'!$G$16)/12)</f>
        <v>4445.3500000000004</v>
      </c>
      <c r="Y12" s="34">
        <f>(('6. PEF5. VENTAS Y COSTES'!$G$15+'6. PEF5. VENTAS Y COSTES'!$G$16)/12)</f>
        <v>4445.3500000000004</v>
      </c>
      <c r="Z12" s="34">
        <f>(('6. PEF5. VENTAS Y COSTES'!$G$15+'6. PEF5. VENTAS Y COSTES'!$G$16)/12)</f>
        <v>4445.3500000000004</v>
      </c>
      <c r="AA12" s="34">
        <f>(('6. PEF5. VENTAS Y COSTES'!$G$15+'6. PEF5. VENTAS Y COSTES'!$G$16)/12)</f>
        <v>4445.3500000000004</v>
      </c>
      <c r="AB12" s="3"/>
      <c r="AC12" s="254" t="s">
        <v>286</v>
      </c>
      <c r="AD12" s="255"/>
      <c r="AE12" s="34">
        <f>(('6. PEF5. VENTAS Y COSTES'!$G$15+'6. PEF5. VENTAS Y COSTES'!$G$16)/12)</f>
        <v>4445.3500000000004</v>
      </c>
      <c r="AF12" s="34">
        <f>(('6. PEF5. VENTAS Y COSTES'!$G$15+'6. PEF5. VENTAS Y COSTES'!$G$16)/12)</f>
        <v>4445.3500000000004</v>
      </c>
      <c r="AG12" s="34">
        <f>(('6. PEF5. VENTAS Y COSTES'!$G$15+'6. PEF5. VENTAS Y COSTES'!$G$16)/12)</f>
        <v>4445.3500000000004</v>
      </c>
      <c r="AH12" s="34">
        <f>(('6. PEF5. VENTAS Y COSTES'!$G$15+'6. PEF5. VENTAS Y COSTES'!$G$16)/12)</f>
        <v>4445.3500000000004</v>
      </c>
      <c r="AI12" s="34">
        <f>(('6. PEF5. VENTAS Y COSTES'!$G$15+'6. PEF5. VENTAS Y COSTES'!$G$16)/12)</f>
        <v>4445.3500000000004</v>
      </c>
      <c r="AJ12" s="34">
        <f>(('6. PEF5. VENTAS Y COSTES'!$G$15+'6. PEF5. VENTAS Y COSTES'!$G$16)/12)</f>
        <v>4445.3500000000004</v>
      </c>
      <c r="AL12" s="254" t="s">
        <v>286</v>
      </c>
      <c r="AM12" s="255"/>
      <c r="AN12" s="34">
        <f>(('6. PEF5. VENTAS Y COSTES'!$H$15+'6. PEF5. VENTAS Y COSTES'!$H$16)/12)</f>
        <v>4667.6175000000003</v>
      </c>
      <c r="AO12" s="34">
        <f>(('6. PEF5. VENTAS Y COSTES'!$H$15+'6. PEF5. VENTAS Y COSTES'!$H$16)/12)</f>
        <v>4667.6175000000003</v>
      </c>
      <c r="AP12" s="34">
        <f>(('6. PEF5. VENTAS Y COSTES'!$H$15+'6. PEF5. VENTAS Y COSTES'!$H$16)/12)</f>
        <v>4667.6175000000003</v>
      </c>
      <c r="AQ12" s="34">
        <f>(('6. PEF5. VENTAS Y COSTES'!$H$15+'6. PEF5. VENTAS Y COSTES'!$H$16)/12)</f>
        <v>4667.6175000000003</v>
      </c>
      <c r="AR12" s="34">
        <f>(('6. PEF5. VENTAS Y COSTES'!$H$15+'6. PEF5. VENTAS Y COSTES'!$H$16)/12)</f>
        <v>4667.6175000000003</v>
      </c>
      <c r="AS12" s="34">
        <f>(('6. PEF5. VENTAS Y COSTES'!$H$15+'6. PEF5. VENTAS Y COSTES'!$H$16)/12)</f>
        <v>4667.6175000000003</v>
      </c>
      <c r="AT12" s="3"/>
      <c r="AU12" s="254" t="s">
        <v>286</v>
      </c>
      <c r="AV12" s="255"/>
      <c r="AW12" s="34">
        <f>(('6. PEF5. VENTAS Y COSTES'!$H$15+'6. PEF5. VENTAS Y COSTES'!$H$16)/12)</f>
        <v>4667.6175000000003</v>
      </c>
      <c r="AX12" s="34">
        <f>(('6. PEF5. VENTAS Y COSTES'!$H$15+'6. PEF5. VENTAS Y COSTES'!$H$16)/12)</f>
        <v>4667.6175000000003</v>
      </c>
      <c r="AY12" s="34">
        <f>(('6. PEF5. VENTAS Y COSTES'!$H$15+'6. PEF5. VENTAS Y COSTES'!$H$16)/12)</f>
        <v>4667.6175000000003</v>
      </c>
      <c r="AZ12" s="34">
        <f>(('6. PEF5. VENTAS Y COSTES'!$H$15+'6. PEF5. VENTAS Y COSTES'!$H$16)/12)</f>
        <v>4667.6175000000003</v>
      </c>
      <c r="BA12" s="34">
        <f>(('6. PEF5. VENTAS Y COSTES'!$H$15+'6. PEF5. VENTAS Y COSTES'!$H$16)/12)</f>
        <v>4667.6175000000003</v>
      </c>
      <c r="BB12" s="34">
        <f>(('6. PEF5. VENTAS Y COSTES'!$H$15+'6. PEF5. VENTAS Y COSTES'!$H$16)/12)</f>
        <v>4667.6175000000003</v>
      </c>
      <c r="BC12" s="3"/>
      <c r="BD12" s="254" t="s">
        <v>286</v>
      </c>
      <c r="BE12" s="255"/>
      <c r="BF12" s="26">
        <f>SUM(D12:I12)+SUM(M12:R12)</f>
        <v>50804.000000000007</v>
      </c>
      <c r="BG12" s="26">
        <f>SUM(V12:AA12)+SUM(AE12:AJ12)</f>
        <v>53344.2</v>
      </c>
      <c r="BH12" s="26">
        <f>SUM(AN12:AS12)+SUM(AW12:BB12)</f>
        <v>56011.41</v>
      </c>
      <c r="BI12" s="2"/>
      <c r="BJ12" s="2"/>
      <c r="BK12" s="2"/>
    </row>
    <row r="13" spans="2:63" s="5" customFormat="1" ht="12.75" customHeight="1">
      <c r="B13" s="252" t="s">
        <v>341</v>
      </c>
      <c r="C13" s="253"/>
      <c r="D13" s="34">
        <f t="shared" ref="D13:I13" si="0">D10-D11-D12</f>
        <v>20566.333333333332</v>
      </c>
      <c r="E13" s="34">
        <f t="shared" si="0"/>
        <v>10566.333333333332</v>
      </c>
      <c r="F13" s="34">
        <f t="shared" si="0"/>
        <v>7516.333333333333</v>
      </c>
      <c r="G13" s="34">
        <f t="shared" si="0"/>
        <v>5516.333333333333</v>
      </c>
      <c r="H13" s="34">
        <f t="shared" si="0"/>
        <v>5516.333333333333</v>
      </c>
      <c r="I13" s="34">
        <f t="shared" si="0"/>
        <v>3516.333333333333</v>
      </c>
      <c r="J13" s="3"/>
      <c r="K13" s="252" t="s">
        <v>341</v>
      </c>
      <c r="L13" s="253"/>
      <c r="M13" s="34">
        <f t="shared" ref="M13:R13" si="1">M10-M11-M12</f>
        <v>1516.333333333333</v>
      </c>
      <c r="N13" s="34">
        <f t="shared" si="1"/>
        <v>1516.333333333333</v>
      </c>
      <c r="O13" s="34">
        <f t="shared" si="1"/>
        <v>10516.333333333332</v>
      </c>
      <c r="P13" s="34">
        <f t="shared" si="1"/>
        <v>3016.333333333333</v>
      </c>
      <c r="Q13" s="34">
        <f t="shared" si="1"/>
        <v>516.33333333333303</v>
      </c>
      <c r="R13" s="34">
        <f t="shared" si="1"/>
        <v>2016.333333333333</v>
      </c>
      <c r="T13" s="252" t="s">
        <v>341</v>
      </c>
      <c r="U13" s="253"/>
      <c r="V13" s="34">
        <f t="shared" ref="V13:AA13" si="2">V10-V11-V12</f>
        <v>24094.649999999994</v>
      </c>
      <c r="W13" s="34">
        <f t="shared" si="2"/>
        <v>12594.65</v>
      </c>
      <c r="X13" s="34">
        <f t="shared" si="2"/>
        <v>9092.1499999999978</v>
      </c>
      <c r="Y13" s="34">
        <f t="shared" si="2"/>
        <v>6792.15</v>
      </c>
      <c r="Z13" s="34">
        <f t="shared" si="2"/>
        <v>6792.15</v>
      </c>
      <c r="AA13" s="34">
        <f t="shared" si="2"/>
        <v>4492.1499999999996</v>
      </c>
      <c r="AB13" s="3"/>
      <c r="AC13" s="252" t="s">
        <v>341</v>
      </c>
      <c r="AD13" s="253"/>
      <c r="AE13" s="34">
        <f t="shared" ref="AE13:AJ13" si="3">AE10-AE11-AE12</f>
        <v>2192.1499999999987</v>
      </c>
      <c r="AF13" s="34">
        <f t="shared" si="3"/>
        <v>2192.1499999999987</v>
      </c>
      <c r="AG13" s="34">
        <f t="shared" si="3"/>
        <v>12542.15</v>
      </c>
      <c r="AH13" s="34">
        <f t="shared" si="3"/>
        <v>3917.1499999999996</v>
      </c>
      <c r="AI13" s="34">
        <f t="shared" si="3"/>
        <v>1042.1499999999996</v>
      </c>
      <c r="AJ13" s="34">
        <f t="shared" si="3"/>
        <v>2767.1499999999987</v>
      </c>
      <c r="AL13" s="252" t="s">
        <v>341</v>
      </c>
      <c r="AM13" s="253"/>
      <c r="AN13" s="34">
        <f t="shared" ref="AN13:AS13" si="4">AN10-AN11-AN12</f>
        <v>28174.382499999992</v>
      </c>
      <c r="AO13" s="34">
        <f t="shared" si="4"/>
        <v>14949.3825</v>
      </c>
      <c r="AP13" s="34">
        <f t="shared" si="4"/>
        <v>10926.757499999996</v>
      </c>
      <c r="AQ13" s="34">
        <f t="shared" si="4"/>
        <v>8281.7574999999979</v>
      </c>
      <c r="AR13" s="34">
        <f t="shared" si="4"/>
        <v>8281.7574999999979</v>
      </c>
      <c r="AS13" s="34">
        <f t="shared" si="4"/>
        <v>5636.7574999999997</v>
      </c>
      <c r="AT13" s="3"/>
      <c r="AU13" s="252" t="s">
        <v>341</v>
      </c>
      <c r="AV13" s="253"/>
      <c r="AW13" s="34">
        <f t="shared" ref="AW13:BB13" si="5">AW10-AW11-AW12</f>
        <v>2991.7574999999979</v>
      </c>
      <c r="AX13" s="34">
        <f t="shared" si="5"/>
        <v>2991.7574999999979</v>
      </c>
      <c r="AY13" s="34">
        <f t="shared" si="5"/>
        <v>14894.2575</v>
      </c>
      <c r="AZ13" s="34">
        <f t="shared" si="5"/>
        <v>4975.5074999999997</v>
      </c>
      <c r="BA13" s="34">
        <f t="shared" si="5"/>
        <v>1669.2574999999988</v>
      </c>
      <c r="BB13" s="34">
        <f t="shared" si="5"/>
        <v>3653.0074999999979</v>
      </c>
      <c r="BC13" s="3"/>
      <c r="BD13" s="252" t="s">
        <v>341</v>
      </c>
      <c r="BE13" s="253"/>
      <c r="BF13" s="134">
        <f>BF10-BF11-BF12</f>
        <v>72296</v>
      </c>
      <c r="BG13" s="134">
        <f>BG10-BG11-BG12</f>
        <v>88510.8</v>
      </c>
      <c r="BH13" s="134">
        <f>BH10-BH11-BH12</f>
        <v>107426.34</v>
      </c>
      <c r="BI13" s="2"/>
      <c r="BJ13" s="2"/>
      <c r="BK13" s="2"/>
    </row>
    <row r="14" spans="2:63" s="5" customFormat="1" ht="25.5" customHeight="1">
      <c r="B14" s="256" t="s">
        <v>342</v>
      </c>
      <c r="C14" s="257"/>
      <c r="D14" s="34">
        <f>'6. PEF5. VENTAS Y COSTES'!$F$28/12</f>
        <v>3056.0833333333335</v>
      </c>
      <c r="E14" s="34">
        <f>'6. PEF5. VENTAS Y COSTES'!$F$28/12</f>
        <v>3056.0833333333335</v>
      </c>
      <c r="F14" s="34">
        <f>'6. PEF5. VENTAS Y COSTES'!$F$28/12</f>
        <v>3056.0833333333335</v>
      </c>
      <c r="G14" s="34">
        <f>'6. PEF5. VENTAS Y COSTES'!$F$28/12</f>
        <v>3056.0833333333335</v>
      </c>
      <c r="H14" s="34">
        <f>'6. PEF5. VENTAS Y COSTES'!$F$28/12</f>
        <v>3056.0833333333335</v>
      </c>
      <c r="I14" s="34">
        <f>'6. PEF5. VENTAS Y COSTES'!$F$28/12</f>
        <v>3056.0833333333335</v>
      </c>
      <c r="J14" s="3"/>
      <c r="K14" s="256" t="s">
        <v>342</v>
      </c>
      <c r="L14" s="257"/>
      <c r="M14" s="34">
        <f>'6. PEF5. VENTAS Y COSTES'!$F$28/12</f>
        <v>3056.0833333333335</v>
      </c>
      <c r="N14" s="34">
        <f>'6. PEF5. VENTAS Y COSTES'!$F$28/12</f>
        <v>3056.0833333333335</v>
      </c>
      <c r="O14" s="34">
        <f>'6. PEF5. VENTAS Y COSTES'!$F$28/12</f>
        <v>3056.0833333333335</v>
      </c>
      <c r="P14" s="34">
        <f>'6. PEF5. VENTAS Y COSTES'!$F$28/12</f>
        <v>3056.0833333333335</v>
      </c>
      <c r="Q14" s="34">
        <f>'6. PEF5. VENTAS Y COSTES'!$F$28/12</f>
        <v>3056.0833333333335</v>
      </c>
      <c r="R14" s="34">
        <f>'6. PEF5. VENTAS Y COSTES'!$F$28/12</f>
        <v>3056.0833333333335</v>
      </c>
      <c r="T14" s="256" t="s">
        <v>342</v>
      </c>
      <c r="U14" s="257"/>
      <c r="V14" s="34">
        <f>'6. PEF5. VENTAS Y COSTES'!$G$28/12</f>
        <v>3208.8875000000003</v>
      </c>
      <c r="W14" s="34">
        <f>'6. PEF5. VENTAS Y COSTES'!$G$28/12</f>
        <v>3208.8875000000003</v>
      </c>
      <c r="X14" s="34">
        <f>'6. PEF5. VENTAS Y COSTES'!$G$28/12</f>
        <v>3208.8875000000003</v>
      </c>
      <c r="Y14" s="34">
        <f>'6. PEF5. VENTAS Y COSTES'!$G$28/12</f>
        <v>3208.8875000000003</v>
      </c>
      <c r="Z14" s="34">
        <f>'6. PEF5. VENTAS Y COSTES'!$G$28/12</f>
        <v>3208.8875000000003</v>
      </c>
      <c r="AA14" s="34">
        <f>'6. PEF5. VENTAS Y COSTES'!$G$28/12</f>
        <v>3208.8875000000003</v>
      </c>
      <c r="AB14" s="3"/>
      <c r="AC14" s="256" t="s">
        <v>342</v>
      </c>
      <c r="AD14" s="257"/>
      <c r="AE14" s="34">
        <f>'6. PEF5. VENTAS Y COSTES'!$G$28/12</f>
        <v>3208.8875000000003</v>
      </c>
      <c r="AF14" s="34">
        <f>'6. PEF5. VENTAS Y COSTES'!$G$28/12</f>
        <v>3208.8875000000003</v>
      </c>
      <c r="AG14" s="34">
        <f>'6. PEF5. VENTAS Y COSTES'!$G$28/12</f>
        <v>3208.8875000000003</v>
      </c>
      <c r="AH14" s="34">
        <f>'6. PEF5. VENTAS Y COSTES'!$G$28/12</f>
        <v>3208.8875000000003</v>
      </c>
      <c r="AI14" s="34">
        <f>'6. PEF5. VENTAS Y COSTES'!$G$28/12</f>
        <v>3208.8875000000003</v>
      </c>
      <c r="AJ14" s="34">
        <f>'6. PEF5. VENTAS Y COSTES'!$G$28/12</f>
        <v>3208.8875000000003</v>
      </c>
      <c r="AL14" s="256" t="s">
        <v>342</v>
      </c>
      <c r="AM14" s="257"/>
      <c r="AN14" s="34">
        <f>'6. PEF5. VENTAS Y COSTES'!$H$28/12</f>
        <v>3369.3318750000003</v>
      </c>
      <c r="AO14" s="34">
        <f>'6. PEF5. VENTAS Y COSTES'!$H$28/12</f>
        <v>3369.3318750000003</v>
      </c>
      <c r="AP14" s="34">
        <f>'6. PEF5. VENTAS Y COSTES'!$H$28/12</f>
        <v>3369.3318750000003</v>
      </c>
      <c r="AQ14" s="34">
        <f>'6. PEF5. VENTAS Y COSTES'!$H$28/12</f>
        <v>3369.3318750000003</v>
      </c>
      <c r="AR14" s="34">
        <f>'6. PEF5. VENTAS Y COSTES'!$H$28/12</f>
        <v>3369.3318750000003</v>
      </c>
      <c r="AS14" s="34">
        <f>'6. PEF5. VENTAS Y COSTES'!$H$28/12</f>
        <v>3369.3318750000003</v>
      </c>
      <c r="AT14" s="3"/>
      <c r="AU14" s="256" t="s">
        <v>342</v>
      </c>
      <c r="AV14" s="257"/>
      <c r="AW14" s="34">
        <f>'6. PEF5. VENTAS Y COSTES'!$H$28/12</f>
        <v>3369.3318750000003</v>
      </c>
      <c r="AX14" s="34">
        <f>'6. PEF5. VENTAS Y COSTES'!$H$28/12</f>
        <v>3369.3318750000003</v>
      </c>
      <c r="AY14" s="34">
        <f>'6. PEF5. VENTAS Y COSTES'!$H$28/12</f>
        <v>3369.3318750000003</v>
      </c>
      <c r="AZ14" s="34">
        <f>'6. PEF5. VENTAS Y COSTES'!$H$28/12</f>
        <v>3369.3318750000003</v>
      </c>
      <c r="BA14" s="34">
        <f>'6. PEF5. VENTAS Y COSTES'!$H$28/12</f>
        <v>3369.3318750000003</v>
      </c>
      <c r="BB14" s="34">
        <f>'6. PEF5. VENTAS Y COSTES'!$H$28/12</f>
        <v>3369.3318750000003</v>
      </c>
      <c r="BC14" s="3"/>
      <c r="BD14" s="256" t="s">
        <v>342</v>
      </c>
      <c r="BE14" s="257"/>
      <c r="BF14" s="24">
        <f>SUM(D14:I14)+SUM(M14:R14)</f>
        <v>36673</v>
      </c>
      <c r="BG14" s="24">
        <f>SUM(V14:AA14)+SUM(AE14:AJ14)</f>
        <v>38506.65</v>
      </c>
      <c r="BH14" s="24">
        <f>SUM(AN14:AS14)+SUM(AW14:BB14)</f>
        <v>40431.982500000006</v>
      </c>
      <c r="BI14" s="2"/>
      <c r="BJ14" s="2"/>
      <c r="BK14" s="2"/>
    </row>
    <row r="15" spans="2:63" s="5" customFormat="1" ht="12.75" customHeight="1">
      <c r="B15" s="258" t="s">
        <v>290</v>
      </c>
      <c r="C15" s="259"/>
      <c r="D15" s="34">
        <f>'6. PEF5. VENTAS Y COSTES'!$F$21/12</f>
        <v>4.166666666666667</v>
      </c>
      <c r="E15" s="34">
        <f>'6. PEF5. VENTAS Y COSTES'!$F$21/12</f>
        <v>4.166666666666667</v>
      </c>
      <c r="F15" s="34">
        <f>'6. PEF5. VENTAS Y COSTES'!$F$21/12</f>
        <v>4.166666666666667</v>
      </c>
      <c r="G15" s="34">
        <f>'6. PEF5. VENTAS Y COSTES'!$F$21/12</f>
        <v>4.166666666666667</v>
      </c>
      <c r="H15" s="34">
        <f>'6. PEF5. VENTAS Y COSTES'!$F$21/12</f>
        <v>4.166666666666667</v>
      </c>
      <c r="I15" s="34">
        <f>'6. PEF5. VENTAS Y COSTES'!$F$21/12</f>
        <v>4.166666666666667</v>
      </c>
      <c r="J15" s="3"/>
      <c r="K15" s="258" t="s">
        <v>290</v>
      </c>
      <c r="L15" s="259"/>
      <c r="M15" s="34">
        <f>'6. PEF5. VENTAS Y COSTES'!$F$21/12</f>
        <v>4.166666666666667</v>
      </c>
      <c r="N15" s="34">
        <f>'6. PEF5. VENTAS Y COSTES'!$F$21/12</f>
        <v>4.166666666666667</v>
      </c>
      <c r="O15" s="34">
        <f>'6. PEF5. VENTAS Y COSTES'!$F$21/12</f>
        <v>4.166666666666667</v>
      </c>
      <c r="P15" s="34">
        <f>'6. PEF5. VENTAS Y COSTES'!$F$21/12</f>
        <v>4.166666666666667</v>
      </c>
      <c r="Q15" s="34">
        <f>'6. PEF5. VENTAS Y COSTES'!$F$21/12</f>
        <v>4.166666666666667</v>
      </c>
      <c r="R15" s="34">
        <f>'6. PEF5. VENTAS Y COSTES'!$F$21/12</f>
        <v>4.166666666666667</v>
      </c>
      <c r="T15" s="258" t="s">
        <v>290</v>
      </c>
      <c r="U15" s="259"/>
      <c r="V15" s="34">
        <f>'6. PEF5. VENTAS Y COSTES'!$G$21/12</f>
        <v>4.375</v>
      </c>
      <c r="W15" s="34">
        <f>'6. PEF5. VENTAS Y COSTES'!$G$21/12</f>
        <v>4.375</v>
      </c>
      <c r="X15" s="34">
        <f>'6. PEF5. VENTAS Y COSTES'!$G$21/12</f>
        <v>4.375</v>
      </c>
      <c r="Y15" s="34">
        <f>'6. PEF5. VENTAS Y COSTES'!$G$21/12</f>
        <v>4.375</v>
      </c>
      <c r="Z15" s="34">
        <f>'6. PEF5. VENTAS Y COSTES'!$G$21/12</f>
        <v>4.375</v>
      </c>
      <c r="AA15" s="34">
        <f>'6. PEF5. VENTAS Y COSTES'!$G$21/12</f>
        <v>4.375</v>
      </c>
      <c r="AB15" s="3"/>
      <c r="AC15" s="258" t="s">
        <v>290</v>
      </c>
      <c r="AD15" s="259"/>
      <c r="AE15" s="34">
        <f>'6. PEF5. VENTAS Y COSTES'!$G$21/12</f>
        <v>4.375</v>
      </c>
      <c r="AF15" s="34">
        <f>'6. PEF5. VENTAS Y COSTES'!$G$21/12</f>
        <v>4.375</v>
      </c>
      <c r="AG15" s="34">
        <f>'6. PEF5. VENTAS Y COSTES'!$G$21/12</f>
        <v>4.375</v>
      </c>
      <c r="AH15" s="34">
        <f>'6. PEF5. VENTAS Y COSTES'!$G$21/12</f>
        <v>4.375</v>
      </c>
      <c r="AI15" s="34">
        <f>'6. PEF5. VENTAS Y COSTES'!$G$21/12</f>
        <v>4.375</v>
      </c>
      <c r="AJ15" s="34">
        <f>'6. PEF5. VENTAS Y COSTES'!$G$21/12</f>
        <v>4.375</v>
      </c>
      <c r="AL15" s="258" t="s">
        <v>290</v>
      </c>
      <c r="AM15" s="259"/>
      <c r="AN15" s="34">
        <f>'6. PEF5. VENTAS Y COSTES'!$H$21/12</f>
        <v>4.59375</v>
      </c>
      <c r="AO15" s="34">
        <f>'6. PEF5. VENTAS Y COSTES'!$H$21/12</f>
        <v>4.59375</v>
      </c>
      <c r="AP15" s="34">
        <f>'6. PEF5. VENTAS Y COSTES'!$H$21/12</f>
        <v>4.59375</v>
      </c>
      <c r="AQ15" s="34">
        <f>'6. PEF5. VENTAS Y COSTES'!$H$21/12</f>
        <v>4.59375</v>
      </c>
      <c r="AR15" s="34">
        <f>'6. PEF5. VENTAS Y COSTES'!$H$21/12</f>
        <v>4.59375</v>
      </c>
      <c r="AS15" s="34">
        <f>'6. PEF5. VENTAS Y COSTES'!$H$21/12</f>
        <v>4.59375</v>
      </c>
      <c r="AT15" s="3"/>
      <c r="AU15" s="258" t="s">
        <v>290</v>
      </c>
      <c r="AV15" s="259"/>
      <c r="AW15" s="34">
        <f>'6. PEF5. VENTAS Y COSTES'!$H$21/12</f>
        <v>4.59375</v>
      </c>
      <c r="AX15" s="34">
        <f>'6. PEF5. VENTAS Y COSTES'!$H$21/12</f>
        <v>4.59375</v>
      </c>
      <c r="AY15" s="34">
        <f>'6. PEF5. VENTAS Y COSTES'!$H$21/12</f>
        <v>4.59375</v>
      </c>
      <c r="AZ15" s="34">
        <f>'6. PEF5. VENTAS Y COSTES'!$H$21/12</f>
        <v>4.59375</v>
      </c>
      <c r="BA15" s="34">
        <f>'6. PEF5. VENTAS Y COSTES'!$H$21/12</f>
        <v>4.59375</v>
      </c>
      <c r="BB15" s="34">
        <f>'6. PEF5. VENTAS Y COSTES'!$H$21/12</f>
        <v>4.59375</v>
      </c>
      <c r="BC15" s="3"/>
      <c r="BD15" s="258" t="s">
        <v>290</v>
      </c>
      <c r="BE15" s="259"/>
      <c r="BF15" s="26">
        <f>SUM(D15:I15)+SUM(M15:R15)</f>
        <v>50.000000000000007</v>
      </c>
      <c r="BG15" s="26">
        <f>SUM(V15:AA15)+SUM(AE15:AJ15)</f>
        <v>52.5</v>
      </c>
      <c r="BH15" s="26">
        <f>SUM(AN15:AS15)+SUM(AW15:BB15)</f>
        <v>55.125</v>
      </c>
      <c r="BI15" s="2"/>
      <c r="BJ15" s="2"/>
      <c r="BK15" s="2"/>
    </row>
    <row r="16" spans="2:63" s="5" customFormat="1" ht="12.75" customHeight="1">
      <c r="B16" s="258" t="s">
        <v>291</v>
      </c>
      <c r="C16" s="259"/>
      <c r="D16" s="34">
        <f>'6. PEF5. VENTAS Y COSTES'!$F$22/12</f>
        <v>8.3333333333333329E-2</v>
      </c>
      <c r="E16" s="34">
        <f>'6. PEF5. VENTAS Y COSTES'!$F$22/12</f>
        <v>8.3333333333333329E-2</v>
      </c>
      <c r="F16" s="34">
        <f>'6. PEF5. VENTAS Y COSTES'!$F$22/12</f>
        <v>8.3333333333333329E-2</v>
      </c>
      <c r="G16" s="34">
        <f>'6. PEF5. VENTAS Y COSTES'!$F$22/12</f>
        <v>8.3333333333333329E-2</v>
      </c>
      <c r="H16" s="34">
        <f>'6. PEF5. VENTAS Y COSTES'!$F$22/12</f>
        <v>8.3333333333333329E-2</v>
      </c>
      <c r="I16" s="34">
        <f>'6. PEF5. VENTAS Y COSTES'!$F$22/12</f>
        <v>8.3333333333333329E-2</v>
      </c>
      <c r="J16" s="3"/>
      <c r="K16" s="258" t="s">
        <v>291</v>
      </c>
      <c r="L16" s="259"/>
      <c r="M16" s="34">
        <f>'6. PEF5. VENTAS Y COSTES'!$F$22/12</f>
        <v>8.3333333333333329E-2</v>
      </c>
      <c r="N16" s="34">
        <f>'6. PEF5. VENTAS Y COSTES'!$F$22/12</f>
        <v>8.3333333333333329E-2</v>
      </c>
      <c r="O16" s="34">
        <f>'6. PEF5. VENTAS Y COSTES'!$F$22/12</f>
        <v>8.3333333333333329E-2</v>
      </c>
      <c r="P16" s="34">
        <f>'6. PEF5. VENTAS Y COSTES'!$F$22/12</f>
        <v>8.3333333333333329E-2</v>
      </c>
      <c r="Q16" s="34">
        <f>'6. PEF5. VENTAS Y COSTES'!$F$22/12</f>
        <v>8.3333333333333329E-2</v>
      </c>
      <c r="R16" s="34">
        <f>'6. PEF5. VENTAS Y COSTES'!$F$22/12</f>
        <v>8.3333333333333329E-2</v>
      </c>
      <c r="T16" s="258" t="s">
        <v>291</v>
      </c>
      <c r="U16" s="259"/>
      <c r="V16" s="34">
        <f>'6. PEF5. VENTAS Y COSTES'!$G$22/12</f>
        <v>8.7500000000000008E-2</v>
      </c>
      <c r="W16" s="34">
        <f>'6. PEF5. VENTAS Y COSTES'!$G$22/12</f>
        <v>8.7500000000000008E-2</v>
      </c>
      <c r="X16" s="34">
        <f>'6. PEF5. VENTAS Y COSTES'!$G$22/12</f>
        <v>8.7500000000000008E-2</v>
      </c>
      <c r="Y16" s="34">
        <f>'6. PEF5. VENTAS Y COSTES'!$G$22/12</f>
        <v>8.7500000000000008E-2</v>
      </c>
      <c r="Z16" s="34">
        <f>'6. PEF5. VENTAS Y COSTES'!$G$22/12</f>
        <v>8.7500000000000008E-2</v>
      </c>
      <c r="AA16" s="34">
        <f>'6. PEF5. VENTAS Y COSTES'!$G$22/12</f>
        <v>8.7500000000000008E-2</v>
      </c>
      <c r="AB16" s="3"/>
      <c r="AC16" s="258" t="s">
        <v>291</v>
      </c>
      <c r="AD16" s="259"/>
      <c r="AE16" s="34">
        <f>'6. PEF5. VENTAS Y COSTES'!$G$22/12</f>
        <v>8.7500000000000008E-2</v>
      </c>
      <c r="AF16" s="34">
        <f>'6. PEF5. VENTAS Y COSTES'!$G$22/12</f>
        <v>8.7500000000000008E-2</v>
      </c>
      <c r="AG16" s="34">
        <f>'6. PEF5. VENTAS Y COSTES'!$G$22/12</f>
        <v>8.7500000000000008E-2</v>
      </c>
      <c r="AH16" s="34">
        <f>'6. PEF5. VENTAS Y COSTES'!$G$22/12</f>
        <v>8.7500000000000008E-2</v>
      </c>
      <c r="AI16" s="34">
        <f>'6. PEF5. VENTAS Y COSTES'!$G$22/12</f>
        <v>8.7500000000000008E-2</v>
      </c>
      <c r="AJ16" s="34">
        <f>'6. PEF5. VENTAS Y COSTES'!$G$22/12</f>
        <v>8.7500000000000008E-2</v>
      </c>
      <c r="AL16" s="258" t="s">
        <v>291</v>
      </c>
      <c r="AM16" s="259"/>
      <c r="AN16" s="34">
        <f>'6. PEF5. VENTAS Y COSTES'!$H$22/12</f>
        <v>9.1874999999999998E-2</v>
      </c>
      <c r="AO16" s="34">
        <f>'6. PEF5. VENTAS Y COSTES'!$H$22/12</f>
        <v>9.1874999999999998E-2</v>
      </c>
      <c r="AP16" s="34">
        <f>'6. PEF5. VENTAS Y COSTES'!$H$22/12</f>
        <v>9.1874999999999998E-2</v>
      </c>
      <c r="AQ16" s="34">
        <f>'6. PEF5. VENTAS Y COSTES'!$H$22/12</f>
        <v>9.1874999999999998E-2</v>
      </c>
      <c r="AR16" s="34">
        <f>'6. PEF5. VENTAS Y COSTES'!$H$22/12</f>
        <v>9.1874999999999998E-2</v>
      </c>
      <c r="AS16" s="34">
        <f>'6. PEF5. VENTAS Y COSTES'!$H$22/12</f>
        <v>9.1874999999999998E-2</v>
      </c>
      <c r="AT16" s="3"/>
      <c r="AU16" s="258" t="s">
        <v>291</v>
      </c>
      <c r="AV16" s="259"/>
      <c r="AW16" s="34">
        <f>'6. PEF5. VENTAS Y COSTES'!$H$22/12</f>
        <v>9.1874999999999998E-2</v>
      </c>
      <c r="AX16" s="34">
        <f>'6. PEF5. VENTAS Y COSTES'!$H$22/12</f>
        <v>9.1874999999999998E-2</v>
      </c>
      <c r="AY16" s="34">
        <f>'6. PEF5. VENTAS Y COSTES'!$H$22/12</f>
        <v>9.1874999999999998E-2</v>
      </c>
      <c r="AZ16" s="34">
        <f>'6. PEF5. VENTAS Y COSTES'!$H$22/12</f>
        <v>9.1874999999999998E-2</v>
      </c>
      <c r="BA16" s="34">
        <f>'6. PEF5. VENTAS Y COSTES'!$H$22/12</f>
        <v>9.1874999999999998E-2</v>
      </c>
      <c r="BB16" s="34">
        <f>'6. PEF5. VENTAS Y COSTES'!$H$22/12</f>
        <v>9.1874999999999998E-2</v>
      </c>
      <c r="BC16" s="3"/>
      <c r="BD16" s="258" t="s">
        <v>291</v>
      </c>
      <c r="BE16" s="259"/>
      <c r="BF16" s="26">
        <f t="shared" ref="BF16:BF22" si="6">SUM(D16:I16)+SUM(M16:R16)</f>
        <v>0.99999999999999989</v>
      </c>
      <c r="BG16" s="26">
        <f t="shared" ref="BG16:BG22" si="7">SUM(V16:AA16)+SUM(AE16:AJ16)</f>
        <v>1.05</v>
      </c>
      <c r="BH16" s="26">
        <f t="shared" ref="BH16:BH22" si="8">SUM(AN16:AS16)+SUM(AW16:BB16)</f>
        <v>1.1025</v>
      </c>
      <c r="BI16" s="2"/>
      <c r="BJ16" s="2"/>
      <c r="BK16" s="2"/>
    </row>
    <row r="17" spans="2:63" s="5" customFormat="1" ht="12.75" customHeight="1">
      <c r="B17" s="258" t="s">
        <v>292</v>
      </c>
      <c r="C17" s="259"/>
      <c r="D17" s="34">
        <f>'6. PEF5. VENTAS Y COSTES'!$F$23/12</f>
        <v>32</v>
      </c>
      <c r="E17" s="34">
        <f>'6. PEF5. VENTAS Y COSTES'!$F$23/12</f>
        <v>32</v>
      </c>
      <c r="F17" s="34">
        <f>'6. PEF5. VENTAS Y COSTES'!$F$23/12</f>
        <v>32</v>
      </c>
      <c r="G17" s="34">
        <f>'6. PEF5. VENTAS Y COSTES'!$F$23/12</f>
        <v>32</v>
      </c>
      <c r="H17" s="34">
        <f>'6. PEF5. VENTAS Y COSTES'!$F$23/12</f>
        <v>32</v>
      </c>
      <c r="I17" s="34">
        <f>'6. PEF5. VENTAS Y COSTES'!$F$23/12</f>
        <v>32</v>
      </c>
      <c r="J17" s="3"/>
      <c r="K17" s="258" t="s">
        <v>292</v>
      </c>
      <c r="L17" s="259"/>
      <c r="M17" s="34">
        <f>'6. PEF5. VENTAS Y COSTES'!$F$23/12</f>
        <v>32</v>
      </c>
      <c r="N17" s="34">
        <f>'6. PEF5. VENTAS Y COSTES'!$F$23/12</f>
        <v>32</v>
      </c>
      <c r="O17" s="34">
        <f>'6. PEF5. VENTAS Y COSTES'!$F$23/12</f>
        <v>32</v>
      </c>
      <c r="P17" s="34">
        <f>'6. PEF5. VENTAS Y COSTES'!$F$23/12</f>
        <v>32</v>
      </c>
      <c r="Q17" s="34">
        <f>'6. PEF5. VENTAS Y COSTES'!$F$23/12</f>
        <v>32</v>
      </c>
      <c r="R17" s="34">
        <f>'6. PEF5. VENTAS Y COSTES'!$F$23/12</f>
        <v>32</v>
      </c>
      <c r="T17" s="258" t="s">
        <v>292</v>
      </c>
      <c r="U17" s="259"/>
      <c r="V17" s="34">
        <f>'6. PEF5. VENTAS Y COSTES'!$G$23/12</f>
        <v>33.6</v>
      </c>
      <c r="W17" s="34">
        <f>'6. PEF5. VENTAS Y COSTES'!$G$23/12</f>
        <v>33.6</v>
      </c>
      <c r="X17" s="34">
        <f>'6. PEF5. VENTAS Y COSTES'!$G$23/12</f>
        <v>33.6</v>
      </c>
      <c r="Y17" s="34">
        <f>'6. PEF5. VENTAS Y COSTES'!$G$23/12</f>
        <v>33.6</v>
      </c>
      <c r="Z17" s="34">
        <f>'6. PEF5. VENTAS Y COSTES'!$G$23/12</f>
        <v>33.6</v>
      </c>
      <c r="AA17" s="34">
        <f>'6. PEF5. VENTAS Y COSTES'!$G$23/12</f>
        <v>33.6</v>
      </c>
      <c r="AB17" s="3"/>
      <c r="AC17" s="258" t="s">
        <v>292</v>
      </c>
      <c r="AD17" s="259"/>
      <c r="AE17" s="34">
        <f>'6. PEF5. VENTAS Y COSTES'!$G$23/12</f>
        <v>33.6</v>
      </c>
      <c r="AF17" s="34">
        <f>'6. PEF5. VENTAS Y COSTES'!$G$23/12</f>
        <v>33.6</v>
      </c>
      <c r="AG17" s="34">
        <f>'6. PEF5. VENTAS Y COSTES'!$G$23/12</f>
        <v>33.6</v>
      </c>
      <c r="AH17" s="34">
        <f>'6. PEF5. VENTAS Y COSTES'!$G$23/12</f>
        <v>33.6</v>
      </c>
      <c r="AI17" s="34">
        <f>'6. PEF5. VENTAS Y COSTES'!$G$23/12</f>
        <v>33.6</v>
      </c>
      <c r="AJ17" s="34">
        <f>'6. PEF5. VENTAS Y COSTES'!$G$23/12</f>
        <v>33.6</v>
      </c>
      <c r="AL17" s="258" t="s">
        <v>292</v>
      </c>
      <c r="AM17" s="259"/>
      <c r="AN17" s="34">
        <f>'6. PEF5. VENTAS Y COSTES'!$H$23/12</f>
        <v>35.280000000000008</v>
      </c>
      <c r="AO17" s="34">
        <f>'6. PEF5. VENTAS Y COSTES'!$H$23/12</f>
        <v>35.280000000000008</v>
      </c>
      <c r="AP17" s="34">
        <f>'6. PEF5. VENTAS Y COSTES'!$H$23/12</f>
        <v>35.280000000000008</v>
      </c>
      <c r="AQ17" s="34">
        <f>'6. PEF5. VENTAS Y COSTES'!$H$23/12</f>
        <v>35.280000000000008</v>
      </c>
      <c r="AR17" s="34">
        <f>'6. PEF5. VENTAS Y COSTES'!$H$23/12</f>
        <v>35.280000000000008</v>
      </c>
      <c r="AS17" s="34">
        <f>'6. PEF5. VENTAS Y COSTES'!$H$23/12</f>
        <v>35.280000000000008</v>
      </c>
      <c r="AT17" s="3"/>
      <c r="AU17" s="258" t="s">
        <v>292</v>
      </c>
      <c r="AV17" s="259"/>
      <c r="AW17" s="34">
        <f>'6. PEF5. VENTAS Y COSTES'!$H$23/12</f>
        <v>35.280000000000008</v>
      </c>
      <c r="AX17" s="34">
        <f>'6. PEF5. VENTAS Y COSTES'!$H$23/12</f>
        <v>35.280000000000008</v>
      </c>
      <c r="AY17" s="34">
        <f>'6. PEF5. VENTAS Y COSTES'!$H$23/12</f>
        <v>35.280000000000008</v>
      </c>
      <c r="AZ17" s="34">
        <f>'6. PEF5. VENTAS Y COSTES'!$H$23/12</f>
        <v>35.280000000000008</v>
      </c>
      <c r="BA17" s="34">
        <f>'6. PEF5. VENTAS Y COSTES'!$H$23/12</f>
        <v>35.280000000000008</v>
      </c>
      <c r="BB17" s="34">
        <f>'6. PEF5. VENTAS Y COSTES'!$H$23/12</f>
        <v>35.280000000000008</v>
      </c>
      <c r="BC17" s="3"/>
      <c r="BD17" s="258" t="s">
        <v>292</v>
      </c>
      <c r="BE17" s="259"/>
      <c r="BF17" s="26">
        <f t="shared" si="6"/>
        <v>384</v>
      </c>
      <c r="BG17" s="26">
        <f t="shared" si="7"/>
        <v>403.2</v>
      </c>
      <c r="BH17" s="26">
        <f t="shared" si="8"/>
        <v>423.36000000000007</v>
      </c>
      <c r="BI17" s="2"/>
      <c r="BJ17" s="2"/>
      <c r="BK17" s="2"/>
    </row>
    <row r="18" spans="2:63" s="5" customFormat="1" ht="12.75" customHeight="1">
      <c r="B18" s="258" t="s">
        <v>343</v>
      </c>
      <c r="C18" s="259"/>
      <c r="D18" s="34">
        <f>'6. PEF5. VENTAS Y COSTES'!$F$24/12</f>
        <v>1984.5</v>
      </c>
      <c r="E18" s="34">
        <f>'6. PEF5. VENTAS Y COSTES'!$F$24/12</f>
        <v>1984.5</v>
      </c>
      <c r="F18" s="34">
        <f>'6. PEF5. VENTAS Y COSTES'!$F$24/12</f>
        <v>1984.5</v>
      </c>
      <c r="G18" s="34">
        <f>'6. PEF5. VENTAS Y COSTES'!$F$24/12</f>
        <v>1984.5</v>
      </c>
      <c r="H18" s="34">
        <f>'6. PEF5. VENTAS Y COSTES'!$F$24/12</f>
        <v>1984.5</v>
      </c>
      <c r="I18" s="34">
        <f>'6. PEF5. VENTAS Y COSTES'!$F$24/12</f>
        <v>1984.5</v>
      </c>
      <c r="J18" s="3"/>
      <c r="K18" s="258" t="s">
        <v>343</v>
      </c>
      <c r="L18" s="259"/>
      <c r="M18" s="34">
        <f>'6. PEF5. VENTAS Y COSTES'!$F$24/12</f>
        <v>1984.5</v>
      </c>
      <c r="N18" s="34">
        <f>'6. PEF5. VENTAS Y COSTES'!$F$24/12</f>
        <v>1984.5</v>
      </c>
      <c r="O18" s="34">
        <f>'6. PEF5. VENTAS Y COSTES'!$F$24/12</f>
        <v>1984.5</v>
      </c>
      <c r="P18" s="34">
        <f>'6. PEF5. VENTAS Y COSTES'!$F$24/12</f>
        <v>1984.5</v>
      </c>
      <c r="Q18" s="34">
        <f>'6. PEF5. VENTAS Y COSTES'!$F$24/12</f>
        <v>1984.5</v>
      </c>
      <c r="R18" s="34">
        <f>'6. PEF5. VENTAS Y COSTES'!$F$24/12</f>
        <v>1984.5</v>
      </c>
      <c r="T18" s="258" t="s">
        <v>343</v>
      </c>
      <c r="U18" s="259"/>
      <c r="V18" s="34">
        <f>'6. PEF5. VENTAS Y COSTES'!$G$24/12</f>
        <v>2083.7249999999999</v>
      </c>
      <c r="W18" s="34">
        <f>'6. PEF5. VENTAS Y COSTES'!$G$24/12</f>
        <v>2083.7249999999999</v>
      </c>
      <c r="X18" s="34">
        <f>'6. PEF5. VENTAS Y COSTES'!$G$24/12</f>
        <v>2083.7249999999999</v>
      </c>
      <c r="Y18" s="34">
        <f>'6. PEF5. VENTAS Y COSTES'!$G$24/12</f>
        <v>2083.7249999999999</v>
      </c>
      <c r="Z18" s="34">
        <f>'6. PEF5. VENTAS Y COSTES'!$G$24/12</f>
        <v>2083.7249999999999</v>
      </c>
      <c r="AA18" s="34">
        <f>'6. PEF5. VENTAS Y COSTES'!$G$24/12</f>
        <v>2083.7249999999999</v>
      </c>
      <c r="AB18" s="3"/>
      <c r="AC18" s="258" t="s">
        <v>343</v>
      </c>
      <c r="AD18" s="259"/>
      <c r="AE18" s="34">
        <f>'6. PEF5. VENTAS Y COSTES'!$G$24/12</f>
        <v>2083.7249999999999</v>
      </c>
      <c r="AF18" s="34">
        <f>'6. PEF5. VENTAS Y COSTES'!$G$24/12</f>
        <v>2083.7249999999999</v>
      </c>
      <c r="AG18" s="34">
        <f>'6. PEF5. VENTAS Y COSTES'!$G$24/12</f>
        <v>2083.7249999999999</v>
      </c>
      <c r="AH18" s="34">
        <f>'6. PEF5. VENTAS Y COSTES'!$G$24/12</f>
        <v>2083.7249999999999</v>
      </c>
      <c r="AI18" s="34">
        <f>'6. PEF5. VENTAS Y COSTES'!$G$24/12</f>
        <v>2083.7249999999999</v>
      </c>
      <c r="AJ18" s="34">
        <f>'6. PEF5. VENTAS Y COSTES'!$G$24/12</f>
        <v>2083.7249999999999</v>
      </c>
      <c r="AL18" s="258" t="s">
        <v>343</v>
      </c>
      <c r="AM18" s="259"/>
      <c r="AN18" s="34">
        <f>'6. PEF5. VENTAS Y COSTES'!$H$24/12</f>
        <v>2187.9112500000001</v>
      </c>
      <c r="AO18" s="34">
        <f>'6. PEF5. VENTAS Y COSTES'!$H$24/12</f>
        <v>2187.9112500000001</v>
      </c>
      <c r="AP18" s="34">
        <f>'6. PEF5. VENTAS Y COSTES'!$H$24/12</f>
        <v>2187.9112500000001</v>
      </c>
      <c r="AQ18" s="34">
        <f>'6. PEF5. VENTAS Y COSTES'!$H$24/12</f>
        <v>2187.9112500000001</v>
      </c>
      <c r="AR18" s="34">
        <f>'6. PEF5. VENTAS Y COSTES'!$H$24/12</f>
        <v>2187.9112500000001</v>
      </c>
      <c r="AS18" s="34">
        <f>'6. PEF5. VENTAS Y COSTES'!$H$24/12</f>
        <v>2187.9112500000001</v>
      </c>
      <c r="AT18" s="3"/>
      <c r="AU18" s="258" t="s">
        <v>343</v>
      </c>
      <c r="AV18" s="259"/>
      <c r="AW18" s="34">
        <f>'6. PEF5. VENTAS Y COSTES'!$H$24/12</f>
        <v>2187.9112500000001</v>
      </c>
      <c r="AX18" s="34">
        <f>'6. PEF5. VENTAS Y COSTES'!$H$24/12</f>
        <v>2187.9112500000001</v>
      </c>
      <c r="AY18" s="34">
        <f>'6. PEF5. VENTAS Y COSTES'!$H$24/12</f>
        <v>2187.9112500000001</v>
      </c>
      <c r="AZ18" s="34">
        <f>'6. PEF5. VENTAS Y COSTES'!$H$24/12</f>
        <v>2187.9112500000001</v>
      </c>
      <c r="BA18" s="34">
        <f>'6. PEF5. VENTAS Y COSTES'!$H$24/12</f>
        <v>2187.9112500000001</v>
      </c>
      <c r="BB18" s="34">
        <f>'6. PEF5. VENTAS Y COSTES'!$H$24/12</f>
        <v>2187.9112500000001</v>
      </c>
      <c r="BC18" s="3"/>
      <c r="BD18" s="258" t="s">
        <v>343</v>
      </c>
      <c r="BE18" s="259"/>
      <c r="BF18" s="26">
        <f t="shared" si="6"/>
        <v>23814</v>
      </c>
      <c r="BG18" s="26">
        <f t="shared" si="7"/>
        <v>25004.7</v>
      </c>
      <c r="BH18" s="26">
        <f t="shared" si="8"/>
        <v>26254.935000000005</v>
      </c>
      <c r="BI18" s="2"/>
      <c r="BJ18" s="2"/>
      <c r="BK18" s="2"/>
    </row>
    <row r="19" spans="2:63" s="5" customFormat="1" ht="12.75" customHeight="1">
      <c r="B19" s="258" t="s">
        <v>294</v>
      </c>
      <c r="C19" s="259"/>
      <c r="D19" s="34">
        <f>'6. PEF5. VENTAS Y COSTES'!$F$25/12</f>
        <v>43.333333333333336</v>
      </c>
      <c r="E19" s="34">
        <f>'6. PEF5. VENTAS Y COSTES'!$F$25/12</f>
        <v>43.333333333333336</v>
      </c>
      <c r="F19" s="34">
        <f>'6. PEF5. VENTAS Y COSTES'!$F$25/12</f>
        <v>43.333333333333336</v>
      </c>
      <c r="G19" s="34">
        <f>'6. PEF5. VENTAS Y COSTES'!$F$25/12</f>
        <v>43.333333333333336</v>
      </c>
      <c r="H19" s="34">
        <f>'6. PEF5. VENTAS Y COSTES'!$F$25/12</f>
        <v>43.333333333333336</v>
      </c>
      <c r="I19" s="34">
        <f>'6. PEF5. VENTAS Y COSTES'!$F$25/12</f>
        <v>43.333333333333336</v>
      </c>
      <c r="J19" s="3"/>
      <c r="K19" s="258" t="s">
        <v>294</v>
      </c>
      <c r="L19" s="259"/>
      <c r="M19" s="34">
        <f>'6. PEF5. VENTAS Y COSTES'!$F$25/12</f>
        <v>43.333333333333336</v>
      </c>
      <c r="N19" s="34">
        <f>'6. PEF5. VENTAS Y COSTES'!$F$25/12</f>
        <v>43.333333333333336</v>
      </c>
      <c r="O19" s="34">
        <f>'6. PEF5. VENTAS Y COSTES'!$F$25/12</f>
        <v>43.333333333333336</v>
      </c>
      <c r="P19" s="34">
        <f>'6. PEF5. VENTAS Y COSTES'!$F$25/12</f>
        <v>43.333333333333336</v>
      </c>
      <c r="Q19" s="34">
        <f>'6. PEF5. VENTAS Y COSTES'!$F$25/12</f>
        <v>43.333333333333336</v>
      </c>
      <c r="R19" s="34">
        <f>'6. PEF5. VENTAS Y COSTES'!$F$25/12</f>
        <v>43.333333333333336</v>
      </c>
      <c r="T19" s="258" t="s">
        <v>294</v>
      </c>
      <c r="U19" s="259"/>
      <c r="V19" s="34">
        <f>'6. PEF5. VENTAS Y COSTES'!$G$25/12</f>
        <v>45.5</v>
      </c>
      <c r="W19" s="34">
        <f>'6. PEF5. VENTAS Y COSTES'!$G$25/12</f>
        <v>45.5</v>
      </c>
      <c r="X19" s="34">
        <f>'6. PEF5. VENTAS Y COSTES'!$G$25/12</f>
        <v>45.5</v>
      </c>
      <c r="Y19" s="34">
        <f>'6. PEF5. VENTAS Y COSTES'!$G$25/12</f>
        <v>45.5</v>
      </c>
      <c r="Z19" s="34">
        <f>'6. PEF5. VENTAS Y COSTES'!$G$25/12</f>
        <v>45.5</v>
      </c>
      <c r="AA19" s="34">
        <f>'6. PEF5. VENTAS Y COSTES'!$G$25/12</f>
        <v>45.5</v>
      </c>
      <c r="AB19" s="3"/>
      <c r="AC19" s="258" t="s">
        <v>294</v>
      </c>
      <c r="AD19" s="259"/>
      <c r="AE19" s="34">
        <f>'6. PEF5. VENTAS Y COSTES'!$G$25/12</f>
        <v>45.5</v>
      </c>
      <c r="AF19" s="34">
        <f>'6. PEF5. VENTAS Y COSTES'!$G$25/12</f>
        <v>45.5</v>
      </c>
      <c r="AG19" s="34">
        <f>'6. PEF5. VENTAS Y COSTES'!$G$25/12</f>
        <v>45.5</v>
      </c>
      <c r="AH19" s="34">
        <f>'6. PEF5. VENTAS Y COSTES'!$G$25/12</f>
        <v>45.5</v>
      </c>
      <c r="AI19" s="34">
        <f>'6. PEF5. VENTAS Y COSTES'!$G$25/12</f>
        <v>45.5</v>
      </c>
      <c r="AJ19" s="34">
        <f>'6. PEF5. VENTAS Y COSTES'!$G$25/12</f>
        <v>45.5</v>
      </c>
      <c r="AL19" s="258" t="s">
        <v>294</v>
      </c>
      <c r="AM19" s="259"/>
      <c r="AN19" s="34">
        <f>'6. PEF5. VENTAS Y COSTES'!$H$25/12</f>
        <v>47.775000000000006</v>
      </c>
      <c r="AO19" s="34">
        <f>'6. PEF5. VENTAS Y COSTES'!$H$25/12</f>
        <v>47.775000000000006</v>
      </c>
      <c r="AP19" s="34">
        <f>'6. PEF5. VENTAS Y COSTES'!$H$25/12</f>
        <v>47.775000000000006</v>
      </c>
      <c r="AQ19" s="34">
        <f>'6. PEF5. VENTAS Y COSTES'!$H$25/12</f>
        <v>47.775000000000006</v>
      </c>
      <c r="AR19" s="34">
        <f>'6. PEF5. VENTAS Y COSTES'!$H$25/12</f>
        <v>47.775000000000006</v>
      </c>
      <c r="AS19" s="34">
        <f>'6. PEF5. VENTAS Y COSTES'!$H$25/12</f>
        <v>47.775000000000006</v>
      </c>
      <c r="AT19" s="3"/>
      <c r="AU19" s="258" t="s">
        <v>294</v>
      </c>
      <c r="AV19" s="259"/>
      <c r="AW19" s="34">
        <f>'6. PEF5. VENTAS Y COSTES'!$H$25/12</f>
        <v>47.775000000000006</v>
      </c>
      <c r="AX19" s="34">
        <f>'6. PEF5. VENTAS Y COSTES'!$H$25/12</f>
        <v>47.775000000000006</v>
      </c>
      <c r="AY19" s="34">
        <f>'6. PEF5. VENTAS Y COSTES'!$H$25/12</f>
        <v>47.775000000000006</v>
      </c>
      <c r="AZ19" s="34">
        <f>'6. PEF5. VENTAS Y COSTES'!$H$25/12</f>
        <v>47.775000000000006</v>
      </c>
      <c r="BA19" s="34">
        <f>'6. PEF5. VENTAS Y COSTES'!$H$25/12</f>
        <v>47.775000000000006</v>
      </c>
      <c r="BB19" s="34">
        <f>'6. PEF5. VENTAS Y COSTES'!$H$25/12</f>
        <v>47.775000000000006</v>
      </c>
      <c r="BC19" s="3"/>
      <c r="BD19" s="258" t="s">
        <v>294</v>
      </c>
      <c r="BE19" s="259"/>
      <c r="BF19" s="26">
        <f t="shared" si="6"/>
        <v>520</v>
      </c>
      <c r="BG19" s="26">
        <f t="shared" si="7"/>
        <v>546</v>
      </c>
      <c r="BH19" s="26">
        <f t="shared" si="8"/>
        <v>573.30000000000007</v>
      </c>
      <c r="BI19" s="2"/>
      <c r="BJ19" s="2"/>
      <c r="BK19" s="2"/>
    </row>
    <row r="20" spans="2:63" s="5" customFormat="1" ht="12.75" customHeight="1">
      <c r="B20" s="258" t="s">
        <v>344</v>
      </c>
      <c r="C20" s="259"/>
      <c r="D20" s="34">
        <f>'6. PEF5. VENTAS Y COSTES'!$F$26/12</f>
        <v>208.33333333333334</v>
      </c>
      <c r="E20" s="34">
        <f>'6. PEF5. VENTAS Y COSTES'!$F$26/12</f>
        <v>208.33333333333334</v>
      </c>
      <c r="F20" s="34">
        <f>'6. PEF5. VENTAS Y COSTES'!$F$26/12</f>
        <v>208.33333333333334</v>
      </c>
      <c r="G20" s="34">
        <f>'6. PEF5. VENTAS Y COSTES'!$F$26/12</f>
        <v>208.33333333333334</v>
      </c>
      <c r="H20" s="34">
        <f>'6. PEF5. VENTAS Y COSTES'!$F$26/12</f>
        <v>208.33333333333334</v>
      </c>
      <c r="I20" s="34">
        <f>'6. PEF5. VENTAS Y COSTES'!$F$26/12</f>
        <v>208.33333333333334</v>
      </c>
      <c r="J20" s="3"/>
      <c r="K20" s="258" t="s">
        <v>344</v>
      </c>
      <c r="L20" s="259"/>
      <c r="M20" s="34">
        <f>'6. PEF5. VENTAS Y COSTES'!$F$26/12</f>
        <v>208.33333333333334</v>
      </c>
      <c r="N20" s="34">
        <f>'6. PEF5. VENTAS Y COSTES'!$F$26/12</f>
        <v>208.33333333333334</v>
      </c>
      <c r="O20" s="34">
        <f>'6. PEF5. VENTAS Y COSTES'!$F$26/12</f>
        <v>208.33333333333334</v>
      </c>
      <c r="P20" s="34">
        <f>'6. PEF5. VENTAS Y COSTES'!$F$26/12</f>
        <v>208.33333333333334</v>
      </c>
      <c r="Q20" s="34">
        <f>'6. PEF5. VENTAS Y COSTES'!$F$26/12</f>
        <v>208.33333333333334</v>
      </c>
      <c r="R20" s="34">
        <f>'6. PEF5. VENTAS Y COSTES'!$F$26/12</f>
        <v>208.33333333333334</v>
      </c>
      <c r="T20" s="258" t="s">
        <v>344</v>
      </c>
      <c r="U20" s="259"/>
      <c r="V20" s="34">
        <f>'6. PEF5. VENTAS Y COSTES'!$G$26/12</f>
        <v>218.75</v>
      </c>
      <c r="W20" s="34">
        <f>'6. PEF5. VENTAS Y COSTES'!$G$26/12</f>
        <v>218.75</v>
      </c>
      <c r="X20" s="34">
        <f>'6. PEF5. VENTAS Y COSTES'!$G$26/12</f>
        <v>218.75</v>
      </c>
      <c r="Y20" s="34">
        <f>'6. PEF5. VENTAS Y COSTES'!$G$26/12</f>
        <v>218.75</v>
      </c>
      <c r="Z20" s="34">
        <f>'6. PEF5. VENTAS Y COSTES'!$G$26/12</f>
        <v>218.75</v>
      </c>
      <c r="AA20" s="34">
        <f>'6. PEF5. VENTAS Y COSTES'!$G$26/12</f>
        <v>218.75</v>
      </c>
      <c r="AB20" s="3"/>
      <c r="AC20" s="258" t="s">
        <v>344</v>
      </c>
      <c r="AD20" s="259"/>
      <c r="AE20" s="34">
        <f>'6. PEF5. VENTAS Y COSTES'!$G$26/12</f>
        <v>218.75</v>
      </c>
      <c r="AF20" s="34">
        <f>'6. PEF5. VENTAS Y COSTES'!$G$26/12</f>
        <v>218.75</v>
      </c>
      <c r="AG20" s="34">
        <f>'6. PEF5. VENTAS Y COSTES'!$G$26/12</f>
        <v>218.75</v>
      </c>
      <c r="AH20" s="34">
        <f>'6. PEF5. VENTAS Y COSTES'!$G$26/12</f>
        <v>218.75</v>
      </c>
      <c r="AI20" s="34">
        <f>'6. PEF5. VENTAS Y COSTES'!$G$26/12</f>
        <v>218.75</v>
      </c>
      <c r="AJ20" s="34">
        <f>'6. PEF5. VENTAS Y COSTES'!$G$26/12</f>
        <v>218.75</v>
      </c>
      <c r="AL20" s="258" t="s">
        <v>344</v>
      </c>
      <c r="AM20" s="259"/>
      <c r="AN20" s="34">
        <f>'6. PEF5. VENTAS Y COSTES'!$H$26/12</f>
        <v>229.6875</v>
      </c>
      <c r="AO20" s="34">
        <f>'6. PEF5. VENTAS Y COSTES'!$H$26/12</f>
        <v>229.6875</v>
      </c>
      <c r="AP20" s="34">
        <f>'6. PEF5. VENTAS Y COSTES'!$H$26/12</f>
        <v>229.6875</v>
      </c>
      <c r="AQ20" s="34">
        <f>'6. PEF5. VENTAS Y COSTES'!$H$26/12</f>
        <v>229.6875</v>
      </c>
      <c r="AR20" s="34">
        <f>'6. PEF5. VENTAS Y COSTES'!$H$26/12</f>
        <v>229.6875</v>
      </c>
      <c r="AS20" s="34">
        <f>'6. PEF5. VENTAS Y COSTES'!$H$26/12</f>
        <v>229.6875</v>
      </c>
      <c r="AT20" s="3"/>
      <c r="AU20" s="258" t="s">
        <v>344</v>
      </c>
      <c r="AV20" s="259"/>
      <c r="AW20" s="34">
        <f>'6. PEF5. VENTAS Y COSTES'!$H$26/12</f>
        <v>229.6875</v>
      </c>
      <c r="AX20" s="34">
        <f>'6. PEF5. VENTAS Y COSTES'!$H$26/12</f>
        <v>229.6875</v>
      </c>
      <c r="AY20" s="34">
        <f>'6. PEF5. VENTAS Y COSTES'!$H$26/12</f>
        <v>229.6875</v>
      </c>
      <c r="AZ20" s="34">
        <f>'6. PEF5. VENTAS Y COSTES'!$H$26/12</f>
        <v>229.6875</v>
      </c>
      <c r="BA20" s="34">
        <f>'6. PEF5. VENTAS Y COSTES'!$H$26/12</f>
        <v>229.6875</v>
      </c>
      <c r="BB20" s="34">
        <f>'6. PEF5. VENTAS Y COSTES'!$H$26/12</f>
        <v>229.6875</v>
      </c>
      <c r="BC20" s="3"/>
      <c r="BD20" s="258" t="s">
        <v>344</v>
      </c>
      <c r="BE20" s="259"/>
      <c r="BF20" s="26">
        <f t="shared" si="6"/>
        <v>2500</v>
      </c>
      <c r="BG20" s="26">
        <f t="shared" si="7"/>
        <v>2625</v>
      </c>
      <c r="BH20" s="26">
        <f t="shared" si="8"/>
        <v>2756.25</v>
      </c>
      <c r="BI20" s="2"/>
      <c r="BJ20" s="2"/>
      <c r="BK20" s="2"/>
    </row>
    <row r="21" spans="2:63" s="5" customFormat="1" ht="12.75" customHeight="1">
      <c r="B21" s="258" t="s">
        <v>296</v>
      </c>
      <c r="C21" s="259"/>
      <c r="D21" s="34">
        <f>'6. PEF5. VENTAS Y COSTES'!$F$27/12</f>
        <v>8.3333333333333329E-2</v>
      </c>
      <c r="E21" s="34">
        <f>'6. PEF5. VENTAS Y COSTES'!$F$27/12</f>
        <v>8.3333333333333329E-2</v>
      </c>
      <c r="F21" s="34">
        <f>'6. PEF5. VENTAS Y COSTES'!$F$27/12</f>
        <v>8.3333333333333329E-2</v>
      </c>
      <c r="G21" s="34">
        <f>'6. PEF5. VENTAS Y COSTES'!$F$27/12</f>
        <v>8.3333333333333329E-2</v>
      </c>
      <c r="H21" s="34">
        <f>'6. PEF5. VENTAS Y COSTES'!$F$27/12</f>
        <v>8.3333333333333329E-2</v>
      </c>
      <c r="I21" s="34">
        <f>'6. PEF5. VENTAS Y COSTES'!$F$27/12</f>
        <v>8.3333333333333329E-2</v>
      </c>
      <c r="J21" s="3"/>
      <c r="K21" s="258" t="s">
        <v>296</v>
      </c>
      <c r="L21" s="259"/>
      <c r="M21" s="34">
        <f>'6. PEF5. VENTAS Y COSTES'!$F$27/12</f>
        <v>8.3333333333333329E-2</v>
      </c>
      <c r="N21" s="34">
        <f>'6. PEF5. VENTAS Y COSTES'!$F$27/12</f>
        <v>8.3333333333333329E-2</v>
      </c>
      <c r="O21" s="34">
        <f>'6. PEF5. VENTAS Y COSTES'!$F$27/12</f>
        <v>8.3333333333333329E-2</v>
      </c>
      <c r="P21" s="34">
        <f>'6. PEF5. VENTAS Y COSTES'!$F$27/12</f>
        <v>8.3333333333333329E-2</v>
      </c>
      <c r="Q21" s="34">
        <f>'6. PEF5. VENTAS Y COSTES'!$F$27/12</f>
        <v>8.3333333333333329E-2</v>
      </c>
      <c r="R21" s="34">
        <f>'6. PEF5. VENTAS Y COSTES'!$F$27/12</f>
        <v>8.3333333333333329E-2</v>
      </c>
      <c r="T21" s="258" t="s">
        <v>296</v>
      </c>
      <c r="U21" s="259"/>
      <c r="V21" s="34">
        <f>'6. PEF5. VENTAS Y COSTES'!$G$27/12</f>
        <v>8.7500000000000008E-2</v>
      </c>
      <c r="W21" s="34">
        <f>'6. PEF5. VENTAS Y COSTES'!$G$27/12</f>
        <v>8.7500000000000008E-2</v>
      </c>
      <c r="X21" s="34">
        <f>'6. PEF5. VENTAS Y COSTES'!$G$27/12</f>
        <v>8.7500000000000008E-2</v>
      </c>
      <c r="Y21" s="34">
        <f>'6. PEF5. VENTAS Y COSTES'!$G$27/12</f>
        <v>8.7500000000000008E-2</v>
      </c>
      <c r="Z21" s="34">
        <f>'6. PEF5. VENTAS Y COSTES'!$G$27/12</f>
        <v>8.7500000000000008E-2</v>
      </c>
      <c r="AA21" s="34">
        <f>'6. PEF5. VENTAS Y COSTES'!$G$27/12</f>
        <v>8.7500000000000008E-2</v>
      </c>
      <c r="AB21" s="3"/>
      <c r="AC21" s="258" t="s">
        <v>296</v>
      </c>
      <c r="AD21" s="259"/>
      <c r="AE21" s="34">
        <f>'6. PEF5. VENTAS Y COSTES'!$G$27/12</f>
        <v>8.7500000000000008E-2</v>
      </c>
      <c r="AF21" s="34">
        <f>'6. PEF5. VENTAS Y COSTES'!$G$27/12</f>
        <v>8.7500000000000008E-2</v>
      </c>
      <c r="AG21" s="34">
        <f>'6. PEF5. VENTAS Y COSTES'!$G$27/12</f>
        <v>8.7500000000000008E-2</v>
      </c>
      <c r="AH21" s="34">
        <f>'6. PEF5. VENTAS Y COSTES'!$G$27/12</f>
        <v>8.7500000000000008E-2</v>
      </c>
      <c r="AI21" s="34">
        <f>'6. PEF5. VENTAS Y COSTES'!$G$27/12</f>
        <v>8.7500000000000008E-2</v>
      </c>
      <c r="AJ21" s="34">
        <f>'6. PEF5. VENTAS Y COSTES'!$G$27/12</f>
        <v>8.7500000000000008E-2</v>
      </c>
      <c r="AL21" s="258" t="s">
        <v>296</v>
      </c>
      <c r="AM21" s="259"/>
      <c r="AN21" s="34">
        <f>'6. PEF5. VENTAS Y COSTES'!$H$27/12</f>
        <v>9.1874999999999998E-2</v>
      </c>
      <c r="AO21" s="34">
        <f>'6. PEF5. VENTAS Y COSTES'!$H$27/12</f>
        <v>9.1874999999999998E-2</v>
      </c>
      <c r="AP21" s="34">
        <f>'6. PEF5. VENTAS Y COSTES'!$H$27/12</f>
        <v>9.1874999999999998E-2</v>
      </c>
      <c r="AQ21" s="34">
        <f>'6. PEF5. VENTAS Y COSTES'!$H$27/12</f>
        <v>9.1874999999999998E-2</v>
      </c>
      <c r="AR21" s="34">
        <f>'6. PEF5. VENTAS Y COSTES'!$H$27/12</f>
        <v>9.1874999999999998E-2</v>
      </c>
      <c r="AS21" s="34">
        <f>'6. PEF5. VENTAS Y COSTES'!$H$27/12</f>
        <v>9.1874999999999998E-2</v>
      </c>
      <c r="AT21" s="3"/>
      <c r="AU21" s="258" t="s">
        <v>296</v>
      </c>
      <c r="AV21" s="259"/>
      <c r="AW21" s="34">
        <f>'6. PEF5. VENTAS Y COSTES'!$H$27/12</f>
        <v>9.1874999999999998E-2</v>
      </c>
      <c r="AX21" s="34">
        <f>'6. PEF5. VENTAS Y COSTES'!$H$27/12</f>
        <v>9.1874999999999998E-2</v>
      </c>
      <c r="AY21" s="34">
        <f>'6. PEF5. VENTAS Y COSTES'!$H$27/12</f>
        <v>9.1874999999999998E-2</v>
      </c>
      <c r="AZ21" s="34">
        <f>'6. PEF5. VENTAS Y COSTES'!$H$27/12</f>
        <v>9.1874999999999998E-2</v>
      </c>
      <c r="BA21" s="34">
        <f>'6. PEF5. VENTAS Y COSTES'!$H$27/12</f>
        <v>9.1874999999999998E-2</v>
      </c>
      <c r="BB21" s="34">
        <f>'6. PEF5. VENTAS Y COSTES'!$H$27/12</f>
        <v>9.1874999999999998E-2</v>
      </c>
      <c r="BC21" s="3"/>
      <c r="BD21" s="258" t="s">
        <v>296</v>
      </c>
      <c r="BE21" s="259"/>
      <c r="BF21" s="26">
        <f t="shared" si="6"/>
        <v>0.99999999999999989</v>
      </c>
      <c r="BG21" s="26">
        <f t="shared" si="7"/>
        <v>1.05</v>
      </c>
      <c r="BH21" s="26">
        <f t="shared" si="8"/>
        <v>1.1025</v>
      </c>
      <c r="BI21" s="2"/>
      <c r="BJ21" s="2"/>
      <c r="BK21" s="2"/>
    </row>
    <row r="22" spans="2:63" s="5" customFormat="1" ht="12.75" customHeight="1">
      <c r="B22" s="258" t="s">
        <v>300</v>
      </c>
      <c r="C22" s="259"/>
      <c r="D22" s="34">
        <f>'6. PEF5. VENTAS Y COSTES'!$F$31/12</f>
        <v>8.3333333333333329E-2</v>
      </c>
      <c r="E22" s="34">
        <f>'6. PEF5. VENTAS Y COSTES'!$F$31/12</f>
        <v>8.3333333333333329E-2</v>
      </c>
      <c r="F22" s="34">
        <f>'6. PEF5. VENTAS Y COSTES'!$F$31/12</f>
        <v>8.3333333333333329E-2</v>
      </c>
      <c r="G22" s="34">
        <f>'6. PEF5. VENTAS Y COSTES'!$F$31/12</f>
        <v>8.3333333333333329E-2</v>
      </c>
      <c r="H22" s="34">
        <f>'6. PEF5. VENTAS Y COSTES'!$F$31/12</f>
        <v>8.3333333333333329E-2</v>
      </c>
      <c r="I22" s="34">
        <f>'6. PEF5. VENTAS Y COSTES'!$F$31/12</f>
        <v>8.3333333333333329E-2</v>
      </c>
      <c r="J22" s="3"/>
      <c r="K22" s="258" t="s">
        <v>300</v>
      </c>
      <c r="L22" s="259"/>
      <c r="M22" s="34">
        <f>'6. PEF5. VENTAS Y COSTES'!$F$31/12</f>
        <v>8.3333333333333329E-2</v>
      </c>
      <c r="N22" s="34">
        <f>'6. PEF5. VENTAS Y COSTES'!$F$31/12</f>
        <v>8.3333333333333329E-2</v>
      </c>
      <c r="O22" s="34">
        <f>'6. PEF5. VENTAS Y COSTES'!$F$31/12</f>
        <v>8.3333333333333329E-2</v>
      </c>
      <c r="P22" s="34">
        <f>'6. PEF5. VENTAS Y COSTES'!$F$31/12</f>
        <v>8.3333333333333329E-2</v>
      </c>
      <c r="Q22" s="34">
        <f>'6. PEF5. VENTAS Y COSTES'!$F$31/12</f>
        <v>8.3333333333333329E-2</v>
      </c>
      <c r="R22" s="34">
        <f>'6. PEF5. VENTAS Y COSTES'!$F$31/12</f>
        <v>8.3333333333333329E-2</v>
      </c>
      <c r="T22" s="258" t="s">
        <v>300</v>
      </c>
      <c r="U22" s="259"/>
      <c r="V22" s="34">
        <f>'6. PEF5. VENTAS Y COSTES'!$G$31/12</f>
        <v>8.7500000000000008E-2</v>
      </c>
      <c r="W22" s="34">
        <f>'6. PEF5. VENTAS Y COSTES'!$G$31/12</f>
        <v>8.7500000000000008E-2</v>
      </c>
      <c r="X22" s="34">
        <f>'6. PEF5. VENTAS Y COSTES'!$G$31/12</f>
        <v>8.7500000000000008E-2</v>
      </c>
      <c r="Y22" s="34">
        <f>'6. PEF5. VENTAS Y COSTES'!$G$31/12</f>
        <v>8.7500000000000008E-2</v>
      </c>
      <c r="Z22" s="34">
        <f>'6. PEF5. VENTAS Y COSTES'!$G$31/12</f>
        <v>8.7500000000000008E-2</v>
      </c>
      <c r="AA22" s="34">
        <f>'6. PEF5. VENTAS Y COSTES'!$G$31/12</f>
        <v>8.7500000000000008E-2</v>
      </c>
      <c r="AB22" s="3"/>
      <c r="AC22" s="258" t="s">
        <v>300</v>
      </c>
      <c r="AD22" s="259"/>
      <c r="AE22" s="34">
        <f>'6. PEF5. VENTAS Y COSTES'!$G$31/12</f>
        <v>8.7500000000000008E-2</v>
      </c>
      <c r="AF22" s="34">
        <f>'6. PEF5. VENTAS Y COSTES'!$G$31/12</f>
        <v>8.7500000000000008E-2</v>
      </c>
      <c r="AG22" s="34">
        <f>'6. PEF5. VENTAS Y COSTES'!$G$31/12</f>
        <v>8.7500000000000008E-2</v>
      </c>
      <c r="AH22" s="34">
        <f>'6. PEF5. VENTAS Y COSTES'!$G$31/12</f>
        <v>8.7500000000000008E-2</v>
      </c>
      <c r="AI22" s="34">
        <f>'6. PEF5. VENTAS Y COSTES'!$G$31/12</f>
        <v>8.7500000000000008E-2</v>
      </c>
      <c r="AJ22" s="34">
        <f>'6. PEF5. VENTAS Y COSTES'!$G$31/12</f>
        <v>8.7500000000000008E-2</v>
      </c>
      <c r="AL22" s="258" t="s">
        <v>300</v>
      </c>
      <c r="AM22" s="259"/>
      <c r="AN22" s="34">
        <f>'6. PEF5. VENTAS Y COSTES'!$H$31/12</f>
        <v>9.1874999999999998E-2</v>
      </c>
      <c r="AO22" s="34">
        <f>'6. PEF5. VENTAS Y COSTES'!$H$31/12</f>
        <v>9.1874999999999998E-2</v>
      </c>
      <c r="AP22" s="34">
        <f>'6. PEF5. VENTAS Y COSTES'!$H$31/12</f>
        <v>9.1874999999999998E-2</v>
      </c>
      <c r="AQ22" s="34">
        <f>'6. PEF5. VENTAS Y COSTES'!$H$31/12</f>
        <v>9.1874999999999998E-2</v>
      </c>
      <c r="AR22" s="34">
        <f>'6. PEF5. VENTAS Y COSTES'!$H$31/12</f>
        <v>9.1874999999999998E-2</v>
      </c>
      <c r="AS22" s="34">
        <f>'6. PEF5. VENTAS Y COSTES'!$H$31/12</f>
        <v>9.1874999999999998E-2</v>
      </c>
      <c r="AT22" s="3"/>
      <c r="AU22" s="258" t="s">
        <v>300</v>
      </c>
      <c r="AV22" s="259"/>
      <c r="AW22" s="34">
        <f>'6. PEF5. VENTAS Y COSTES'!$H$31/12</f>
        <v>9.1874999999999998E-2</v>
      </c>
      <c r="AX22" s="34">
        <f>'6. PEF5. VENTAS Y COSTES'!$H$31/12</f>
        <v>9.1874999999999998E-2</v>
      </c>
      <c r="AY22" s="34">
        <f>'6. PEF5. VENTAS Y COSTES'!$H$31/12</f>
        <v>9.1874999999999998E-2</v>
      </c>
      <c r="AZ22" s="34">
        <f>'6. PEF5. VENTAS Y COSTES'!$H$31/12</f>
        <v>9.1874999999999998E-2</v>
      </c>
      <c r="BA22" s="34">
        <f>'6. PEF5. VENTAS Y COSTES'!$H$31/12</f>
        <v>9.1874999999999998E-2</v>
      </c>
      <c r="BB22" s="34">
        <f>'6. PEF5. VENTAS Y COSTES'!$H$31/12</f>
        <v>9.1874999999999998E-2</v>
      </c>
      <c r="BC22" s="3"/>
      <c r="BD22" s="258" t="s">
        <v>300</v>
      </c>
      <c r="BE22" s="259"/>
      <c r="BF22" s="26">
        <f t="shared" si="6"/>
        <v>0.99999999999999989</v>
      </c>
      <c r="BG22" s="26">
        <f t="shared" si="7"/>
        <v>1.05</v>
      </c>
      <c r="BH22" s="26">
        <f t="shared" si="8"/>
        <v>1.1025</v>
      </c>
      <c r="BI22" s="2"/>
      <c r="BJ22" s="2"/>
      <c r="BK22" s="2"/>
    </row>
    <row r="23" spans="2:63" s="5" customFormat="1" ht="12.75" customHeight="1">
      <c r="B23" s="256" t="s">
        <v>345</v>
      </c>
      <c r="C23" s="257"/>
      <c r="D23" s="34">
        <f t="shared" ref="D23:I23" si="9">SUM(D15:D22)</f>
        <v>2272.5833333333339</v>
      </c>
      <c r="E23" s="34">
        <f t="shared" si="9"/>
        <v>2272.5833333333339</v>
      </c>
      <c r="F23" s="34">
        <f t="shared" si="9"/>
        <v>2272.5833333333339</v>
      </c>
      <c r="G23" s="34">
        <f t="shared" si="9"/>
        <v>2272.5833333333339</v>
      </c>
      <c r="H23" s="34">
        <f t="shared" si="9"/>
        <v>2272.5833333333339</v>
      </c>
      <c r="I23" s="34">
        <f t="shared" si="9"/>
        <v>2272.5833333333339</v>
      </c>
      <c r="J23" s="3"/>
      <c r="K23" s="256" t="s">
        <v>345</v>
      </c>
      <c r="L23" s="257"/>
      <c r="M23" s="34">
        <f t="shared" ref="M23:R23" si="10">SUM(M15:M22)</f>
        <v>2272.5833333333339</v>
      </c>
      <c r="N23" s="34">
        <f t="shared" si="10"/>
        <v>2272.5833333333339</v>
      </c>
      <c r="O23" s="34">
        <f t="shared" si="10"/>
        <v>2272.5833333333339</v>
      </c>
      <c r="P23" s="34">
        <f t="shared" si="10"/>
        <v>2272.5833333333339</v>
      </c>
      <c r="Q23" s="34">
        <f t="shared" si="10"/>
        <v>2272.5833333333339</v>
      </c>
      <c r="R23" s="34">
        <f t="shared" si="10"/>
        <v>2272.5833333333339</v>
      </c>
      <c r="T23" s="256" t="s">
        <v>345</v>
      </c>
      <c r="U23" s="257"/>
      <c r="V23" s="34">
        <f t="shared" ref="V23:AA23" si="11">SUM(V15:V22)</f>
        <v>2386.2125000000001</v>
      </c>
      <c r="W23" s="34">
        <f t="shared" si="11"/>
        <v>2386.2125000000001</v>
      </c>
      <c r="X23" s="34">
        <f t="shared" si="11"/>
        <v>2386.2125000000001</v>
      </c>
      <c r="Y23" s="34">
        <f t="shared" si="11"/>
        <v>2386.2125000000001</v>
      </c>
      <c r="Z23" s="34">
        <f t="shared" si="11"/>
        <v>2386.2125000000001</v>
      </c>
      <c r="AA23" s="34">
        <f t="shared" si="11"/>
        <v>2386.2125000000001</v>
      </c>
      <c r="AB23" s="3"/>
      <c r="AC23" s="256" t="s">
        <v>345</v>
      </c>
      <c r="AD23" s="257"/>
      <c r="AE23" s="34">
        <f t="shared" ref="AE23:AJ23" si="12">SUM(AE15:AE22)</f>
        <v>2386.2125000000001</v>
      </c>
      <c r="AF23" s="34">
        <f t="shared" si="12"/>
        <v>2386.2125000000001</v>
      </c>
      <c r="AG23" s="34">
        <f t="shared" si="12"/>
        <v>2386.2125000000001</v>
      </c>
      <c r="AH23" s="34">
        <f t="shared" si="12"/>
        <v>2386.2125000000001</v>
      </c>
      <c r="AI23" s="34">
        <f t="shared" si="12"/>
        <v>2386.2125000000001</v>
      </c>
      <c r="AJ23" s="34">
        <f t="shared" si="12"/>
        <v>2386.2125000000001</v>
      </c>
      <c r="AL23" s="256" t="s">
        <v>345</v>
      </c>
      <c r="AM23" s="257"/>
      <c r="AN23" s="34">
        <f t="shared" ref="AN23:AS23" si="13">SUM(AN15:AN22)</f>
        <v>2505.5231250000002</v>
      </c>
      <c r="AO23" s="34">
        <f t="shared" si="13"/>
        <v>2505.5231250000002</v>
      </c>
      <c r="AP23" s="34">
        <f t="shared" si="13"/>
        <v>2505.5231250000002</v>
      </c>
      <c r="AQ23" s="34">
        <f t="shared" si="13"/>
        <v>2505.5231250000002</v>
      </c>
      <c r="AR23" s="34">
        <f t="shared" si="13"/>
        <v>2505.5231250000002</v>
      </c>
      <c r="AS23" s="34">
        <f t="shared" si="13"/>
        <v>2505.5231250000002</v>
      </c>
      <c r="AT23" s="3"/>
      <c r="AU23" s="256" t="s">
        <v>345</v>
      </c>
      <c r="AV23" s="257"/>
      <c r="AW23" s="34">
        <f t="shared" ref="AW23:BB23" si="14">SUM(AW15:AW22)</f>
        <v>2505.5231250000002</v>
      </c>
      <c r="AX23" s="34">
        <f t="shared" si="14"/>
        <v>2505.5231250000002</v>
      </c>
      <c r="AY23" s="34">
        <f t="shared" si="14"/>
        <v>2505.5231250000002</v>
      </c>
      <c r="AZ23" s="34">
        <f t="shared" si="14"/>
        <v>2505.5231250000002</v>
      </c>
      <c r="BA23" s="34">
        <f t="shared" si="14"/>
        <v>2505.5231250000002</v>
      </c>
      <c r="BB23" s="34">
        <f t="shared" si="14"/>
        <v>2505.5231250000002</v>
      </c>
      <c r="BC23" s="3"/>
      <c r="BD23" s="256" t="s">
        <v>345</v>
      </c>
      <c r="BE23" s="257"/>
      <c r="BF23" s="24">
        <f>SUM(BF15:BF22)</f>
        <v>27271</v>
      </c>
      <c r="BG23" s="24">
        <f>SUM(BG15:BG22)</f>
        <v>28634.55</v>
      </c>
      <c r="BH23" s="24">
        <f>SUM(BH15:BH22)</f>
        <v>30066.277500000007</v>
      </c>
      <c r="BI23" s="2"/>
      <c r="BJ23" s="2"/>
      <c r="BK23" s="2"/>
    </row>
    <row r="24" spans="2:63" s="5" customFormat="1" ht="12.75" customHeight="1">
      <c r="B24" s="256" t="s">
        <v>298</v>
      </c>
      <c r="C24" s="257"/>
      <c r="D24" s="34">
        <f>'6. PEF5. VENTAS Y COSTES'!$F$29/12</f>
        <v>8.3333333333333329E-2</v>
      </c>
      <c r="E24" s="34">
        <f>'6. PEF5. VENTAS Y COSTES'!$F$29/12</f>
        <v>8.3333333333333329E-2</v>
      </c>
      <c r="F24" s="34">
        <f>'6. PEF5. VENTAS Y COSTES'!$F$29/12</f>
        <v>8.3333333333333329E-2</v>
      </c>
      <c r="G24" s="34">
        <f>'6. PEF5. VENTAS Y COSTES'!$F$29/12</f>
        <v>8.3333333333333329E-2</v>
      </c>
      <c r="H24" s="34">
        <f>'6. PEF5. VENTAS Y COSTES'!$F$29/12</f>
        <v>8.3333333333333329E-2</v>
      </c>
      <c r="I24" s="34">
        <f>'6. PEF5. VENTAS Y COSTES'!$F$29/12</f>
        <v>8.3333333333333329E-2</v>
      </c>
      <c r="J24" s="3"/>
      <c r="K24" s="256" t="s">
        <v>298</v>
      </c>
      <c r="L24" s="257"/>
      <c r="M24" s="34">
        <f>'6. PEF5. VENTAS Y COSTES'!$F$29/12</f>
        <v>8.3333333333333329E-2</v>
      </c>
      <c r="N24" s="34">
        <f>'6. PEF5. VENTAS Y COSTES'!$F$29/12</f>
        <v>8.3333333333333329E-2</v>
      </c>
      <c r="O24" s="34">
        <f>'6. PEF5. VENTAS Y COSTES'!$F$29/12</f>
        <v>8.3333333333333329E-2</v>
      </c>
      <c r="P24" s="34">
        <f>'6. PEF5. VENTAS Y COSTES'!$F$29/12</f>
        <v>8.3333333333333329E-2</v>
      </c>
      <c r="Q24" s="34">
        <f>'6. PEF5. VENTAS Y COSTES'!$F$29/12</f>
        <v>8.3333333333333329E-2</v>
      </c>
      <c r="R24" s="34">
        <f>'6. PEF5. VENTAS Y COSTES'!$F$29/12</f>
        <v>8.3333333333333329E-2</v>
      </c>
      <c r="T24" s="256" t="s">
        <v>298</v>
      </c>
      <c r="U24" s="257"/>
      <c r="V24" s="34">
        <f>'6. PEF5. VENTAS Y COSTES'!$G$29/12</f>
        <v>9.5833333333333326E-2</v>
      </c>
      <c r="W24" s="34">
        <f>'6. PEF5. VENTAS Y COSTES'!$G$29/12</f>
        <v>9.5833333333333326E-2</v>
      </c>
      <c r="X24" s="34">
        <f>'6. PEF5. VENTAS Y COSTES'!$G$29/12</f>
        <v>9.5833333333333326E-2</v>
      </c>
      <c r="Y24" s="34">
        <f>'6. PEF5. VENTAS Y COSTES'!$G$29/12</f>
        <v>9.5833333333333326E-2</v>
      </c>
      <c r="Z24" s="34">
        <f>'6. PEF5. VENTAS Y COSTES'!$G$29/12</f>
        <v>9.5833333333333326E-2</v>
      </c>
      <c r="AA24" s="34">
        <f>'6. PEF5. VENTAS Y COSTES'!$G$29/12</f>
        <v>9.5833333333333326E-2</v>
      </c>
      <c r="AB24" s="3"/>
      <c r="AC24" s="256" t="s">
        <v>298</v>
      </c>
      <c r="AD24" s="257"/>
      <c r="AE24" s="34">
        <f>'6. PEF5. VENTAS Y COSTES'!$G$29/12</f>
        <v>9.5833333333333326E-2</v>
      </c>
      <c r="AF24" s="34">
        <f>'6. PEF5. VENTAS Y COSTES'!$G$29/12</f>
        <v>9.5833333333333326E-2</v>
      </c>
      <c r="AG24" s="34">
        <f>'6. PEF5. VENTAS Y COSTES'!$G$29/12</f>
        <v>9.5833333333333326E-2</v>
      </c>
      <c r="AH24" s="34">
        <f>'6. PEF5. VENTAS Y COSTES'!$G$29/12</f>
        <v>9.5833333333333326E-2</v>
      </c>
      <c r="AI24" s="34">
        <f>'6. PEF5. VENTAS Y COSTES'!$G$29/12</f>
        <v>9.5833333333333326E-2</v>
      </c>
      <c r="AJ24" s="34">
        <f>'6. PEF5. VENTAS Y COSTES'!$G$29/12</f>
        <v>9.5833333333333326E-2</v>
      </c>
      <c r="AL24" s="256" t="s">
        <v>298</v>
      </c>
      <c r="AM24" s="257"/>
      <c r="AN24" s="34">
        <f>'6. PEF5. VENTAS Y COSTES'!$H$29/12</f>
        <v>0.11020833333333331</v>
      </c>
      <c r="AO24" s="34">
        <f>'6. PEF5. VENTAS Y COSTES'!$H$29/12</f>
        <v>0.11020833333333331</v>
      </c>
      <c r="AP24" s="34">
        <f>'6. PEF5. VENTAS Y COSTES'!$H$29/12</f>
        <v>0.11020833333333331</v>
      </c>
      <c r="AQ24" s="34">
        <f>'6. PEF5. VENTAS Y COSTES'!$H$29/12</f>
        <v>0.11020833333333331</v>
      </c>
      <c r="AR24" s="34">
        <f>'6. PEF5. VENTAS Y COSTES'!$H$29/12</f>
        <v>0.11020833333333331</v>
      </c>
      <c r="AS24" s="34">
        <f>'6. PEF5. VENTAS Y COSTES'!$H$29/12</f>
        <v>0.11020833333333331</v>
      </c>
      <c r="AT24" s="3"/>
      <c r="AU24" s="256" t="s">
        <v>298</v>
      </c>
      <c r="AV24" s="257"/>
      <c r="AW24" s="34">
        <f>'6. PEF5. VENTAS Y COSTES'!$H$29/12</f>
        <v>0.11020833333333331</v>
      </c>
      <c r="AX24" s="34">
        <f>'6. PEF5. VENTAS Y COSTES'!$H$29/12</f>
        <v>0.11020833333333331</v>
      </c>
      <c r="AY24" s="34">
        <f>'6. PEF5. VENTAS Y COSTES'!$H$29/12</f>
        <v>0.11020833333333331</v>
      </c>
      <c r="AZ24" s="34">
        <f>'6. PEF5. VENTAS Y COSTES'!$H$29/12</f>
        <v>0.11020833333333331</v>
      </c>
      <c r="BA24" s="34">
        <f>'6. PEF5. VENTAS Y COSTES'!$H$29/12</f>
        <v>0.11020833333333331</v>
      </c>
      <c r="BB24" s="34">
        <f>'6. PEF5. VENTAS Y COSTES'!$H$29/12</f>
        <v>0.11020833333333331</v>
      </c>
      <c r="BC24" s="3"/>
      <c r="BD24" s="256" t="s">
        <v>298</v>
      </c>
      <c r="BE24" s="257"/>
      <c r="BF24" s="24">
        <f>SUM(D24:I24)+SUM(M24:R24)</f>
        <v>0.99999999999999989</v>
      </c>
      <c r="BG24" s="24">
        <f t="shared" ref="BG24:BG30" si="15">SUM(V24:AA24)+SUM(AE24:AJ24)</f>
        <v>1.1499999999999999</v>
      </c>
      <c r="BH24" s="24">
        <f t="shared" ref="BH24:BH30" si="16">SUM(AN24:AS24)+SUM(AW24:BB24)</f>
        <v>1.3224999999999998</v>
      </c>
      <c r="BI24" s="2"/>
      <c r="BJ24" s="2"/>
      <c r="BK24" s="2"/>
    </row>
    <row r="25" spans="2:63" s="5" customFormat="1" ht="12.75" customHeight="1">
      <c r="B25" s="252" t="s">
        <v>299</v>
      </c>
      <c r="C25" s="253"/>
      <c r="D25" s="26">
        <f>'6.PEF4. AMORTIZACIÓN'!$G$33/12</f>
        <v>176.72333333333336</v>
      </c>
      <c r="E25" s="26">
        <f>'6.PEF4. AMORTIZACIÓN'!$G$33/12</f>
        <v>176.72333333333336</v>
      </c>
      <c r="F25" s="26">
        <f>'6.PEF4. AMORTIZACIÓN'!$G$33/12</f>
        <v>176.72333333333336</v>
      </c>
      <c r="G25" s="26">
        <f>'6.PEF4. AMORTIZACIÓN'!$G$33/12</f>
        <v>176.72333333333336</v>
      </c>
      <c r="H25" s="26">
        <f>'6.PEF4. AMORTIZACIÓN'!$G$33/12</f>
        <v>176.72333333333336</v>
      </c>
      <c r="I25" s="26">
        <f>'6.PEF4. AMORTIZACIÓN'!$G$33/12</f>
        <v>176.72333333333336</v>
      </c>
      <c r="J25" s="3"/>
      <c r="K25" s="252" t="s">
        <v>299</v>
      </c>
      <c r="L25" s="253"/>
      <c r="M25" s="26">
        <f>'6.PEF4. AMORTIZACIÓN'!$G$33/12</f>
        <v>176.72333333333336</v>
      </c>
      <c r="N25" s="26">
        <f>'6.PEF4. AMORTIZACIÓN'!$G$33/12</f>
        <v>176.72333333333336</v>
      </c>
      <c r="O25" s="26">
        <f>'6.PEF4. AMORTIZACIÓN'!$G$33/12</f>
        <v>176.72333333333336</v>
      </c>
      <c r="P25" s="26">
        <f>'6.PEF4. AMORTIZACIÓN'!$G$33/12</f>
        <v>176.72333333333336</v>
      </c>
      <c r="Q25" s="26">
        <f>'6.PEF4. AMORTIZACIÓN'!$G$33/12</f>
        <v>176.72333333333336</v>
      </c>
      <c r="R25" s="26">
        <f>'6.PEF4. AMORTIZACIÓN'!$G$33/12</f>
        <v>176.72333333333336</v>
      </c>
      <c r="T25" s="252" t="s">
        <v>299</v>
      </c>
      <c r="U25" s="253"/>
      <c r="V25" s="26">
        <f>'6.PEF4. AMORTIZACIÓN'!$H$33/12</f>
        <v>176.72333333333336</v>
      </c>
      <c r="W25" s="26">
        <f>'6.PEF4. AMORTIZACIÓN'!$H$33/12</f>
        <v>176.72333333333336</v>
      </c>
      <c r="X25" s="26">
        <f>'6.PEF4. AMORTIZACIÓN'!$H$33/12</f>
        <v>176.72333333333336</v>
      </c>
      <c r="Y25" s="26">
        <f>'6.PEF4. AMORTIZACIÓN'!$H$33/12</f>
        <v>176.72333333333336</v>
      </c>
      <c r="Z25" s="26">
        <f>'6.PEF4. AMORTIZACIÓN'!$H$33/12</f>
        <v>176.72333333333336</v>
      </c>
      <c r="AA25" s="26">
        <f>'6.PEF4. AMORTIZACIÓN'!$H$33/12</f>
        <v>176.72333333333336</v>
      </c>
      <c r="AB25" s="3"/>
      <c r="AC25" s="252" t="s">
        <v>299</v>
      </c>
      <c r="AD25" s="253"/>
      <c r="AE25" s="26">
        <f>'6.PEF4. AMORTIZACIÓN'!$H$33/12</f>
        <v>176.72333333333336</v>
      </c>
      <c r="AF25" s="26">
        <f>'6.PEF4. AMORTIZACIÓN'!$H$33/12</f>
        <v>176.72333333333336</v>
      </c>
      <c r="AG25" s="26">
        <f>'6.PEF4. AMORTIZACIÓN'!$H$33/12</f>
        <v>176.72333333333336</v>
      </c>
      <c r="AH25" s="26">
        <f>'6.PEF4. AMORTIZACIÓN'!$H$33/12</f>
        <v>176.72333333333336</v>
      </c>
      <c r="AI25" s="26">
        <f>'6.PEF4. AMORTIZACIÓN'!$H$33/12</f>
        <v>176.72333333333336</v>
      </c>
      <c r="AJ25" s="26">
        <f>'6.PEF4. AMORTIZACIÓN'!$H$33/12</f>
        <v>176.72333333333336</v>
      </c>
      <c r="AL25" s="252" t="s">
        <v>299</v>
      </c>
      <c r="AM25" s="253"/>
      <c r="AN25" s="26">
        <f>'6.PEF4. AMORTIZACIÓN'!$I$33/12</f>
        <v>176.72333333333336</v>
      </c>
      <c r="AO25" s="26">
        <f>'6.PEF4. AMORTIZACIÓN'!$I$33/12</f>
        <v>176.72333333333336</v>
      </c>
      <c r="AP25" s="26">
        <f>'6.PEF4. AMORTIZACIÓN'!$I$33/12</f>
        <v>176.72333333333336</v>
      </c>
      <c r="AQ25" s="26">
        <f>'6.PEF4. AMORTIZACIÓN'!$I$33/12</f>
        <v>176.72333333333336</v>
      </c>
      <c r="AR25" s="26">
        <f>'6.PEF4. AMORTIZACIÓN'!$I$33/12</f>
        <v>176.72333333333336</v>
      </c>
      <c r="AS25" s="26">
        <f>'6.PEF4. AMORTIZACIÓN'!$I$33/12</f>
        <v>176.72333333333336</v>
      </c>
      <c r="AT25" s="3"/>
      <c r="AU25" s="252" t="s">
        <v>299</v>
      </c>
      <c r="AV25" s="253"/>
      <c r="AW25" s="26">
        <f>'6.PEF4. AMORTIZACIÓN'!$I$33/12</f>
        <v>176.72333333333336</v>
      </c>
      <c r="AX25" s="26">
        <f>'6.PEF4. AMORTIZACIÓN'!$I$33/12</f>
        <v>176.72333333333336</v>
      </c>
      <c r="AY25" s="26">
        <f>'6.PEF4. AMORTIZACIÓN'!$I$33/12</f>
        <v>176.72333333333336</v>
      </c>
      <c r="AZ25" s="26">
        <f>'6.PEF4. AMORTIZACIÓN'!$I$33/12</f>
        <v>176.72333333333336</v>
      </c>
      <c r="BA25" s="26">
        <f>'6.PEF4. AMORTIZACIÓN'!$I$33/12</f>
        <v>176.72333333333336</v>
      </c>
      <c r="BB25" s="26">
        <f>'6.PEF4. AMORTIZACIÓN'!$I$33/12</f>
        <v>176.72333333333336</v>
      </c>
      <c r="BC25" s="3"/>
      <c r="BD25" s="252" t="s">
        <v>299</v>
      </c>
      <c r="BE25" s="253"/>
      <c r="BF25" s="24">
        <f>SUM(D25:I25)+SUM(M25:R25)</f>
        <v>2120.6800000000003</v>
      </c>
      <c r="BG25" s="24">
        <f t="shared" si="15"/>
        <v>2120.6800000000003</v>
      </c>
      <c r="BH25" s="24">
        <f t="shared" si="16"/>
        <v>2120.6800000000003</v>
      </c>
      <c r="BI25" s="2"/>
      <c r="BJ25" s="2"/>
      <c r="BK25" s="2"/>
    </row>
    <row r="26" spans="2:63" s="5" customFormat="1" ht="12.75" customHeight="1">
      <c r="B26" s="252" t="s">
        <v>346</v>
      </c>
      <c r="C26" s="253"/>
      <c r="D26" s="26">
        <f t="shared" ref="D26:I26" si="17">D13-D14-D23-D24-D25</f>
        <v>15060.859999999999</v>
      </c>
      <c r="E26" s="26">
        <f t="shared" si="17"/>
        <v>5060.8599999999979</v>
      </c>
      <c r="F26" s="26">
        <f t="shared" si="17"/>
        <v>2010.8599999999992</v>
      </c>
      <c r="G26" s="26">
        <f t="shared" si="17"/>
        <v>10.859999999998905</v>
      </c>
      <c r="H26" s="26">
        <f t="shared" si="17"/>
        <v>10.859999999998905</v>
      </c>
      <c r="I26" s="26">
        <f t="shared" si="17"/>
        <v>-1989.140000000001</v>
      </c>
      <c r="J26" s="3"/>
      <c r="K26" s="252" t="s">
        <v>346</v>
      </c>
      <c r="L26" s="253"/>
      <c r="M26" s="26">
        <f t="shared" ref="M26:R26" si="18">M13-M14-M23-M24-M25</f>
        <v>-3989.1400000000012</v>
      </c>
      <c r="N26" s="26">
        <f t="shared" si="18"/>
        <v>-3989.1400000000012</v>
      </c>
      <c r="O26" s="26">
        <f t="shared" si="18"/>
        <v>5010.8599999999979</v>
      </c>
      <c r="P26" s="26">
        <f t="shared" si="18"/>
        <v>-2489.1400000000012</v>
      </c>
      <c r="Q26" s="26">
        <f t="shared" si="18"/>
        <v>-4989.1400000000003</v>
      </c>
      <c r="R26" s="26">
        <f t="shared" si="18"/>
        <v>-3489.1400000000012</v>
      </c>
      <c r="T26" s="252" t="s">
        <v>346</v>
      </c>
      <c r="U26" s="253"/>
      <c r="V26" s="26">
        <f t="shared" ref="V26:AA26" si="19">V13-V14-V23-V24-V25</f>
        <v>18322.730833333328</v>
      </c>
      <c r="W26" s="26">
        <f t="shared" si="19"/>
        <v>6822.7308333333322</v>
      </c>
      <c r="X26" s="26">
        <f t="shared" si="19"/>
        <v>3320.2308333333303</v>
      </c>
      <c r="Y26" s="26">
        <f t="shared" si="19"/>
        <v>1020.2308333333326</v>
      </c>
      <c r="Z26" s="26">
        <f t="shared" si="19"/>
        <v>1020.2308333333326</v>
      </c>
      <c r="AA26" s="26">
        <f t="shared" si="19"/>
        <v>-1279.7691666666674</v>
      </c>
      <c r="AB26" s="3"/>
      <c r="AC26" s="252" t="s">
        <v>346</v>
      </c>
      <c r="AD26" s="253"/>
      <c r="AE26" s="26">
        <f t="shared" ref="AE26:AJ26" si="20">AE13-AE14-AE23-AE24-AE25</f>
        <v>-3579.7691666666683</v>
      </c>
      <c r="AF26" s="26">
        <f t="shared" si="20"/>
        <v>-3579.7691666666683</v>
      </c>
      <c r="AG26" s="26">
        <f t="shared" si="20"/>
        <v>6770.2308333333322</v>
      </c>
      <c r="AH26" s="26">
        <f t="shared" si="20"/>
        <v>-1854.7691666666674</v>
      </c>
      <c r="AI26" s="26">
        <f t="shared" si="20"/>
        <v>-4729.7691666666678</v>
      </c>
      <c r="AJ26" s="26">
        <f t="shared" si="20"/>
        <v>-3004.7691666666683</v>
      </c>
      <c r="AL26" s="252" t="s">
        <v>346</v>
      </c>
      <c r="AM26" s="253"/>
      <c r="AN26" s="26">
        <f t="shared" ref="AN26:AS26" si="21">AN13-AN14-AN23-AN24-AN25</f>
        <v>22122.69395833333</v>
      </c>
      <c r="AO26" s="26">
        <f t="shared" si="21"/>
        <v>8897.6939583333333</v>
      </c>
      <c r="AP26" s="26">
        <f t="shared" si="21"/>
        <v>4875.0689583333296</v>
      </c>
      <c r="AQ26" s="26">
        <f t="shared" si="21"/>
        <v>2230.068958333331</v>
      </c>
      <c r="AR26" s="26">
        <f t="shared" si="21"/>
        <v>2230.068958333331</v>
      </c>
      <c r="AS26" s="26">
        <f t="shared" si="21"/>
        <v>-414.93104166666745</v>
      </c>
      <c r="AT26" s="3"/>
      <c r="AU26" s="252" t="s">
        <v>346</v>
      </c>
      <c r="AV26" s="253"/>
      <c r="AW26" s="26">
        <f t="shared" ref="AW26:BB26" si="22">AW13-AW14-AW23-AW24-AW25</f>
        <v>-3059.9310416666694</v>
      </c>
      <c r="AX26" s="26">
        <f t="shared" si="22"/>
        <v>-3059.9310416666694</v>
      </c>
      <c r="AY26" s="26">
        <f t="shared" si="22"/>
        <v>8842.5689583333333</v>
      </c>
      <c r="AZ26" s="26">
        <f t="shared" si="22"/>
        <v>-1076.1810416666676</v>
      </c>
      <c r="BA26" s="26">
        <f t="shared" si="22"/>
        <v>-4382.4310416666685</v>
      </c>
      <c r="BB26" s="26">
        <f t="shared" si="22"/>
        <v>-2398.6810416666694</v>
      </c>
      <c r="BC26" s="3"/>
      <c r="BD26" s="231" t="s">
        <v>346</v>
      </c>
      <c r="BE26" s="231"/>
      <c r="BF26" s="135">
        <f>BF13-BF14-BF23-BF24-BF25</f>
        <v>6230.32</v>
      </c>
      <c r="BG26" s="135">
        <f t="shared" si="15"/>
        <v>19247.769999999975</v>
      </c>
      <c r="BH26" s="135">
        <f t="shared" si="16"/>
        <v>34806.07749999997</v>
      </c>
      <c r="BI26" s="2"/>
      <c r="BJ26" s="2"/>
      <c r="BK26" s="2"/>
    </row>
    <row r="27" spans="2:63" s="5" customFormat="1" ht="12.75" customHeight="1">
      <c r="B27" s="254" t="s">
        <v>347</v>
      </c>
      <c r="C27" s="255"/>
      <c r="D27" s="26">
        <f>'AMORTIZ. PTMO.'!C12+'6.PEF4. AMORTIZACIÓN'!$G$16/12</f>
        <v>150</v>
      </c>
      <c r="E27" s="26">
        <f>'AMORTIZ. PTMO.'!C13+'6.PEF4. AMORTIZACIÓN'!$G$16/12</f>
        <v>148.60377944610781</v>
      </c>
      <c r="F27" s="26">
        <f>'AMORTIZ. PTMO.'!C14+'6.PEF4. AMORTIZACIÓN'!$G$16/12</f>
        <v>147.20232306513853</v>
      </c>
      <c r="G27" s="26">
        <f>'AMORTIZ. PTMO.'!C15+'6.PEF4. AMORTIZACIÓN'!$G$16/12</f>
        <v>145.7956112227406</v>
      </c>
      <c r="H27" s="26">
        <f>'AMORTIZ. PTMO.'!C16+'6.PEF4. AMORTIZACIÓN'!$G$16/12</f>
        <v>144.3836242109337</v>
      </c>
      <c r="I27" s="26">
        <f>'AMORTIZ. PTMO.'!C17+'6.PEF4. AMORTIZACIÓN'!$G$16/12</f>
        <v>142.96634224783253</v>
      </c>
      <c r="J27" s="3"/>
      <c r="K27" s="254" t="s">
        <v>347</v>
      </c>
      <c r="L27" s="255"/>
      <c r="M27" s="26">
        <f>'AMORTIZ. PTMO.'!C18+'6.PEF4. AMORTIZACIÓN'!$G$16/12</f>
        <v>141.54374547736973</v>
      </c>
      <c r="N27" s="26">
        <f>'AMORTIZ. PTMO.'!C19+'6.PEF4. AMORTIZACIÓN'!$G$16/12</f>
        <v>140.11581396901767</v>
      </c>
      <c r="O27" s="26">
        <f>'AMORTIZ. PTMO.'!C20+'6.PEF4. AMORTIZACIÓN'!$G$16/12</f>
        <v>138.68252771750929</v>
      </c>
      <c r="P27" s="26">
        <f>'AMORTIZ. PTMO.'!C21+'6.PEF4. AMORTIZACIÓN'!$G$16/12</f>
        <v>137.24386664255775</v>
      </c>
      <c r="Q27" s="26">
        <f>'AMORTIZ. PTMO.'!C22+'6.PEF4. AMORTIZACIÓN'!$G$16/12</f>
        <v>135.79981058857516</v>
      </c>
      <c r="R27" s="26">
        <f>'AMORTIZ. PTMO.'!C23+'6.PEF4. AMORTIZACIÓN'!$G$16/12</f>
        <v>134.35033932439012</v>
      </c>
      <c r="T27" s="254" t="s">
        <v>347</v>
      </c>
      <c r="U27" s="255"/>
      <c r="V27" s="26">
        <f>'AMORTIZ. PTMO.'!C24</f>
        <v>76.645432542964429</v>
      </c>
      <c r="W27" s="26">
        <f>'AMORTIZ. PTMO.'!C25</f>
        <v>75.185069861108346</v>
      </c>
      <c r="X27" s="26">
        <f>'AMORTIZ. PTMO.'!C26</f>
        <v>73.719230819195317</v>
      </c>
      <c r="Y27" s="26">
        <f>'AMORTIZ. PTMO.'!C27</f>
        <v>72.247894880875123</v>
      </c>
      <c r="Z27" s="26">
        <f>'AMORTIZ. PTMO.'!C28</f>
        <v>70.77104143278622</v>
      </c>
      <c r="AA27" s="26">
        <f>'AMORTIZ. PTMO.'!C29</f>
        <v>69.28864978426698</v>
      </c>
      <c r="AB27" s="3"/>
      <c r="AC27" s="254" t="s">
        <v>347</v>
      </c>
      <c r="AD27" s="255"/>
      <c r="AE27" s="26">
        <f>'AMORTIZ. PTMO.'!C30</f>
        <v>67.800699167065787</v>
      </c>
      <c r="AF27" s="26">
        <f>'AMORTIZ. PTMO.'!C31</f>
        <v>66.307168735050098</v>
      </c>
      <c r="AG27" s="26">
        <f>'AMORTIZ. PTMO.'!C32</f>
        <v>64.808037563914354</v>
      </c>
      <c r="AH27" s="26">
        <f>'AMORTIZ. PTMO.'!C33</f>
        <v>63.303284650886845</v>
      </c>
      <c r="AI27" s="26">
        <f>'AMORTIZ. PTMO.'!C34</f>
        <v>61.792888914435487</v>
      </c>
      <c r="AJ27" s="26">
        <f>'AMORTIZ. PTMO.'!C35</f>
        <v>60.276829193972439</v>
      </c>
      <c r="AL27" s="254" t="s">
        <v>347</v>
      </c>
      <c r="AM27" s="255"/>
      <c r="AN27" s="26">
        <f>'AMORTIZ. PTMO.'!C36</f>
        <v>58.755084249557648</v>
      </c>
      <c r="AO27" s="26">
        <f>'AMORTIZ. PTMO.'!C37</f>
        <v>57.227632761601299</v>
      </c>
      <c r="AP27" s="26">
        <f>'AMORTIZ. PTMO.'!C38</f>
        <v>55.694453330565118</v>
      </c>
      <c r="AQ27" s="26">
        <f>'AMORTIZ. PTMO.'!C39</f>
        <v>54.155524476662549</v>
      </c>
      <c r="AR27" s="26">
        <f>'AMORTIZ. PTMO.'!C40</f>
        <v>52.610824639557848</v>
      </c>
      <c r="AS27" s="26">
        <f>'AMORTIZ. PTMO.'!C41</f>
        <v>51.060332178064002</v>
      </c>
      <c r="AT27" s="3"/>
      <c r="AU27" s="254" t="s">
        <v>347</v>
      </c>
      <c r="AV27" s="255"/>
      <c r="AW27" s="26">
        <f>'AMORTIZ. PTMO.'!C42</f>
        <v>49.504025369839553</v>
      </c>
      <c r="AX27" s="26">
        <f>'AMORTIZ. PTMO.'!C43</f>
        <v>47.941882411084272</v>
      </c>
      <c r="AY27" s="26">
        <f>'AMORTIZ. PTMO.'!C44</f>
        <v>46.373881416233644</v>
      </c>
      <c r="AZ27" s="26">
        <f>'AMORTIZ. PTMO.'!C45</f>
        <v>44.800000417652335</v>
      </c>
      <c r="BA27" s="26">
        <f>'AMORTIZ. PTMO.'!C46</f>
        <v>43.220217365326356</v>
      </c>
      <c r="BB27" s="26">
        <f>'AMORTIZ. PTMO.'!C47</f>
        <v>41.63451012655414</v>
      </c>
      <c r="BC27" s="3"/>
      <c r="BD27" s="254" t="s">
        <v>347</v>
      </c>
      <c r="BE27" s="255"/>
      <c r="BF27" s="26">
        <f>SUM(D27:I27)+SUM(M27:R27)</f>
        <v>1706.687783912173</v>
      </c>
      <c r="BG27" s="26">
        <f t="shared" si="15"/>
        <v>822.14622754652146</v>
      </c>
      <c r="BH27" s="26">
        <f t="shared" si="16"/>
        <v>602.97836874269888</v>
      </c>
      <c r="BI27" s="2"/>
      <c r="BJ27" s="2"/>
      <c r="BK27" s="2"/>
    </row>
    <row r="28" spans="2:63" s="5" customFormat="1" ht="12.75" customHeight="1">
      <c r="B28" s="252" t="s">
        <v>348</v>
      </c>
      <c r="C28" s="253"/>
      <c r="D28" s="26">
        <f t="shared" ref="D28:I28" si="23">D26-D27</f>
        <v>14910.859999999999</v>
      </c>
      <c r="E28" s="26">
        <f t="shared" si="23"/>
        <v>4912.2562205538898</v>
      </c>
      <c r="F28" s="26">
        <f t="shared" si="23"/>
        <v>1863.6576769348608</v>
      </c>
      <c r="G28" s="26">
        <f t="shared" si="23"/>
        <v>-134.9356112227417</v>
      </c>
      <c r="H28" s="26">
        <f t="shared" si="23"/>
        <v>-133.5236242109348</v>
      </c>
      <c r="I28" s="26">
        <f t="shared" si="23"/>
        <v>-2132.1063422478337</v>
      </c>
      <c r="J28" s="3"/>
      <c r="K28" s="252" t="s">
        <v>348</v>
      </c>
      <c r="L28" s="253"/>
      <c r="M28" s="26">
        <f t="shared" ref="M28:R28" si="24">M26-M27</f>
        <v>-4130.6837454773713</v>
      </c>
      <c r="N28" s="26">
        <f t="shared" si="24"/>
        <v>-4129.2558139690191</v>
      </c>
      <c r="O28" s="26">
        <f t="shared" si="24"/>
        <v>4872.1774722824885</v>
      </c>
      <c r="P28" s="26">
        <f t="shared" si="24"/>
        <v>-2626.383866642559</v>
      </c>
      <c r="Q28" s="26">
        <f t="shared" si="24"/>
        <v>-5124.9398105885757</v>
      </c>
      <c r="R28" s="26">
        <f t="shared" si="24"/>
        <v>-3623.4903393243912</v>
      </c>
      <c r="T28" s="252" t="s">
        <v>348</v>
      </c>
      <c r="U28" s="253"/>
      <c r="V28" s="26">
        <f t="shared" ref="V28:AA28" si="25">V26-V27</f>
        <v>18246.085400790362</v>
      </c>
      <c r="W28" s="26">
        <f t="shared" si="25"/>
        <v>6747.5457634722234</v>
      </c>
      <c r="X28" s="26">
        <f t="shared" si="25"/>
        <v>3246.5116025141351</v>
      </c>
      <c r="Y28" s="26">
        <f t="shared" si="25"/>
        <v>947.98293845245746</v>
      </c>
      <c r="Z28" s="26">
        <f t="shared" si="25"/>
        <v>949.45979190054641</v>
      </c>
      <c r="AA28" s="26">
        <f t="shared" si="25"/>
        <v>-1349.0578164509343</v>
      </c>
      <c r="AB28" s="3"/>
      <c r="AC28" s="252" t="s">
        <v>348</v>
      </c>
      <c r="AD28" s="253"/>
      <c r="AE28" s="26">
        <f t="shared" ref="AE28:AJ28" si="26">AE26-AE27</f>
        <v>-3647.5698658337342</v>
      </c>
      <c r="AF28" s="26">
        <f t="shared" si="26"/>
        <v>-3646.0763354017186</v>
      </c>
      <c r="AG28" s="26">
        <f t="shared" si="26"/>
        <v>6705.4227957694175</v>
      </c>
      <c r="AH28" s="26">
        <f t="shared" si="26"/>
        <v>-1918.0724513175542</v>
      </c>
      <c r="AI28" s="26">
        <f t="shared" si="26"/>
        <v>-4791.5620555811038</v>
      </c>
      <c r="AJ28" s="26">
        <f t="shared" si="26"/>
        <v>-3065.0459958606407</v>
      </c>
      <c r="AL28" s="252" t="s">
        <v>348</v>
      </c>
      <c r="AM28" s="253"/>
      <c r="AN28" s="26">
        <f t="shared" ref="AN28:AS28" si="27">AN26-AN27</f>
        <v>22063.938874083771</v>
      </c>
      <c r="AO28" s="26">
        <f t="shared" si="27"/>
        <v>8840.4663255717314</v>
      </c>
      <c r="AP28" s="26">
        <f t="shared" si="27"/>
        <v>4819.3745050027646</v>
      </c>
      <c r="AQ28" s="26">
        <f t="shared" si="27"/>
        <v>2175.9134338566682</v>
      </c>
      <c r="AR28" s="26">
        <f t="shared" si="27"/>
        <v>2177.4581336937731</v>
      </c>
      <c r="AS28" s="26">
        <f t="shared" si="27"/>
        <v>-465.99137384473147</v>
      </c>
      <c r="AT28" s="3"/>
      <c r="AU28" s="252" t="s">
        <v>348</v>
      </c>
      <c r="AV28" s="253"/>
      <c r="AW28" s="26">
        <f t="shared" ref="AW28:BB28" si="28">AW26-AW27</f>
        <v>-3109.4350670365088</v>
      </c>
      <c r="AX28" s="26">
        <f t="shared" si="28"/>
        <v>-3107.8729240777539</v>
      </c>
      <c r="AY28" s="26">
        <f t="shared" si="28"/>
        <v>8796.1950769170999</v>
      </c>
      <c r="AZ28" s="26">
        <f t="shared" si="28"/>
        <v>-1120.9810420843201</v>
      </c>
      <c r="BA28" s="26">
        <f t="shared" si="28"/>
        <v>-4425.6512590319953</v>
      </c>
      <c r="BB28" s="26">
        <f t="shared" si="28"/>
        <v>-2440.3155517932237</v>
      </c>
      <c r="BC28" s="3"/>
      <c r="BD28" s="231" t="s">
        <v>348</v>
      </c>
      <c r="BE28" s="231"/>
      <c r="BF28" s="135">
        <f>SUM(D28:I28)+SUM(M28:R28)</f>
        <v>4523.6322160878117</v>
      </c>
      <c r="BG28" s="135">
        <f t="shared" si="15"/>
        <v>18425.623772453451</v>
      </c>
      <c r="BH28" s="135">
        <f t="shared" si="16"/>
        <v>34203.099131257273</v>
      </c>
      <c r="BI28" s="2"/>
      <c r="BJ28" s="2"/>
      <c r="BK28" s="2"/>
    </row>
    <row r="29" spans="2:63" s="5" customFormat="1" ht="12.75" customHeight="1">
      <c r="B29" s="250" t="s">
        <v>349</v>
      </c>
      <c r="C29" s="251"/>
      <c r="D29" s="26">
        <f>D28*'6. PEF5. VENTAS Y COSTES'!$F$44</f>
        <v>2236.6289999999999</v>
      </c>
      <c r="E29" s="26">
        <f>E28*'6. PEF5. VENTAS Y COSTES'!$F$44</f>
        <v>736.83843308308349</v>
      </c>
      <c r="F29" s="26">
        <f>F28*'6. PEF5. VENTAS Y COSTES'!$F$44</f>
        <v>279.54865154022912</v>
      </c>
      <c r="G29" s="26">
        <f>G28*'6. PEF5. VENTAS Y COSTES'!$F$44</f>
        <v>-20.240341683411256</v>
      </c>
      <c r="H29" s="26">
        <f>H28*'6. PEF5. VENTAS Y COSTES'!$F$44</f>
        <v>-20.028543631640218</v>
      </c>
      <c r="I29" s="26">
        <f>I28*'6. PEF5. VENTAS Y COSTES'!$F$44</f>
        <v>-319.81595133717502</v>
      </c>
      <c r="J29" s="3"/>
      <c r="K29" s="250" t="s">
        <v>349</v>
      </c>
      <c r="L29" s="251"/>
      <c r="M29" s="26">
        <f>M28*'6. PEF5. VENTAS Y COSTES'!$F$44</f>
        <v>-619.60256182160572</v>
      </c>
      <c r="N29" s="26">
        <f>N28*'6. PEF5. VENTAS Y COSTES'!$F$44</f>
        <v>-619.38837209535279</v>
      </c>
      <c r="O29" s="26">
        <f>O28*'6. PEF5. VENTAS Y COSTES'!$F$44</f>
        <v>730.82662084237325</v>
      </c>
      <c r="P29" s="26">
        <f>P28*'6. PEF5. VENTAS Y COSTES'!$F$44</f>
        <v>-393.95757999638386</v>
      </c>
      <c r="Q29" s="26">
        <f>Q28*'6. PEF5. VENTAS Y COSTES'!$F$44</f>
        <v>-768.74097158828636</v>
      </c>
      <c r="R29" s="26">
        <f>R28*'6. PEF5. VENTAS Y COSTES'!$F$44</f>
        <v>-543.52355089865864</v>
      </c>
      <c r="T29" s="250" t="s">
        <v>349</v>
      </c>
      <c r="U29" s="251"/>
      <c r="V29" s="26">
        <f>V28*'6. PEF5. VENTAS Y COSTES'!$F$44</f>
        <v>2736.9128101185543</v>
      </c>
      <c r="W29" s="26">
        <f>W28*'6. PEF5. VENTAS Y COSTES'!$F$44</f>
        <v>1012.1318645208335</v>
      </c>
      <c r="X29" s="26">
        <f>X28*'6. PEF5. VENTAS Y COSTES'!$F$44</f>
        <v>486.97674037712022</v>
      </c>
      <c r="Y29" s="26">
        <f>Y28*'6. PEF5. VENTAS Y COSTES'!$F$44</f>
        <v>142.19744076786861</v>
      </c>
      <c r="Z29" s="26">
        <f>Z28*'6. PEF5. VENTAS Y COSTES'!$F$44</f>
        <v>142.41896878508194</v>
      </c>
      <c r="AA29" s="26">
        <f>AA28*'6. PEF5. VENTAS Y COSTES'!$F$44</f>
        <v>-202.35867246764013</v>
      </c>
      <c r="AB29" s="3"/>
      <c r="AC29" s="250" t="s">
        <v>349</v>
      </c>
      <c r="AD29" s="251"/>
      <c r="AE29" s="26">
        <f>AE28*'6. PEF5. VENTAS Y COSTES'!$F$44</f>
        <v>-547.13547987506013</v>
      </c>
      <c r="AF29" s="26">
        <f>AF28*'6. PEF5. VENTAS Y COSTES'!$F$44</f>
        <v>-546.91145031025781</v>
      </c>
      <c r="AG29" s="26">
        <f>AG28*'6. PEF5. VENTAS Y COSTES'!$F$44</f>
        <v>1005.8134193654125</v>
      </c>
      <c r="AH29" s="26">
        <f>AH28*'6. PEF5. VENTAS Y COSTES'!$F$44</f>
        <v>-287.71086769763309</v>
      </c>
      <c r="AI29" s="26">
        <f>AI28*'6. PEF5. VENTAS Y COSTES'!$F$44</f>
        <v>-718.73430833716554</v>
      </c>
      <c r="AJ29" s="26">
        <f>AJ28*'6. PEF5. VENTAS Y COSTES'!$F$44</f>
        <v>-459.75689937909607</v>
      </c>
      <c r="AL29" s="250" t="s">
        <v>349</v>
      </c>
      <c r="AM29" s="251"/>
      <c r="AN29" s="26">
        <f>AN28*'6. PEF5. VENTAS Y COSTES'!$F$44</f>
        <v>3309.5908311125654</v>
      </c>
      <c r="AO29" s="26">
        <f>AO28*'6. PEF5. VENTAS Y COSTES'!$F$44</f>
        <v>1326.0699488357598</v>
      </c>
      <c r="AP29" s="26">
        <f>AP28*'6. PEF5. VENTAS Y COSTES'!$F$44</f>
        <v>722.90617575041472</v>
      </c>
      <c r="AQ29" s="26">
        <f>AQ28*'6. PEF5. VENTAS Y COSTES'!$F$44</f>
        <v>326.38701507850021</v>
      </c>
      <c r="AR29" s="26">
        <f>AR28*'6. PEF5. VENTAS Y COSTES'!$F$44</f>
        <v>326.61872005406593</v>
      </c>
      <c r="AS29" s="26">
        <f>AS28*'6. PEF5. VENTAS Y COSTES'!$F$44</f>
        <v>-69.898706076709715</v>
      </c>
      <c r="AT29" s="3"/>
      <c r="AU29" s="250" t="s">
        <v>349</v>
      </c>
      <c r="AV29" s="251"/>
      <c r="AW29" s="26">
        <f>AW28*'6. PEF5. VENTAS Y COSTES'!$F$44</f>
        <v>-466.41526005547632</v>
      </c>
      <c r="AX29" s="26">
        <f>AX28*'6. PEF5. VENTAS Y COSTES'!$F$44</f>
        <v>-466.18093861166307</v>
      </c>
      <c r="AY29" s="26">
        <f>AY28*'6. PEF5. VENTAS Y COSTES'!$F$44</f>
        <v>1319.429261537565</v>
      </c>
      <c r="AZ29" s="26">
        <f>AZ28*'6. PEF5. VENTAS Y COSTES'!$F$44</f>
        <v>-168.14715631264801</v>
      </c>
      <c r="BA29" s="26">
        <f>BA28*'6. PEF5. VENTAS Y COSTES'!$F$44</f>
        <v>-663.84768885479923</v>
      </c>
      <c r="BB29" s="26">
        <f>BB28*'6. PEF5. VENTAS Y COSTES'!$F$44</f>
        <v>-366.04733276898355</v>
      </c>
      <c r="BC29" s="3"/>
      <c r="BD29" s="250" t="s">
        <v>349</v>
      </c>
      <c r="BE29" s="251"/>
      <c r="BF29" s="26">
        <f>SUM(D29:I29)+SUM(M29:R29)</f>
        <v>678.54483241317166</v>
      </c>
      <c r="BG29" s="26">
        <f t="shared" si="15"/>
        <v>2763.8435658680201</v>
      </c>
      <c r="BH29" s="26">
        <f t="shared" si="16"/>
        <v>5130.4648696885924</v>
      </c>
      <c r="BI29" s="2"/>
      <c r="BJ29" s="2"/>
      <c r="BK29" s="2"/>
    </row>
    <row r="30" spans="2:63" s="5" customFormat="1" ht="12.75" customHeight="1">
      <c r="B30" s="252" t="s">
        <v>350</v>
      </c>
      <c r="C30" s="253"/>
      <c r="D30" s="26">
        <f t="shared" ref="D30:I30" si="29">D28-D29</f>
        <v>12674.231</v>
      </c>
      <c r="E30" s="26">
        <f t="shared" si="29"/>
        <v>4175.4177874708066</v>
      </c>
      <c r="F30" s="26">
        <f t="shared" si="29"/>
        <v>1584.1090253946318</v>
      </c>
      <c r="G30" s="26">
        <f t="shared" si="29"/>
        <v>-114.69526953933044</v>
      </c>
      <c r="H30" s="26">
        <f t="shared" si="29"/>
        <v>-113.49508057929458</v>
      </c>
      <c r="I30" s="26">
        <f t="shared" si="29"/>
        <v>-1812.2903909106587</v>
      </c>
      <c r="J30" s="3"/>
      <c r="K30" s="252" t="s">
        <v>350</v>
      </c>
      <c r="L30" s="253"/>
      <c r="M30" s="26">
        <f t="shared" ref="M30:R30" si="30">M28-M29</f>
        <v>-3511.0811836557655</v>
      </c>
      <c r="N30" s="26">
        <f t="shared" si="30"/>
        <v>-3509.8674418736664</v>
      </c>
      <c r="O30" s="26">
        <f t="shared" si="30"/>
        <v>4141.3508514401155</v>
      </c>
      <c r="P30" s="26">
        <f t="shared" si="30"/>
        <v>-2232.426286646175</v>
      </c>
      <c r="Q30" s="26">
        <f t="shared" si="30"/>
        <v>-4356.1988390002898</v>
      </c>
      <c r="R30" s="26">
        <f t="shared" si="30"/>
        <v>-3079.9667884257324</v>
      </c>
      <c r="T30" s="252" t="s">
        <v>350</v>
      </c>
      <c r="U30" s="253"/>
      <c r="V30" s="26">
        <f t="shared" ref="V30:AA30" si="31">V28-V29</f>
        <v>15509.172590671807</v>
      </c>
      <c r="W30" s="26">
        <f t="shared" si="31"/>
        <v>5735.4138989513904</v>
      </c>
      <c r="X30" s="26">
        <f t="shared" si="31"/>
        <v>2759.5348621370149</v>
      </c>
      <c r="Y30" s="26">
        <f t="shared" si="31"/>
        <v>805.78549768458879</v>
      </c>
      <c r="Z30" s="26">
        <f t="shared" si="31"/>
        <v>807.04082311546449</v>
      </c>
      <c r="AA30" s="26">
        <f t="shared" si="31"/>
        <v>-1146.6991439832941</v>
      </c>
      <c r="AB30" s="3"/>
      <c r="AC30" s="252" t="s">
        <v>350</v>
      </c>
      <c r="AD30" s="253"/>
      <c r="AE30" s="26">
        <f t="shared" ref="AE30:AJ30" si="32">AE28-AE29</f>
        <v>-3100.4343859586743</v>
      </c>
      <c r="AF30" s="26">
        <f t="shared" si="32"/>
        <v>-3099.1648850914607</v>
      </c>
      <c r="AG30" s="26">
        <f t="shared" si="32"/>
        <v>5699.6093764040052</v>
      </c>
      <c r="AH30" s="26">
        <f t="shared" si="32"/>
        <v>-1630.361583619921</v>
      </c>
      <c r="AI30" s="26">
        <f t="shared" si="32"/>
        <v>-4072.8277472439381</v>
      </c>
      <c r="AJ30" s="26">
        <f t="shared" si="32"/>
        <v>-2605.2890964815447</v>
      </c>
      <c r="AL30" s="252" t="s">
        <v>350</v>
      </c>
      <c r="AM30" s="253"/>
      <c r="AN30" s="26">
        <f t="shared" ref="AN30:AS30" si="33">AN28-AN29</f>
        <v>18754.348042971207</v>
      </c>
      <c r="AO30" s="26">
        <f t="shared" si="33"/>
        <v>7514.3963767359719</v>
      </c>
      <c r="AP30" s="26">
        <f t="shared" si="33"/>
        <v>4096.4683292523496</v>
      </c>
      <c r="AQ30" s="26">
        <f t="shared" si="33"/>
        <v>1849.5264187781681</v>
      </c>
      <c r="AR30" s="26">
        <f t="shared" si="33"/>
        <v>1850.8394136397071</v>
      </c>
      <c r="AS30" s="26">
        <f t="shared" si="33"/>
        <v>-396.09266776802178</v>
      </c>
      <c r="AT30" s="3"/>
      <c r="AU30" s="252" t="s">
        <v>350</v>
      </c>
      <c r="AV30" s="253"/>
      <c r="AW30" s="26">
        <f t="shared" ref="AW30:BB30" si="34">AW28-AW29</f>
        <v>-2643.0198069810326</v>
      </c>
      <c r="AX30" s="26">
        <f t="shared" si="34"/>
        <v>-2641.691985466091</v>
      </c>
      <c r="AY30" s="26">
        <f t="shared" si="34"/>
        <v>7476.7658153795346</v>
      </c>
      <c r="AZ30" s="26">
        <f t="shared" si="34"/>
        <v>-952.83388577167204</v>
      </c>
      <c r="BA30" s="26">
        <f t="shared" si="34"/>
        <v>-3761.803570177196</v>
      </c>
      <c r="BB30" s="26">
        <f t="shared" si="34"/>
        <v>-2074.2682190242404</v>
      </c>
      <c r="BC30" s="3"/>
      <c r="BD30" s="231" t="s">
        <v>350</v>
      </c>
      <c r="BE30" s="231"/>
      <c r="BF30" s="135">
        <f>SUM(D30:I30)+SUM(M30:R30)</f>
        <v>3845.0873836746432</v>
      </c>
      <c r="BG30" s="135">
        <f t="shared" si="15"/>
        <v>15661.780206585439</v>
      </c>
      <c r="BH30" s="135">
        <f t="shared" si="16"/>
        <v>29072.634261568688</v>
      </c>
      <c r="BI30" s="2"/>
      <c r="BJ30" s="2"/>
      <c r="BK30" s="2"/>
    </row>
    <row r="31" spans="2:63" s="5" customFormat="1" ht="12.75" customHeight="1">
      <c r="K31" s="48"/>
      <c r="L31" s="48"/>
      <c r="M31" s="2"/>
      <c r="N31" s="2"/>
      <c r="O31" s="2"/>
      <c r="P31" s="2"/>
      <c r="Q31" s="2"/>
      <c r="R31" s="2"/>
      <c r="AC31" s="48"/>
      <c r="AD31" s="48"/>
      <c r="AE31" s="2"/>
      <c r="AF31" s="2"/>
      <c r="AG31" s="2"/>
      <c r="AH31" s="2"/>
      <c r="AI31" s="2"/>
      <c r="AJ31" s="2"/>
      <c r="AU31" s="48"/>
      <c r="AV31" s="48"/>
      <c r="AW31" s="2"/>
      <c r="AX31" s="2"/>
      <c r="AY31" s="2"/>
      <c r="AZ31" s="2"/>
      <c r="BA31" s="2"/>
      <c r="BB31" s="2"/>
      <c r="BD31" s="48"/>
      <c r="BE31" s="48"/>
      <c r="BF31" s="2"/>
      <c r="BG31" s="2"/>
      <c r="BH31" s="2"/>
      <c r="BI31" s="2"/>
      <c r="BJ31" s="2"/>
      <c r="BK31" s="2"/>
    </row>
    <row r="32" spans="2:63" s="5" customFormat="1" ht="12.75" customHeight="1">
      <c r="K32" s="48"/>
      <c r="L32" s="48"/>
      <c r="M32" s="2"/>
      <c r="N32" s="2"/>
      <c r="O32" s="2"/>
      <c r="P32" s="2"/>
      <c r="Q32" s="2"/>
      <c r="R32" s="2"/>
      <c r="AC32" s="48"/>
      <c r="AD32" s="48"/>
      <c r="AE32" s="2"/>
      <c r="AF32" s="2"/>
      <c r="AG32" s="2"/>
      <c r="AH32" s="2"/>
      <c r="AI32" s="2"/>
      <c r="AJ32" s="2"/>
      <c r="AU32" s="48"/>
      <c r="AV32" s="48"/>
      <c r="AW32" s="2"/>
      <c r="AX32" s="2"/>
      <c r="AY32" s="2"/>
      <c r="AZ32" s="2"/>
      <c r="BA32" s="2"/>
      <c r="BB32" s="2"/>
      <c r="BD32" s="48"/>
      <c r="BE32" s="48"/>
      <c r="BF32" s="2"/>
      <c r="BG32" s="2"/>
      <c r="BH32" s="2"/>
      <c r="BI32" s="2"/>
      <c r="BJ32" s="2"/>
      <c r="BK32" s="2"/>
    </row>
    <row r="33" spans="3:63" s="5" customFormat="1" ht="12.75" customHeight="1">
      <c r="K33" s="48"/>
      <c r="L33" s="48"/>
      <c r="M33" s="2"/>
      <c r="N33" s="2"/>
      <c r="O33" s="2"/>
      <c r="P33" s="2"/>
      <c r="Q33" s="2"/>
      <c r="R33" s="2"/>
      <c r="AC33" s="48"/>
      <c r="AD33" s="48"/>
      <c r="AE33" s="2"/>
      <c r="AF33" s="2"/>
      <c r="AG33" s="2"/>
      <c r="AH33" s="2"/>
      <c r="AI33" s="2"/>
      <c r="AJ33" s="2"/>
      <c r="AU33" s="48"/>
      <c r="AV33" s="48"/>
      <c r="AW33" s="2"/>
      <c r="AX33" s="2"/>
      <c r="AY33" s="2"/>
      <c r="AZ33" s="2"/>
      <c r="BA33" s="2"/>
      <c r="BB33" s="2"/>
      <c r="BD33" s="48"/>
      <c r="BE33" s="48"/>
      <c r="BF33" s="2"/>
      <c r="BG33" s="2"/>
      <c r="BH33" s="2"/>
      <c r="BI33" s="2"/>
      <c r="BJ33" s="2"/>
      <c r="BK33" s="2"/>
    </row>
    <row r="34" spans="3:63" ht="12.75" customHeight="1">
      <c r="K34" s="48"/>
      <c r="L34" s="48"/>
      <c r="M34" s="2"/>
      <c r="N34" s="2"/>
      <c r="O34" s="2"/>
      <c r="P34" s="2"/>
      <c r="Q34" s="2"/>
      <c r="R34" s="2"/>
      <c r="AC34" s="48"/>
      <c r="AD34" s="48"/>
      <c r="AE34" s="2"/>
      <c r="AF34" s="2"/>
      <c r="AG34" s="2"/>
      <c r="AH34" s="2"/>
      <c r="AI34" s="2"/>
      <c r="AJ34" s="2"/>
      <c r="AU34" s="48"/>
      <c r="AV34" s="48"/>
      <c r="AW34" s="2"/>
      <c r="AX34" s="2"/>
      <c r="AY34" s="2"/>
      <c r="AZ34" s="2"/>
      <c r="BA34" s="2"/>
      <c r="BB34" s="2"/>
      <c r="BD34" s="48"/>
      <c r="BE34" s="48"/>
      <c r="BF34" s="2"/>
      <c r="BG34" s="2"/>
      <c r="BH34" s="2"/>
      <c r="BI34" s="2"/>
      <c r="BJ34" s="2"/>
      <c r="BK34" s="2"/>
    </row>
    <row r="35" spans="3:63" ht="12.75" customHeight="1">
      <c r="K35" s="49"/>
      <c r="L35" s="49"/>
      <c r="M35" s="2"/>
      <c r="N35" s="2"/>
      <c r="O35" s="2"/>
      <c r="P35" s="2"/>
      <c r="Q35" s="2"/>
      <c r="R35" s="2"/>
      <c r="AC35" s="49"/>
      <c r="AD35" s="49"/>
      <c r="AE35" s="2"/>
      <c r="AF35" s="2"/>
      <c r="AG35" s="2"/>
      <c r="AH35" s="2"/>
      <c r="AI35" s="2"/>
      <c r="AJ35" s="2"/>
      <c r="AU35" s="49"/>
      <c r="AV35" s="49"/>
      <c r="AW35" s="2"/>
      <c r="AX35" s="2"/>
      <c r="AY35" s="2"/>
      <c r="AZ35" s="2"/>
      <c r="BA35" s="2"/>
      <c r="BB35" s="2"/>
      <c r="BD35" s="49"/>
      <c r="BE35" s="49"/>
      <c r="BF35" s="2"/>
      <c r="BG35" s="2"/>
      <c r="BH35" s="2"/>
      <c r="BI35" s="2"/>
      <c r="BJ35" s="2"/>
      <c r="BK35" s="2"/>
    </row>
    <row r="36" spans="3:63" ht="12.75" customHeight="1">
      <c r="K36" s="50"/>
      <c r="L36" s="50"/>
      <c r="M36" s="38"/>
      <c r="N36" s="38"/>
      <c r="O36" s="38"/>
      <c r="P36" s="38"/>
      <c r="Q36" s="38"/>
      <c r="R36" s="38"/>
      <c r="AC36" s="50"/>
      <c r="AD36" s="50"/>
      <c r="AE36" s="38"/>
      <c r="AF36" s="38"/>
      <c r="AG36" s="38"/>
      <c r="AH36" s="38"/>
      <c r="AI36" s="38"/>
      <c r="AJ36" s="38"/>
      <c r="AU36" s="50"/>
      <c r="AV36" s="50"/>
      <c r="AW36" s="38"/>
      <c r="AX36" s="38"/>
      <c r="AY36" s="38"/>
      <c r="AZ36" s="38"/>
      <c r="BA36" s="38"/>
      <c r="BB36" s="38"/>
      <c r="BD36" s="50"/>
      <c r="BE36" s="50"/>
      <c r="BF36" s="38"/>
      <c r="BG36" s="38"/>
      <c r="BH36" s="38"/>
      <c r="BI36" s="38"/>
      <c r="BJ36" s="38"/>
      <c r="BK36" s="38"/>
    </row>
    <row r="37" spans="3:63" ht="12.75" customHeight="1">
      <c r="M37" s="3"/>
      <c r="N37" s="3"/>
      <c r="O37" s="3"/>
      <c r="P37" s="3"/>
      <c r="Q37" s="3"/>
      <c r="R37" s="3"/>
      <c r="AE37" s="3"/>
      <c r="AF37" s="3"/>
      <c r="AG37" s="3"/>
      <c r="AH37" s="3"/>
      <c r="AI37" s="3"/>
      <c r="AJ37" s="3"/>
      <c r="AW37" s="3"/>
      <c r="AX37" s="3"/>
      <c r="AY37" s="3"/>
      <c r="AZ37" s="3"/>
      <c r="BA37" s="3"/>
      <c r="BB37" s="3"/>
      <c r="BF37" s="3"/>
      <c r="BG37" s="3"/>
      <c r="BH37" s="3"/>
      <c r="BI37" s="3"/>
      <c r="BJ37" s="3"/>
      <c r="BK37" s="3"/>
    </row>
    <row r="38" spans="3:63" ht="12.75" customHeight="1">
      <c r="P38" s="2"/>
      <c r="Q38" s="2"/>
      <c r="R38" s="42"/>
      <c r="AH38" s="2"/>
      <c r="AI38" s="2"/>
      <c r="AJ38" s="42"/>
      <c r="AZ38" s="2"/>
      <c r="BA38" s="2"/>
      <c r="BB38" s="42"/>
      <c r="BI38" s="2"/>
      <c r="BJ38" s="2"/>
      <c r="BK38" s="42"/>
    </row>
    <row r="39" spans="3:63" ht="12.75" customHeight="1">
      <c r="P39" s="2"/>
      <c r="Q39" s="2"/>
      <c r="R39" s="43"/>
      <c r="AH39" s="2"/>
      <c r="AI39" s="2"/>
      <c r="AJ39" s="43"/>
      <c r="AZ39" s="2"/>
      <c r="BA39" s="2"/>
      <c r="BB39" s="43"/>
      <c r="BI39" s="2"/>
      <c r="BJ39" s="2"/>
      <c r="BK39" s="43"/>
    </row>
    <row r="40" spans="3:63">
      <c r="P40" s="2"/>
      <c r="Q40" s="2"/>
      <c r="R40" s="43"/>
      <c r="AH40" s="2"/>
      <c r="AI40" s="2"/>
      <c r="AJ40" s="43"/>
      <c r="AZ40" s="2"/>
      <c r="BA40" s="2"/>
      <c r="BB40" s="43"/>
      <c r="BI40" s="2"/>
      <c r="BJ40" s="2"/>
      <c r="BK40" s="43"/>
    </row>
    <row r="41" spans="3:63">
      <c r="P41" s="2"/>
      <c r="Q41" s="3"/>
      <c r="R41" s="44"/>
      <c r="AH41" s="2"/>
      <c r="AI41" s="3"/>
      <c r="AJ41" s="44"/>
      <c r="AZ41" s="2"/>
      <c r="BA41" s="3"/>
      <c r="BB41" s="44"/>
      <c r="BI41" s="2"/>
      <c r="BJ41" s="3"/>
      <c r="BK41" s="44"/>
    </row>
    <row r="42" spans="3:63">
      <c r="L42" s="45"/>
      <c r="M42" s="45"/>
      <c r="N42" s="45"/>
      <c r="O42" s="38"/>
      <c r="P42" s="2"/>
      <c r="R42" s="8"/>
      <c r="AD42" s="45"/>
      <c r="AE42" s="45"/>
      <c r="AF42" s="45"/>
      <c r="AG42" s="38"/>
      <c r="AH42" s="2"/>
      <c r="AJ42" s="8"/>
      <c r="AV42" s="45"/>
      <c r="AW42" s="45"/>
      <c r="AX42" s="45"/>
      <c r="AY42" s="38"/>
      <c r="AZ42" s="2"/>
      <c r="BB42" s="8"/>
      <c r="BE42" s="45"/>
      <c r="BF42" s="45"/>
      <c r="BG42" s="45"/>
      <c r="BH42" s="38"/>
      <c r="BI42" s="2"/>
      <c r="BK42" s="8"/>
    </row>
    <row r="43" spans="3:63">
      <c r="D43" s="32"/>
      <c r="E43" s="32"/>
      <c r="F43" s="32"/>
      <c r="G43" s="32"/>
      <c r="H43" s="32"/>
      <c r="I43" s="32"/>
      <c r="L43" s="45"/>
      <c r="M43" s="45"/>
      <c r="N43" s="45"/>
      <c r="O43" s="38"/>
      <c r="P43" s="2"/>
      <c r="R43" s="8"/>
      <c r="V43" s="32"/>
      <c r="W43" s="32"/>
      <c r="X43" s="32"/>
      <c r="Y43" s="32"/>
      <c r="Z43" s="32"/>
      <c r="AA43" s="32"/>
      <c r="AD43" s="45"/>
      <c r="AE43" s="45"/>
      <c r="AF43" s="45"/>
      <c r="AG43" s="38"/>
      <c r="AH43" s="2"/>
      <c r="AJ43" s="8"/>
      <c r="AN43" s="32"/>
      <c r="AO43" s="32"/>
      <c r="AP43" s="32"/>
      <c r="AQ43" s="32"/>
      <c r="AR43" s="32"/>
      <c r="AS43" s="32"/>
      <c r="AV43" s="45"/>
      <c r="AW43" s="45"/>
      <c r="AX43" s="45"/>
      <c r="AY43" s="38"/>
      <c r="AZ43" s="2"/>
      <c r="BB43" s="8"/>
      <c r="BE43" s="45"/>
      <c r="BF43" s="45"/>
      <c r="BG43" s="45"/>
      <c r="BH43" s="38"/>
      <c r="BI43" s="2"/>
      <c r="BK43" s="8"/>
    </row>
    <row r="44" spans="3:63">
      <c r="C44" s="8"/>
      <c r="D44" s="8"/>
      <c r="E44" s="8"/>
      <c r="F44" s="8"/>
      <c r="G44" s="8"/>
      <c r="H44" s="8"/>
      <c r="I44" s="8"/>
      <c r="J44" s="8"/>
      <c r="K44" s="8"/>
      <c r="L44" s="8"/>
      <c r="M44" s="8"/>
      <c r="N44" s="8"/>
      <c r="O44" s="8"/>
      <c r="P44" s="46"/>
      <c r="Q44" s="8"/>
      <c r="R44" s="8"/>
      <c r="U44" s="8"/>
      <c r="V44" s="8"/>
      <c r="W44" s="8"/>
      <c r="X44" s="8"/>
      <c r="Y44" s="8"/>
      <c r="Z44" s="8"/>
      <c r="AA44" s="8"/>
      <c r="AB44" s="8"/>
      <c r="AC44" s="8"/>
      <c r="AD44" s="8"/>
      <c r="AE44" s="8"/>
      <c r="AF44" s="8"/>
      <c r="AG44" s="8"/>
      <c r="AH44" s="46"/>
      <c r="AI44" s="8"/>
      <c r="AJ44" s="8"/>
      <c r="AM44" s="8"/>
      <c r="AN44" s="8"/>
      <c r="AO44" s="8"/>
      <c r="AP44" s="8"/>
      <c r="AQ44" s="8"/>
      <c r="AR44" s="8"/>
      <c r="AS44" s="8"/>
      <c r="AT44" s="8"/>
      <c r="AU44" s="8"/>
      <c r="AV44" s="8"/>
      <c r="AW44" s="8"/>
      <c r="AX44" s="8"/>
      <c r="AY44" s="8"/>
      <c r="AZ44" s="46"/>
      <c r="BA44" s="8"/>
      <c r="BB44" s="8"/>
      <c r="BC44" s="8"/>
      <c r="BD44" s="8"/>
      <c r="BE44" s="8"/>
      <c r="BF44" s="8"/>
      <c r="BG44" s="8"/>
      <c r="BH44" s="8"/>
      <c r="BI44" s="46"/>
      <c r="BJ44" s="8"/>
      <c r="BK44" s="8"/>
    </row>
    <row r="45" spans="3:63">
      <c r="J45" s="8"/>
      <c r="K45" s="8"/>
      <c r="L45" s="8"/>
      <c r="M45" s="8"/>
      <c r="N45" s="8"/>
      <c r="O45" s="8"/>
      <c r="P45" s="8"/>
      <c r="Q45" s="8"/>
      <c r="R45" s="8"/>
      <c r="AB45" s="8"/>
      <c r="AC45" s="8"/>
      <c r="AD45" s="8"/>
      <c r="AE45" s="8"/>
      <c r="AF45" s="8"/>
      <c r="AG45" s="8"/>
      <c r="AH45" s="8"/>
      <c r="AI45" s="8"/>
      <c r="AJ45" s="8"/>
      <c r="AT45" s="8"/>
      <c r="AU45" s="8"/>
      <c r="AV45" s="8"/>
      <c r="AW45" s="8"/>
      <c r="AX45" s="8"/>
      <c r="AY45" s="8"/>
      <c r="AZ45" s="8"/>
      <c r="BA45" s="8"/>
      <c r="BB45" s="8"/>
      <c r="BC45" s="8"/>
      <c r="BD45" s="8"/>
      <c r="BE45" s="8"/>
      <c r="BF45" s="8"/>
      <c r="BG45" s="8"/>
      <c r="BH45" s="8"/>
      <c r="BI45" s="8"/>
      <c r="BJ45" s="8"/>
      <c r="BK45" s="8"/>
    </row>
    <row r="54" spans="1:63">
      <c r="B54" s="73"/>
      <c r="C54" s="73"/>
      <c r="D54" s="73"/>
      <c r="E54" s="73"/>
      <c r="F54" s="73"/>
      <c r="G54" s="73"/>
      <c r="H54" s="73"/>
      <c r="I54" s="73"/>
      <c r="K54" s="73"/>
      <c r="L54" s="73"/>
      <c r="M54" s="73"/>
      <c r="N54" s="73"/>
      <c r="O54" s="73"/>
      <c r="P54" s="73"/>
      <c r="Q54" s="73"/>
      <c r="R54" s="73"/>
      <c r="T54" s="73"/>
      <c r="U54" s="73"/>
      <c r="V54" s="73"/>
      <c r="W54" s="73"/>
      <c r="X54" s="73"/>
      <c r="Y54" s="73"/>
      <c r="Z54" s="73"/>
      <c r="AA54" s="73"/>
      <c r="AC54" s="73"/>
      <c r="AD54" s="73"/>
      <c r="AE54" s="73"/>
      <c r="AF54" s="73"/>
      <c r="AG54" s="73"/>
      <c r="AH54" s="73"/>
      <c r="AI54" s="73"/>
      <c r="AJ54" s="73"/>
      <c r="AL54" s="73"/>
      <c r="AM54" s="73"/>
      <c r="AN54" s="73"/>
      <c r="AO54" s="73"/>
      <c r="AP54" s="73"/>
      <c r="AQ54" s="73"/>
      <c r="AR54" s="73"/>
      <c r="AS54" s="73"/>
      <c r="AU54" s="73"/>
      <c r="AV54" s="73"/>
      <c r="AW54" s="73"/>
      <c r="AX54" s="73"/>
      <c r="AY54" s="73"/>
      <c r="AZ54" s="73"/>
      <c r="BA54" s="73"/>
      <c r="BB54" s="73"/>
      <c r="BD54" s="73"/>
      <c r="BE54" s="73"/>
      <c r="BF54" s="73"/>
      <c r="BG54" s="73"/>
      <c r="BH54" s="73"/>
      <c r="BI54" s="73"/>
      <c r="BJ54" s="73"/>
    </row>
    <row r="55" spans="1:63">
      <c r="A55" s="80"/>
      <c r="B55" s="166"/>
      <c r="C55" s="166"/>
      <c r="D55" s="166"/>
      <c r="E55" s="166"/>
      <c r="F55" s="166"/>
      <c r="G55" s="166"/>
      <c r="H55" s="166"/>
      <c r="I55" s="166"/>
      <c r="J55" s="80"/>
      <c r="K55" s="166"/>
      <c r="L55" s="166"/>
      <c r="M55" s="166"/>
      <c r="N55" s="166"/>
      <c r="O55" s="166"/>
      <c r="P55" s="166"/>
      <c r="Q55" s="166"/>
      <c r="R55" s="166"/>
      <c r="S55" s="80"/>
      <c r="T55" s="166"/>
      <c r="U55" s="166"/>
      <c r="V55" s="166"/>
      <c r="W55" s="166"/>
      <c r="X55" s="166"/>
      <c r="Y55" s="166"/>
      <c r="Z55" s="166"/>
      <c r="AA55" s="166"/>
      <c r="AB55" s="80"/>
      <c r="AC55" s="166"/>
      <c r="AD55" s="166"/>
      <c r="AE55" s="166"/>
      <c r="AF55" s="166"/>
      <c r="AG55" s="166"/>
      <c r="AH55" s="166"/>
      <c r="AI55" s="166"/>
      <c r="AJ55" s="166"/>
      <c r="AK55" s="80"/>
      <c r="AL55" s="166"/>
      <c r="AM55" s="166"/>
      <c r="AN55" s="166"/>
      <c r="AO55" s="166"/>
      <c r="AP55" s="166"/>
      <c r="AQ55" s="166"/>
      <c r="AR55" s="166"/>
      <c r="AS55" s="166"/>
      <c r="AT55" s="80"/>
      <c r="AU55" s="166"/>
      <c r="AV55" s="166"/>
      <c r="AW55" s="166"/>
      <c r="AX55" s="166"/>
      <c r="AY55" s="166"/>
      <c r="AZ55" s="166"/>
      <c r="BA55" s="166"/>
      <c r="BB55" s="166"/>
      <c r="BC55" s="80"/>
      <c r="BD55" s="162"/>
      <c r="BE55" s="162"/>
      <c r="BF55" s="162"/>
      <c r="BG55" s="162"/>
      <c r="BH55" s="162"/>
      <c r="BI55" s="162"/>
      <c r="BJ55" s="162"/>
      <c r="BK55" s="80"/>
    </row>
    <row r="57" spans="1:63" ht="17.45">
      <c r="B57" s="72"/>
      <c r="K57" s="72"/>
      <c r="T57" s="72"/>
      <c r="AC57" s="72"/>
      <c r="AL57" s="72"/>
      <c r="AU57" s="72"/>
      <c r="BD57" s="72"/>
    </row>
    <row r="59" spans="1:63">
      <c r="C59" s="6"/>
      <c r="D59" s="6"/>
      <c r="E59" s="6"/>
      <c r="F59" s="6"/>
      <c r="G59" s="6"/>
      <c r="H59" s="6"/>
      <c r="I59" s="6"/>
      <c r="J59" s="6"/>
      <c r="K59" s="6"/>
      <c r="L59" s="6"/>
      <c r="M59" s="6"/>
      <c r="N59" s="6"/>
      <c r="O59" s="6"/>
      <c r="P59" s="6"/>
      <c r="Q59" s="6"/>
      <c r="R59" s="6"/>
      <c r="U59" s="6"/>
      <c r="V59" s="6"/>
      <c r="W59" s="6"/>
      <c r="X59" s="6"/>
      <c r="Y59" s="6"/>
      <c r="Z59" s="6"/>
      <c r="AA59" s="6"/>
      <c r="AB59" s="6"/>
      <c r="AC59" s="6"/>
      <c r="AD59" s="6"/>
      <c r="AE59" s="6"/>
      <c r="AF59" s="6"/>
      <c r="AG59" s="6"/>
      <c r="AH59" s="6"/>
      <c r="AI59" s="6"/>
      <c r="AJ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row>
    <row r="60" spans="1:63">
      <c r="C60" s="6"/>
      <c r="D60" s="6"/>
      <c r="E60" s="6"/>
      <c r="F60" s="6"/>
      <c r="G60" s="6"/>
      <c r="H60" s="6"/>
      <c r="I60" s="6"/>
      <c r="J60" s="6"/>
      <c r="K60" s="6"/>
      <c r="L60" s="6"/>
      <c r="M60" s="6"/>
      <c r="N60" s="6"/>
      <c r="O60" s="6"/>
      <c r="P60" s="6"/>
      <c r="Q60" s="6"/>
      <c r="R60" s="6"/>
      <c r="U60" s="6"/>
      <c r="V60" s="6"/>
      <c r="W60" s="6"/>
      <c r="X60" s="6"/>
      <c r="Y60" s="6"/>
      <c r="Z60" s="6"/>
      <c r="AA60" s="6"/>
      <c r="AB60" s="6"/>
      <c r="AC60" s="6"/>
      <c r="AD60" s="6"/>
      <c r="AE60" s="6"/>
      <c r="AF60" s="6"/>
      <c r="AG60" s="6"/>
      <c r="AH60" s="6"/>
      <c r="AI60" s="6"/>
      <c r="AJ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row>
    <row r="61" spans="1:63">
      <c r="C61" s="6"/>
      <c r="D61" s="6"/>
      <c r="E61" s="6"/>
      <c r="F61" s="6"/>
      <c r="G61" s="6"/>
      <c r="H61" s="6"/>
      <c r="I61" s="6"/>
      <c r="J61" s="6"/>
      <c r="K61" s="6"/>
      <c r="L61" s="6"/>
      <c r="M61" s="6"/>
      <c r="N61" s="6"/>
      <c r="O61" s="6"/>
      <c r="P61" s="6"/>
      <c r="Q61" s="6"/>
      <c r="R61" s="6"/>
      <c r="U61" s="6"/>
      <c r="V61" s="6"/>
      <c r="W61" s="6"/>
      <c r="X61" s="6"/>
      <c r="Y61" s="6"/>
      <c r="Z61" s="6"/>
      <c r="AA61" s="6"/>
      <c r="AB61" s="6"/>
      <c r="AC61" s="6"/>
      <c r="AD61" s="6"/>
      <c r="AE61" s="6"/>
      <c r="AF61" s="6"/>
      <c r="AG61" s="6"/>
      <c r="AH61" s="6"/>
      <c r="AI61" s="6"/>
      <c r="AJ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row>
    <row r="62" spans="1:63">
      <c r="C62" s="6"/>
      <c r="D62" s="6"/>
      <c r="E62" s="6"/>
      <c r="F62" s="6"/>
      <c r="G62" s="6"/>
      <c r="H62" s="6"/>
      <c r="I62" s="6"/>
      <c r="J62" s="6"/>
      <c r="K62" s="6"/>
      <c r="L62" s="6"/>
      <c r="M62" s="6"/>
      <c r="N62" s="6"/>
      <c r="O62" s="6"/>
      <c r="P62" s="6"/>
      <c r="Q62" s="6"/>
      <c r="R62" s="6"/>
      <c r="U62" s="6"/>
      <c r="V62" s="6"/>
      <c r="W62" s="6"/>
      <c r="X62" s="6"/>
      <c r="Y62" s="6"/>
      <c r="Z62" s="6"/>
      <c r="AA62" s="6"/>
      <c r="AB62" s="6"/>
      <c r="AC62" s="6"/>
      <c r="AD62" s="6"/>
      <c r="AE62" s="6"/>
      <c r="AF62" s="6"/>
      <c r="AG62" s="6"/>
      <c r="AH62" s="6"/>
      <c r="AI62" s="6"/>
      <c r="AJ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row>
    <row r="63" spans="1:63">
      <c r="C63" s="6"/>
      <c r="D63" s="6"/>
      <c r="E63" s="6"/>
      <c r="F63" s="6"/>
      <c r="G63" s="6"/>
      <c r="H63" s="6"/>
      <c r="I63" s="6"/>
      <c r="J63" s="6"/>
      <c r="K63" s="6"/>
      <c r="L63" s="6"/>
      <c r="M63" s="6"/>
      <c r="N63" s="6"/>
      <c r="O63" s="6"/>
      <c r="P63" s="6"/>
      <c r="Q63" s="6"/>
      <c r="R63" s="6"/>
      <c r="U63" s="6"/>
      <c r="V63" s="6"/>
      <c r="W63" s="6"/>
      <c r="X63" s="6"/>
      <c r="Y63" s="6"/>
      <c r="Z63" s="6"/>
      <c r="AA63" s="6"/>
      <c r="AB63" s="6"/>
      <c r="AC63" s="6"/>
      <c r="AD63" s="6"/>
      <c r="AE63" s="6"/>
      <c r="AF63" s="6"/>
      <c r="AG63" s="6"/>
      <c r="AH63" s="6"/>
      <c r="AI63" s="6"/>
      <c r="AJ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row>
    <row r="64" spans="1:63">
      <c r="C64" s="6"/>
      <c r="D64" s="6"/>
      <c r="E64" s="6"/>
      <c r="F64" s="6"/>
      <c r="G64" s="6"/>
      <c r="H64" s="6"/>
      <c r="I64" s="6"/>
      <c r="J64" s="6"/>
      <c r="K64" s="6"/>
      <c r="L64" s="6"/>
      <c r="M64" s="6"/>
      <c r="N64" s="6"/>
      <c r="O64" s="6"/>
      <c r="P64" s="6"/>
      <c r="Q64" s="6"/>
      <c r="R64" s="6"/>
      <c r="U64" s="6"/>
      <c r="V64" s="6"/>
      <c r="W64" s="6"/>
      <c r="X64" s="6"/>
      <c r="Y64" s="6"/>
      <c r="Z64" s="6"/>
      <c r="AA64" s="6"/>
      <c r="AB64" s="6"/>
      <c r="AC64" s="6"/>
      <c r="AD64" s="6"/>
      <c r="AE64" s="6"/>
      <c r="AF64" s="6"/>
      <c r="AG64" s="6"/>
      <c r="AH64" s="6"/>
      <c r="AI64" s="6"/>
      <c r="AJ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row>
    <row r="65" spans="3:63">
      <c r="C65" s="6"/>
      <c r="D65" s="6"/>
      <c r="E65" s="6"/>
      <c r="F65" s="6"/>
      <c r="G65" s="6"/>
      <c r="H65" s="6"/>
      <c r="I65" s="6"/>
      <c r="J65" s="6"/>
      <c r="K65" s="6"/>
      <c r="L65" s="6"/>
      <c r="M65" s="6"/>
      <c r="N65" s="6"/>
      <c r="O65" s="6"/>
      <c r="P65" s="6"/>
      <c r="Q65" s="6"/>
      <c r="R65" s="6"/>
      <c r="U65" s="6"/>
      <c r="V65" s="6"/>
      <c r="W65" s="6"/>
      <c r="X65" s="6"/>
      <c r="Y65" s="6"/>
      <c r="Z65" s="6"/>
      <c r="AA65" s="6"/>
      <c r="AB65" s="6"/>
      <c r="AC65" s="6"/>
      <c r="AD65" s="6"/>
      <c r="AE65" s="6"/>
      <c r="AF65" s="6"/>
      <c r="AG65" s="6"/>
      <c r="AH65" s="6"/>
      <c r="AI65" s="6"/>
      <c r="AJ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row>
  </sheetData>
  <sheetProtection password="F817" sheet="1" objects="1" scenarios="1" selectLockedCells="1"/>
  <mergeCells count="187">
    <mergeCell ref="AC55:AJ55"/>
    <mergeCell ref="AL55:AS55"/>
    <mergeCell ref="AU55:BB55"/>
    <mergeCell ref="BD1:BG1"/>
    <mergeCell ref="K1:N1"/>
    <mergeCell ref="T1:W1"/>
    <mergeCell ref="AC1:AF1"/>
    <mergeCell ref="AL1:AO1"/>
    <mergeCell ref="BD30:BE30"/>
    <mergeCell ref="BD24:BE24"/>
    <mergeCell ref="AC30:AD30"/>
    <mergeCell ref="AL29:AM29"/>
    <mergeCell ref="AU29:AV29"/>
    <mergeCell ref="AL30:AM30"/>
    <mergeCell ref="AU30:AV30"/>
    <mergeCell ref="AL28:AM28"/>
    <mergeCell ref="AU28:AV28"/>
    <mergeCell ref="BD28:BE28"/>
    <mergeCell ref="AU10:AV10"/>
    <mergeCell ref="AL16:AM16"/>
    <mergeCell ref="AL17:AM17"/>
    <mergeCell ref="AU13:AV13"/>
    <mergeCell ref="AL11:AM11"/>
    <mergeCell ref="BD13:BE13"/>
    <mergeCell ref="BK1:BK3"/>
    <mergeCell ref="I4:I5"/>
    <mergeCell ref="R4:R5"/>
    <mergeCell ref="AA4:AA5"/>
    <mergeCell ref="AJ4:AJ5"/>
    <mergeCell ref="AS4:AS5"/>
    <mergeCell ref="BB4:BB5"/>
    <mergeCell ref="BJ4:BJ5"/>
    <mergeCell ref="I1:I3"/>
    <mergeCell ref="R1:R3"/>
    <mergeCell ref="T5:X5"/>
    <mergeCell ref="AC5:AG5"/>
    <mergeCell ref="AS1:AS3"/>
    <mergeCell ref="BB1:BB3"/>
    <mergeCell ref="AA1:AA3"/>
    <mergeCell ref="AJ1:AJ3"/>
    <mergeCell ref="AU1:AX1"/>
    <mergeCell ref="AL5:AP5"/>
    <mergeCell ref="AU5:AY5"/>
    <mergeCell ref="BD5:BH5"/>
    <mergeCell ref="B23:C23"/>
    <mergeCell ref="K18:L18"/>
    <mergeCell ref="K19:L19"/>
    <mergeCell ref="K20:L20"/>
    <mergeCell ref="K21:L21"/>
    <mergeCell ref="K22:L22"/>
    <mergeCell ref="K23:L23"/>
    <mergeCell ref="BD8:BE8"/>
    <mergeCell ref="B5:F5"/>
    <mergeCell ref="K5:O5"/>
    <mergeCell ref="AL10:AM10"/>
    <mergeCell ref="AL19:AM19"/>
    <mergeCell ref="AL20:AM20"/>
    <mergeCell ref="AL21:AM21"/>
    <mergeCell ref="AU22:AV22"/>
    <mergeCell ref="AU19:AV19"/>
    <mergeCell ref="B8:C8"/>
    <mergeCell ref="K8:L8"/>
    <mergeCell ref="T8:U8"/>
    <mergeCell ref="AC8:AD8"/>
    <mergeCell ref="AL8:AM8"/>
    <mergeCell ref="AU8:AV8"/>
    <mergeCell ref="AL18:AM18"/>
    <mergeCell ref="AL13:AM13"/>
    <mergeCell ref="B22:C22"/>
    <mergeCell ref="BD10:BE10"/>
    <mergeCell ref="AU16:AV16"/>
    <mergeCell ref="AU17:AV17"/>
    <mergeCell ref="BD11:BE11"/>
    <mergeCell ref="AL12:AM12"/>
    <mergeCell ref="AU12:AV12"/>
    <mergeCell ref="BD12:BE12"/>
    <mergeCell ref="B10:C10"/>
    <mergeCell ref="K10:L10"/>
    <mergeCell ref="T10:U10"/>
    <mergeCell ref="AC10:AD10"/>
    <mergeCell ref="AC11:AD11"/>
    <mergeCell ref="B13:C13"/>
    <mergeCell ref="B11:C11"/>
    <mergeCell ref="AC12:AD12"/>
    <mergeCell ref="K11:L11"/>
    <mergeCell ref="T11:U11"/>
    <mergeCell ref="B15:C15"/>
    <mergeCell ref="B16:C16"/>
    <mergeCell ref="B17:C17"/>
    <mergeCell ref="K15:L15"/>
    <mergeCell ref="K16:L16"/>
    <mergeCell ref="AU11:AV11"/>
    <mergeCell ref="AL15:AM15"/>
    <mergeCell ref="AU15:AV15"/>
    <mergeCell ref="BD15:BE15"/>
    <mergeCell ref="AU18:AV18"/>
    <mergeCell ref="BD22:BE22"/>
    <mergeCell ref="BD17:BE17"/>
    <mergeCell ref="AL22:AM22"/>
    <mergeCell ref="BD14:BE14"/>
    <mergeCell ref="AU20:AV20"/>
    <mergeCell ref="BD16:BE16"/>
    <mergeCell ref="B18:C18"/>
    <mergeCell ref="B20:C20"/>
    <mergeCell ref="B21:C21"/>
    <mergeCell ref="B19:C19"/>
    <mergeCell ref="B12:C12"/>
    <mergeCell ref="T13:U13"/>
    <mergeCell ref="AC13:AD13"/>
    <mergeCell ref="AU14:AV14"/>
    <mergeCell ref="AC15:AD15"/>
    <mergeCell ref="AC16:AD16"/>
    <mergeCell ref="AC18:AD18"/>
    <mergeCell ref="AC19:AD19"/>
    <mergeCell ref="AC17:AD17"/>
    <mergeCell ref="K12:L12"/>
    <mergeCell ref="T12:U12"/>
    <mergeCell ref="T15:U15"/>
    <mergeCell ref="T20:U20"/>
    <mergeCell ref="T21:U21"/>
    <mergeCell ref="K13:L13"/>
    <mergeCell ref="B14:C14"/>
    <mergeCell ref="K14:L14"/>
    <mergeCell ref="T14:U14"/>
    <mergeCell ref="AC14:AD14"/>
    <mergeCell ref="AL14:AM14"/>
    <mergeCell ref="T16:U16"/>
    <mergeCell ref="T17:U17"/>
    <mergeCell ref="K17:L17"/>
    <mergeCell ref="T22:U22"/>
    <mergeCell ref="T23:U23"/>
    <mergeCell ref="AC23:AD23"/>
    <mergeCell ref="T18:U18"/>
    <mergeCell ref="T25:U25"/>
    <mergeCell ref="AC25:AD25"/>
    <mergeCell ref="K24:L24"/>
    <mergeCell ref="T19:U19"/>
    <mergeCell ref="AC20:AD20"/>
    <mergeCell ref="AC22:AD22"/>
    <mergeCell ref="AC21:AD21"/>
    <mergeCell ref="AC24:AD24"/>
    <mergeCell ref="B24:C24"/>
    <mergeCell ref="K27:L27"/>
    <mergeCell ref="T27:U27"/>
    <mergeCell ref="T24:U24"/>
    <mergeCell ref="B25:C25"/>
    <mergeCell ref="K25:L25"/>
    <mergeCell ref="BD26:BE26"/>
    <mergeCell ref="AL25:AM25"/>
    <mergeCell ref="AU25:AV25"/>
    <mergeCell ref="BD27:BE27"/>
    <mergeCell ref="AC27:AD27"/>
    <mergeCell ref="BD25:BE25"/>
    <mergeCell ref="AU23:AV23"/>
    <mergeCell ref="BD23:BE23"/>
    <mergeCell ref="AL24:AM24"/>
    <mergeCell ref="AU24:AV24"/>
    <mergeCell ref="BD18:BE18"/>
    <mergeCell ref="BD19:BE19"/>
    <mergeCell ref="BD20:BE20"/>
    <mergeCell ref="BD21:BE21"/>
    <mergeCell ref="AU21:AV21"/>
    <mergeCell ref="AL23:AM23"/>
    <mergeCell ref="BD29:BE29"/>
    <mergeCell ref="B28:C28"/>
    <mergeCell ref="B55:I55"/>
    <mergeCell ref="K55:R55"/>
    <mergeCell ref="T55:AA55"/>
    <mergeCell ref="B26:C26"/>
    <mergeCell ref="K26:L26"/>
    <mergeCell ref="T26:U26"/>
    <mergeCell ref="AC26:AD26"/>
    <mergeCell ref="AL27:AM27"/>
    <mergeCell ref="AU27:AV27"/>
    <mergeCell ref="B30:C30"/>
    <mergeCell ref="K29:L29"/>
    <mergeCell ref="K30:L30"/>
    <mergeCell ref="T29:U29"/>
    <mergeCell ref="T30:U30"/>
    <mergeCell ref="B29:C29"/>
    <mergeCell ref="AC29:AD29"/>
    <mergeCell ref="B27:C27"/>
    <mergeCell ref="AL26:AM26"/>
    <mergeCell ref="AU26:AV26"/>
    <mergeCell ref="K28:L28"/>
    <mergeCell ref="T28:U28"/>
    <mergeCell ref="AC28:AD28"/>
  </mergeCells>
  <phoneticPr fontId="2" type="noConversion"/>
  <pageMargins left="0.59055118110236227" right="0.59055118110236227" top="0.39370078740157483" bottom="0.39370078740157483" header="0" footer="0"/>
  <pageSetup paperSize="9" orientation="portrait" horizontalDpi="1200" verticalDpi="1200" r:id="rId1"/>
  <headerFooter alignWithMargins="0"/>
  <ignoredErrors>
    <ignoredError sqref="D29:I29 M29:R29 V29:AA29 AE29:AJ29 AN29:AS29 AW29:BB29 BF26 BF13:BH13 BF23:BH23" formula="1"/>
  </ignoredError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indexed="22"/>
  </sheetPr>
  <dimension ref="A1:BH58"/>
  <sheetViews>
    <sheetView showGridLines="0" tabSelected="1" topLeftCell="A39" zoomScale="85" zoomScaleNormal="85" zoomScaleSheetLayoutView="100" workbookViewId="0">
      <selection activeCell="N52" sqref="N52:O52"/>
    </sheetView>
  </sheetViews>
  <sheetFormatPr defaultColWidth="11.42578125" defaultRowHeight="13.15"/>
  <cols>
    <col min="1" max="2" width="4.7109375" customWidth="1"/>
    <col min="4" max="15" width="5.7109375" customWidth="1"/>
    <col min="16" max="17" width="4.7109375" customWidth="1"/>
    <col min="19" max="30" width="5.7109375" customWidth="1"/>
    <col min="31" max="32" width="4.7109375" customWidth="1"/>
    <col min="34" max="45" width="5.7109375" customWidth="1"/>
    <col min="46" max="47" width="4.7109375" customWidth="1"/>
    <col min="48" max="48" width="11.5703125" bestFit="1" customWidth="1"/>
    <col min="49" max="60" width="5.7109375" customWidth="1"/>
  </cols>
  <sheetData>
    <row r="1" spans="2:60" ht="18" customHeight="1">
      <c r="B1" s="225"/>
      <c r="C1" s="225"/>
      <c r="D1" s="225"/>
      <c r="E1" s="225"/>
      <c r="F1" s="225"/>
      <c r="G1" s="225"/>
      <c r="H1" s="225"/>
      <c r="N1" s="173" t="s">
        <v>351</v>
      </c>
      <c r="O1" s="173"/>
      <c r="Q1" s="225"/>
      <c r="R1" s="225"/>
      <c r="S1" s="225"/>
      <c r="T1" s="225"/>
      <c r="U1" s="225"/>
      <c r="V1" s="225"/>
      <c r="W1" s="225"/>
      <c r="AC1" s="173"/>
      <c r="AD1" s="173"/>
      <c r="AF1" s="225"/>
      <c r="AG1" s="225"/>
      <c r="AH1" s="225"/>
      <c r="AI1" s="225"/>
      <c r="AJ1" s="225"/>
      <c r="AK1" s="225"/>
      <c r="AL1" s="225"/>
      <c r="AR1" s="173"/>
      <c r="AS1" s="173"/>
      <c r="AU1" s="225"/>
      <c r="AV1" s="225"/>
      <c r="AW1" s="225"/>
      <c r="AX1" s="225"/>
      <c r="AY1" s="225"/>
      <c r="AZ1" s="225"/>
      <c r="BA1" s="225"/>
      <c r="BG1" s="173"/>
      <c r="BH1" s="173"/>
    </row>
    <row r="2" spans="2:60" ht="12.75" customHeight="1">
      <c r="N2" s="173"/>
      <c r="O2" s="173"/>
      <c r="AC2" s="173"/>
      <c r="AD2" s="173"/>
      <c r="AR2" s="173"/>
      <c r="AS2" s="173"/>
      <c r="BG2" s="173"/>
      <c r="BH2" s="173"/>
    </row>
    <row r="3" spans="2:60" ht="18.75" customHeight="1">
      <c r="B3" s="225"/>
      <c r="C3" s="225"/>
      <c r="D3" s="225"/>
      <c r="E3" s="225"/>
      <c r="F3" s="225"/>
      <c r="G3" s="225"/>
      <c r="H3" s="225"/>
      <c r="N3" s="173"/>
      <c r="O3" s="173"/>
      <c r="Q3" s="225"/>
      <c r="R3" s="225"/>
      <c r="S3" s="225"/>
      <c r="T3" s="225"/>
      <c r="U3" s="225"/>
      <c r="V3" s="225"/>
      <c r="W3" s="225"/>
      <c r="AC3" s="173"/>
      <c r="AD3" s="173"/>
      <c r="AF3" s="225"/>
      <c r="AG3" s="225"/>
      <c r="AH3" s="225"/>
      <c r="AI3" s="225"/>
      <c r="AJ3" s="225"/>
      <c r="AK3" s="225"/>
      <c r="AL3" s="225"/>
      <c r="AR3" s="173"/>
      <c r="AS3" s="173"/>
      <c r="AU3" s="225"/>
      <c r="AV3" s="225"/>
      <c r="AW3" s="225"/>
      <c r="AX3" s="225"/>
      <c r="AY3" s="225"/>
      <c r="AZ3" s="225"/>
      <c r="BA3" s="225"/>
      <c r="BG3" s="173"/>
      <c r="BH3" s="173"/>
    </row>
    <row r="4" spans="2:60">
      <c r="N4" s="260" t="s">
        <v>304</v>
      </c>
      <c r="O4" s="260"/>
      <c r="AC4" s="260" t="s">
        <v>305</v>
      </c>
      <c r="AD4" s="260"/>
      <c r="AR4" s="260" t="s">
        <v>306</v>
      </c>
      <c r="AS4" s="260"/>
      <c r="BG4" s="260" t="s">
        <v>307</v>
      </c>
      <c r="BH4" s="260"/>
    </row>
    <row r="5" spans="2:60">
      <c r="B5" s="96"/>
      <c r="C5" s="96"/>
      <c r="E5" s="96"/>
      <c r="F5" s="96"/>
      <c r="H5" s="96"/>
      <c r="I5" s="96"/>
      <c r="J5" s="96"/>
      <c r="N5" s="260"/>
      <c r="O5" s="260"/>
      <c r="Q5" s="96"/>
      <c r="R5" s="96"/>
      <c r="T5" s="96"/>
      <c r="U5" s="96"/>
      <c r="V5" s="96"/>
      <c r="W5" s="96"/>
      <c r="X5" s="96"/>
      <c r="Y5" s="96"/>
      <c r="AC5" s="260"/>
      <c r="AD5" s="260"/>
      <c r="AF5" s="96"/>
      <c r="AG5" s="96"/>
      <c r="AI5" s="96"/>
      <c r="AJ5" s="96"/>
      <c r="AK5" s="96"/>
      <c r="AL5" s="96"/>
      <c r="AM5" s="96"/>
      <c r="AN5" s="96"/>
      <c r="AR5" s="260"/>
      <c r="AS5" s="260"/>
      <c r="AU5" s="96"/>
      <c r="AV5" s="96"/>
      <c r="AX5" s="96"/>
      <c r="AY5" s="96"/>
      <c r="AZ5" s="96"/>
      <c r="BA5" s="96"/>
      <c r="BB5" s="96"/>
      <c r="BC5" s="96"/>
      <c r="BG5" s="260"/>
      <c r="BH5" s="260"/>
    </row>
    <row r="6" spans="2:60">
      <c r="B6" s="96"/>
      <c r="C6" s="96"/>
      <c r="D6" s="96"/>
      <c r="E6" s="96"/>
      <c r="F6" s="96"/>
      <c r="G6" s="96"/>
      <c r="H6" s="96"/>
      <c r="I6" s="96"/>
      <c r="J6" s="96"/>
      <c r="N6" s="136"/>
      <c r="O6" s="136"/>
      <c r="Q6" s="96"/>
      <c r="R6" s="96"/>
      <c r="S6" s="96"/>
      <c r="T6" s="96"/>
      <c r="U6" s="96"/>
      <c r="V6" s="96"/>
      <c r="W6" s="96"/>
      <c r="X6" s="96"/>
      <c r="Y6" s="96"/>
      <c r="AC6" s="136"/>
      <c r="AD6" s="136"/>
      <c r="AF6" s="96"/>
      <c r="AG6" s="96"/>
      <c r="AH6" s="96"/>
      <c r="AI6" s="96"/>
      <c r="AJ6" s="96"/>
      <c r="AK6" s="96"/>
      <c r="AL6" s="96"/>
      <c r="AM6" s="96"/>
      <c r="AN6" s="96"/>
      <c r="AR6" s="136"/>
      <c r="AS6" s="136"/>
      <c r="AU6" s="96"/>
      <c r="AV6" s="96"/>
      <c r="AW6" s="96"/>
      <c r="AX6" s="96"/>
      <c r="AY6" s="96"/>
      <c r="AZ6" s="96"/>
      <c r="BA6" s="96"/>
      <c r="BB6" s="96"/>
      <c r="BC6" s="96"/>
      <c r="BG6" s="136"/>
      <c r="BH6" s="136"/>
    </row>
    <row r="7" spans="2:60" ht="29.25" customHeight="1">
      <c r="B7" s="291"/>
      <c r="C7" s="291"/>
      <c r="D7" s="291"/>
      <c r="E7" s="291"/>
      <c r="F7" s="291"/>
      <c r="G7" s="291"/>
      <c r="H7" s="291"/>
      <c r="I7" s="291"/>
      <c r="J7" s="291"/>
      <c r="K7" s="291"/>
      <c r="L7" s="291"/>
      <c r="M7" s="291"/>
      <c r="N7" s="291"/>
      <c r="O7" s="291"/>
      <c r="Q7" s="96"/>
      <c r="R7" s="96"/>
      <c r="S7" s="96"/>
      <c r="T7" s="96"/>
      <c r="U7" s="96"/>
      <c r="V7" s="96"/>
      <c r="W7" s="96"/>
      <c r="X7" s="96"/>
      <c r="Y7" s="96"/>
      <c r="AC7" s="136"/>
      <c r="AD7" s="136"/>
      <c r="AF7" s="233"/>
      <c r="AG7" s="233"/>
      <c r="AH7" s="233"/>
      <c r="AI7" s="233"/>
      <c r="AJ7" s="233"/>
      <c r="AK7" s="233"/>
      <c r="AL7" s="233"/>
      <c r="AM7" s="233"/>
      <c r="AN7" s="233"/>
      <c r="AO7" s="233"/>
      <c r="AP7" s="233"/>
      <c r="AQ7" s="233"/>
      <c r="AR7" s="233"/>
      <c r="AS7" s="233"/>
      <c r="AU7" s="96"/>
      <c r="AV7" s="96"/>
      <c r="AW7" s="96"/>
      <c r="AX7" s="96"/>
      <c r="AY7" s="96"/>
      <c r="AZ7" s="96"/>
      <c r="BA7" s="96"/>
      <c r="BB7" s="96"/>
      <c r="BC7" s="96"/>
      <c r="BG7" s="136"/>
      <c r="BH7" s="136"/>
    </row>
    <row r="9" spans="2:60">
      <c r="J9" s="292" t="s">
        <v>352</v>
      </c>
      <c r="K9" s="292"/>
      <c r="L9" s="294" t="s">
        <v>353</v>
      </c>
      <c r="M9" s="294"/>
      <c r="N9" s="289" t="s">
        <v>354</v>
      </c>
      <c r="O9" s="289"/>
      <c r="Y9" s="292" t="s">
        <v>352</v>
      </c>
      <c r="Z9" s="292"/>
      <c r="AA9" s="294" t="s">
        <v>353</v>
      </c>
      <c r="AB9" s="294"/>
      <c r="AC9" s="289" t="s">
        <v>354</v>
      </c>
      <c r="AD9" s="289"/>
      <c r="AN9" s="292" t="s">
        <v>352</v>
      </c>
      <c r="AO9" s="292"/>
      <c r="AP9" s="294" t="s">
        <v>353</v>
      </c>
      <c r="AQ9" s="294"/>
      <c r="AR9" s="289" t="s">
        <v>354</v>
      </c>
      <c r="AS9" s="289"/>
    </row>
    <row r="10" spans="2:60">
      <c r="B10" s="275" t="s">
        <v>355</v>
      </c>
      <c r="C10" s="275"/>
      <c r="D10" s="275"/>
      <c r="E10" s="275" t="s">
        <v>102</v>
      </c>
      <c r="F10" s="275"/>
      <c r="H10" s="234" t="s">
        <v>356</v>
      </c>
      <c r="I10" s="234"/>
      <c r="J10" s="276">
        <v>0.04</v>
      </c>
      <c r="K10" s="276"/>
      <c r="L10" s="276">
        <v>0.1</v>
      </c>
      <c r="M10" s="276"/>
      <c r="N10" s="276">
        <v>0.21</v>
      </c>
      <c r="O10" s="276"/>
      <c r="Q10" s="275" t="s">
        <v>355</v>
      </c>
      <c r="R10" s="275"/>
      <c r="S10" s="275"/>
      <c r="T10" s="275" t="s">
        <v>281</v>
      </c>
      <c r="U10" s="275"/>
      <c r="W10" s="234" t="s">
        <v>356</v>
      </c>
      <c r="X10" s="234"/>
      <c r="Y10" s="293">
        <f>J10</f>
        <v>0.04</v>
      </c>
      <c r="Z10" s="293"/>
      <c r="AA10" s="293">
        <f>L10</f>
        <v>0.1</v>
      </c>
      <c r="AB10" s="293"/>
      <c r="AC10" s="293">
        <f>N10</f>
        <v>0.21</v>
      </c>
      <c r="AD10" s="293"/>
      <c r="AF10" s="275" t="s">
        <v>355</v>
      </c>
      <c r="AG10" s="275"/>
      <c r="AH10" s="275"/>
      <c r="AI10" s="275" t="s">
        <v>282</v>
      </c>
      <c r="AJ10" s="275"/>
      <c r="AL10" s="234" t="s">
        <v>356</v>
      </c>
      <c r="AM10" s="234"/>
      <c r="AN10" s="293">
        <f>J10</f>
        <v>0.04</v>
      </c>
      <c r="AO10" s="293"/>
      <c r="AP10" s="293">
        <f>L10</f>
        <v>0.1</v>
      </c>
      <c r="AQ10" s="293"/>
      <c r="AR10" s="293">
        <f>N10</f>
        <v>0.21</v>
      </c>
      <c r="AS10" s="293"/>
      <c r="AU10" s="275" t="s">
        <v>357</v>
      </c>
      <c r="AV10" s="275"/>
      <c r="AW10" s="275"/>
      <c r="AX10" s="275"/>
      <c r="AY10" s="275"/>
    </row>
    <row r="12" spans="2:60">
      <c r="B12" s="273" t="s">
        <v>69</v>
      </c>
      <c r="C12" s="273"/>
      <c r="D12" s="234">
        <v>1</v>
      </c>
      <c r="E12" s="234"/>
      <c r="F12" s="234">
        <v>2</v>
      </c>
      <c r="G12" s="234"/>
      <c r="H12" s="234">
        <v>3</v>
      </c>
      <c r="I12" s="234"/>
      <c r="J12" s="234">
        <v>4</v>
      </c>
      <c r="K12" s="234"/>
      <c r="L12" s="234">
        <v>5</v>
      </c>
      <c r="M12" s="234"/>
      <c r="N12" s="234">
        <v>6</v>
      </c>
      <c r="O12" s="234"/>
      <c r="Q12" s="273" t="s">
        <v>69</v>
      </c>
      <c r="R12" s="273"/>
      <c r="S12" s="234">
        <v>1</v>
      </c>
      <c r="T12" s="234"/>
      <c r="U12" s="234">
        <v>2</v>
      </c>
      <c r="V12" s="234"/>
      <c r="W12" s="234">
        <v>3</v>
      </c>
      <c r="X12" s="234"/>
      <c r="Y12" s="234">
        <v>4</v>
      </c>
      <c r="Z12" s="234"/>
      <c r="AA12" s="234">
        <v>5</v>
      </c>
      <c r="AB12" s="234"/>
      <c r="AC12" s="234">
        <v>6</v>
      </c>
      <c r="AD12" s="234"/>
      <c r="AF12" s="273" t="s">
        <v>69</v>
      </c>
      <c r="AG12" s="273"/>
      <c r="AH12" s="234">
        <v>1</v>
      </c>
      <c r="AI12" s="234"/>
      <c r="AJ12" s="234">
        <v>2</v>
      </c>
      <c r="AK12" s="234"/>
      <c r="AL12" s="234">
        <v>3</v>
      </c>
      <c r="AM12" s="234"/>
      <c r="AN12" s="234">
        <v>4</v>
      </c>
      <c r="AO12" s="234"/>
      <c r="AP12" s="234">
        <v>5</v>
      </c>
      <c r="AQ12" s="234"/>
      <c r="AR12" s="234">
        <v>6</v>
      </c>
      <c r="AS12" s="234"/>
      <c r="AW12" s="290" t="s">
        <v>102</v>
      </c>
      <c r="AX12" s="290"/>
      <c r="AY12" s="290"/>
      <c r="AZ12" s="290"/>
      <c r="BA12" s="290" t="s">
        <v>281</v>
      </c>
      <c r="BB12" s="290"/>
      <c r="BC12" s="290"/>
      <c r="BD12" s="290"/>
      <c r="BE12" s="290" t="s">
        <v>282</v>
      </c>
      <c r="BF12" s="290"/>
      <c r="BG12" s="290"/>
      <c r="BH12" s="290"/>
    </row>
    <row r="13" spans="2:60" ht="13.5" customHeight="1">
      <c r="B13" s="273" t="s">
        <v>358</v>
      </c>
      <c r="C13" s="273"/>
      <c r="D13" s="264">
        <f>'2. P. MARKETING'!BO25</f>
        <v>25000</v>
      </c>
      <c r="E13" s="265"/>
      <c r="F13" s="264">
        <f>'2. P. MARKETING'!BQ25</f>
        <v>15000</v>
      </c>
      <c r="G13" s="265"/>
      <c r="H13" s="264">
        <f>'2. P. MARKETING'!BS25</f>
        <v>12000</v>
      </c>
      <c r="I13" s="265"/>
      <c r="J13" s="264">
        <f>'2. P. MARKETING'!BU25</f>
        <v>10000</v>
      </c>
      <c r="K13" s="265"/>
      <c r="L13" s="264">
        <f>'2. P. MARKETING'!BW25</f>
        <v>10000</v>
      </c>
      <c r="M13" s="265"/>
      <c r="N13" s="264">
        <f>'2. P. MARKETING'!BY25</f>
        <v>8000</v>
      </c>
      <c r="O13" s="265"/>
      <c r="Q13" s="273" t="s">
        <v>358</v>
      </c>
      <c r="R13" s="273"/>
      <c r="S13" s="264">
        <f>D13*(1+ '6. PEF1. PLAN COMERCIAL'!$F$28)</f>
        <v>28749.999999999996</v>
      </c>
      <c r="T13" s="265"/>
      <c r="U13" s="264">
        <f>F13*(1+ '6. PEF1. PLAN COMERCIAL'!$F$28)</f>
        <v>17250</v>
      </c>
      <c r="V13" s="265"/>
      <c r="W13" s="264">
        <f>H13*(1+ '6. PEF1. PLAN COMERCIAL'!$F$28)</f>
        <v>13799.999999999998</v>
      </c>
      <c r="X13" s="265"/>
      <c r="Y13" s="264">
        <f>J13*(1+ '6. PEF1. PLAN COMERCIAL'!$F$28)</f>
        <v>11500</v>
      </c>
      <c r="Z13" s="265"/>
      <c r="AA13" s="264">
        <f>L13*(1+ '6. PEF1. PLAN COMERCIAL'!$F$28)</f>
        <v>11500</v>
      </c>
      <c r="AB13" s="265"/>
      <c r="AC13" s="264">
        <f>N13*(1+ '6. PEF1. PLAN COMERCIAL'!$F$28)</f>
        <v>9200</v>
      </c>
      <c r="AD13" s="265"/>
      <c r="AF13" s="273" t="s">
        <v>358</v>
      </c>
      <c r="AG13" s="273"/>
      <c r="AH13" s="264">
        <f>S13*(1+ '6. PEF1. PLAN COMERCIAL'!$F$28)</f>
        <v>33062.499999999993</v>
      </c>
      <c r="AI13" s="265"/>
      <c r="AJ13" s="264">
        <f>U13*(1+ '6. PEF1. PLAN COMERCIAL'!$F$28)</f>
        <v>19837.5</v>
      </c>
      <c r="AK13" s="265"/>
      <c r="AL13" s="264">
        <f>W13*(1+ '6. PEF1. PLAN COMERCIAL'!$F$28)</f>
        <v>15869.999999999996</v>
      </c>
      <c r="AM13" s="265"/>
      <c r="AN13" s="264">
        <f>Y13*(1+ '6. PEF1. PLAN COMERCIAL'!$F$28)</f>
        <v>13224.999999999998</v>
      </c>
      <c r="AO13" s="265"/>
      <c r="AP13" s="264">
        <f>AA13*(1+ '6. PEF1. PLAN COMERCIAL'!$F$28)</f>
        <v>13224.999999999998</v>
      </c>
      <c r="AQ13" s="265"/>
      <c r="AR13" s="264">
        <f>AC13*(1+ '6. PEF1. PLAN COMERCIAL'!$F$28)</f>
        <v>10580</v>
      </c>
      <c r="AS13" s="265"/>
      <c r="AU13" s="273" t="s">
        <v>359</v>
      </c>
      <c r="AV13" s="274"/>
      <c r="AW13" s="261">
        <f t="shared" ref="AW13:AW20" si="0">SUM(D13:O13)+SUM(D23:O23)</f>
        <v>126000</v>
      </c>
      <c r="AX13" s="262"/>
      <c r="AY13" s="262"/>
      <c r="AZ13" s="263"/>
      <c r="BA13" s="261">
        <f>SUM(S13:AD13)+SUM(S23:AD23)</f>
        <v>144900</v>
      </c>
      <c r="BB13" s="262"/>
      <c r="BC13" s="262"/>
      <c r="BD13" s="263"/>
      <c r="BE13" s="261">
        <f t="shared" ref="BE13:BE18" si="1">SUM(AH13:AS13)+SUM(AH23:AS23)</f>
        <v>166635</v>
      </c>
      <c r="BF13" s="262"/>
      <c r="BG13" s="262"/>
      <c r="BH13" s="263"/>
    </row>
    <row r="14" spans="2:60">
      <c r="B14" s="271" t="s">
        <v>70</v>
      </c>
      <c r="C14" s="272"/>
      <c r="D14" s="267"/>
      <c r="E14" s="268"/>
      <c r="F14" s="267"/>
      <c r="G14" s="268"/>
      <c r="H14" s="267"/>
      <c r="I14" s="268"/>
      <c r="J14" s="267"/>
      <c r="K14" s="268"/>
      <c r="L14" s="267"/>
      <c r="M14" s="268"/>
      <c r="N14" s="267"/>
      <c r="O14" s="268"/>
      <c r="Q14" s="271" t="s">
        <v>70</v>
      </c>
      <c r="R14" s="272"/>
      <c r="S14" s="264">
        <f>S13*D14/D13</f>
        <v>0</v>
      </c>
      <c r="T14" s="265"/>
      <c r="U14" s="264">
        <f>U13*F14/F13</f>
        <v>0</v>
      </c>
      <c r="V14" s="265"/>
      <c r="W14" s="264">
        <f>W13*H14/H13</f>
        <v>0</v>
      </c>
      <c r="X14" s="265"/>
      <c r="Y14" s="264">
        <f>Y13*J14/J13</f>
        <v>0</v>
      </c>
      <c r="Z14" s="265"/>
      <c r="AA14" s="264">
        <f>AA13*L14/L13</f>
        <v>0</v>
      </c>
      <c r="AB14" s="265"/>
      <c r="AC14" s="264">
        <f>AC13*N14/N13</f>
        <v>0</v>
      </c>
      <c r="AD14" s="265"/>
      <c r="AF14" s="271" t="s">
        <v>70</v>
      </c>
      <c r="AG14" s="272"/>
      <c r="AH14" s="264">
        <f>AH13*S14/S13</f>
        <v>0</v>
      </c>
      <c r="AI14" s="265"/>
      <c r="AJ14" s="264">
        <f>AJ13*U14/U13</f>
        <v>0</v>
      </c>
      <c r="AK14" s="265"/>
      <c r="AL14" s="264">
        <f>AL13*W14/W13</f>
        <v>0</v>
      </c>
      <c r="AM14" s="265"/>
      <c r="AN14" s="264">
        <f>AN13*Y14/Y13</f>
        <v>0</v>
      </c>
      <c r="AO14" s="265"/>
      <c r="AP14" s="264">
        <f>AP13*AA14/AA13</f>
        <v>0</v>
      </c>
      <c r="AQ14" s="265"/>
      <c r="AR14" s="264">
        <f>AR13*AC14/AC13</f>
        <v>0</v>
      </c>
      <c r="AS14" s="265"/>
      <c r="AU14" s="271" t="s">
        <v>70</v>
      </c>
      <c r="AV14" s="272"/>
      <c r="AW14" s="261">
        <f t="shared" si="0"/>
        <v>0</v>
      </c>
      <c r="AX14" s="262"/>
      <c r="AY14" s="262"/>
      <c r="AZ14" s="263"/>
      <c r="BA14" s="261">
        <f t="shared" ref="BA14:BA19" si="2">SUM(S14:AD14)+SUM(S24:AD24)</f>
        <v>0</v>
      </c>
      <c r="BB14" s="262"/>
      <c r="BC14" s="262"/>
      <c r="BD14" s="263"/>
      <c r="BE14" s="261">
        <f t="shared" si="1"/>
        <v>0</v>
      </c>
      <c r="BF14" s="262"/>
      <c r="BG14" s="262"/>
      <c r="BH14" s="263"/>
    </row>
    <row r="15" spans="2:60">
      <c r="B15" s="139" t="s">
        <v>232</v>
      </c>
      <c r="C15" s="140">
        <f>$J$10</f>
        <v>0.04</v>
      </c>
      <c r="D15" s="266">
        <f>D14*$J$10</f>
        <v>0</v>
      </c>
      <c r="E15" s="266"/>
      <c r="F15" s="266">
        <f>F14*$J$10</f>
        <v>0</v>
      </c>
      <c r="G15" s="266"/>
      <c r="H15" s="266">
        <f>H14*$J$10</f>
        <v>0</v>
      </c>
      <c r="I15" s="266"/>
      <c r="J15" s="266">
        <f>J14*$J$10</f>
        <v>0</v>
      </c>
      <c r="K15" s="266"/>
      <c r="L15" s="266">
        <f>L14*$J$10</f>
        <v>0</v>
      </c>
      <c r="M15" s="266"/>
      <c r="N15" s="266">
        <f>N14*$J$10</f>
        <v>0</v>
      </c>
      <c r="O15" s="266"/>
      <c r="Q15" s="139" t="s">
        <v>232</v>
      </c>
      <c r="R15" s="140">
        <f>$J$10</f>
        <v>0.04</v>
      </c>
      <c r="S15" s="266">
        <f>S14*$J$10</f>
        <v>0</v>
      </c>
      <c r="T15" s="266"/>
      <c r="U15" s="266">
        <f>U14*$J$10</f>
        <v>0</v>
      </c>
      <c r="V15" s="266"/>
      <c r="W15" s="266">
        <f>W14*$J$10</f>
        <v>0</v>
      </c>
      <c r="X15" s="266"/>
      <c r="Y15" s="266">
        <f>Y14*$J$10</f>
        <v>0</v>
      </c>
      <c r="Z15" s="266"/>
      <c r="AA15" s="266">
        <f>AA14*$J$10</f>
        <v>0</v>
      </c>
      <c r="AB15" s="266"/>
      <c r="AC15" s="266">
        <f>AC14*$J$10</f>
        <v>0</v>
      </c>
      <c r="AD15" s="266"/>
      <c r="AF15" s="139" t="s">
        <v>232</v>
      </c>
      <c r="AG15" s="140">
        <f>$J$10</f>
        <v>0.04</v>
      </c>
      <c r="AH15" s="266">
        <f>AH14*$J$10</f>
        <v>0</v>
      </c>
      <c r="AI15" s="266"/>
      <c r="AJ15" s="266">
        <f>AJ14*$J$10</f>
        <v>0</v>
      </c>
      <c r="AK15" s="266"/>
      <c r="AL15" s="266">
        <f>AL14*$J$10</f>
        <v>0</v>
      </c>
      <c r="AM15" s="266"/>
      <c r="AN15" s="266">
        <f>AN14*$J$10</f>
        <v>0</v>
      </c>
      <c r="AO15" s="266"/>
      <c r="AP15" s="266">
        <f>AP14*$J$10</f>
        <v>0</v>
      </c>
      <c r="AQ15" s="266"/>
      <c r="AR15" s="266">
        <f>AR14*$J$10</f>
        <v>0</v>
      </c>
      <c r="AS15" s="266"/>
      <c r="AU15" s="139" t="s">
        <v>232</v>
      </c>
      <c r="AV15" s="140">
        <f>$J$10</f>
        <v>0.04</v>
      </c>
      <c r="AW15" s="261">
        <f t="shared" si="0"/>
        <v>0</v>
      </c>
      <c r="AX15" s="262"/>
      <c r="AY15" s="262"/>
      <c r="AZ15" s="263"/>
      <c r="BA15" s="261">
        <f t="shared" si="2"/>
        <v>0</v>
      </c>
      <c r="BB15" s="262"/>
      <c r="BC15" s="262"/>
      <c r="BD15" s="263"/>
      <c r="BE15" s="261">
        <f t="shared" si="1"/>
        <v>0</v>
      </c>
      <c r="BF15" s="262"/>
      <c r="BG15" s="262"/>
      <c r="BH15" s="263"/>
    </row>
    <row r="16" spans="2:60">
      <c r="B16" s="269" t="s">
        <v>70</v>
      </c>
      <c r="C16" s="270"/>
      <c r="D16" s="267"/>
      <c r="E16" s="268"/>
      <c r="F16" s="267"/>
      <c r="G16" s="268"/>
      <c r="H16" s="267"/>
      <c r="I16" s="268"/>
      <c r="J16" s="267"/>
      <c r="K16" s="268"/>
      <c r="L16" s="267"/>
      <c r="M16" s="268"/>
      <c r="N16" s="267"/>
      <c r="O16" s="268"/>
      <c r="Q16" s="269" t="s">
        <v>70</v>
      </c>
      <c r="R16" s="270"/>
      <c r="S16" s="264">
        <f>S13*D16/D13</f>
        <v>0</v>
      </c>
      <c r="T16" s="265"/>
      <c r="U16" s="264">
        <f>U13*F16/F13</f>
        <v>0</v>
      </c>
      <c r="V16" s="265"/>
      <c r="W16" s="264">
        <f>W13*H16/H13</f>
        <v>0</v>
      </c>
      <c r="X16" s="265"/>
      <c r="Y16" s="264">
        <f>Y13*J16/J13</f>
        <v>0</v>
      </c>
      <c r="Z16" s="265"/>
      <c r="AA16" s="264">
        <f>AA13*L16/L13</f>
        <v>0</v>
      </c>
      <c r="AB16" s="265"/>
      <c r="AC16" s="264">
        <f>AC13*N16/N13</f>
        <v>0</v>
      </c>
      <c r="AD16" s="265"/>
      <c r="AF16" s="269" t="s">
        <v>70</v>
      </c>
      <c r="AG16" s="270"/>
      <c r="AH16" s="264">
        <f>AH13*S16/S13</f>
        <v>0</v>
      </c>
      <c r="AI16" s="265"/>
      <c r="AJ16" s="264">
        <f>AJ13*U16/U13</f>
        <v>0</v>
      </c>
      <c r="AK16" s="265"/>
      <c r="AL16" s="264">
        <f>AL13*W16/W13</f>
        <v>0</v>
      </c>
      <c r="AM16" s="265"/>
      <c r="AN16" s="264">
        <f>AN13*Y16/Y13</f>
        <v>0</v>
      </c>
      <c r="AO16" s="265"/>
      <c r="AP16" s="264">
        <f>AP13*AA16/AA13</f>
        <v>0</v>
      </c>
      <c r="AQ16" s="265"/>
      <c r="AR16" s="264">
        <f>AR13*AC16/AC13</f>
        <v>0</v>
      </c>
      <c r="AS16" s="265"/>
      <c r="AU16" s="269" t="s">
        <v>70</v>
      </c>
      <c r="AV16" s="270"/>
      <c r="AW16" s="261">
        <f t="shared" si="0"/>
        <v>0</v>
      </c>
      <c r="AX16" s="262"/>
      <c r="AY16" s="262"/>
      <c r="AZ16" s="263"/>
      <c r="BA16" s="261">
        <f t="shared" si="2"/>
        <v>0</v>
      </c>
      <c r="BB16" s="262"/>
      <c r="BC16" s="262"/>
      <c r="BD16" s="263"/>
      <c r="BE16" s="261">
        <f t="shared" si="1"/>
        <v>0</v>
      </c>
      <c r="BF16" s="262"/>
      <c r="BG16" s="262"/>
      <c r="BH16" s="263"/>
    </row>
    <row r="17" spans="2:60">
      <c r="B17" s="141" t="s">
        <v>232</v>
      </c>
      <c r="C17" s="142">
        <f>$L$10</f>
        <v>0.1</v>
      </c>
      <c r="D17" s="266">
        <f>D16*$L$10</f>
        <v>0</v>
      </c>
      <c r="E17" s="266"/>
      <c r="F17" s="266">
        <f>F16*$L$10</f>
        <v>0</v>
      </c>
      <c r="G17" s="266"/>
      <c r="H17" s="266">
        <f>H16*$L$10</f>
        <v>0</v>
      </c>
      <c r="I17" s="266"/>
      <c r="J17" s="266">
        <f>J16*$L$10</f>
        <v>0</v>
      </c>
      <c r="K17" s="266"/>
      <c r="L17" s="266">
        <f>L16*$L$10</f>
        <v>0</v>
      </c>
      <c r="M17" s="266"/>
      <c r="N17" s="266">
        <f>N16*$L$10</f>
        <v>0</v>
      </c>
      <c r="O17" s="266"/>
      <c r="Q17" s="141" t="s">
        <v>232</v>
      </c>
      <c r="R17" s="142">
        <f>$L$10</f>
        <v>0.1</v>
      </c>
      <c r="S17" s="266">
        <f>S16*$L$10</f>
        <v>0</v>
      </c>
      <c r="T17" s="266"/>
      <c r="U17" s="266">
        <f>U16*$L$10</f>
        <v>0</v>
      </c>
      <c r="V17" s="266"/>
      <c r="W17" s="266">
        <f>W16*$L$10</f>
        <v>0</v>
      </c>
      <c r="X17" s="266"/>
      <c r="Y17" s="266">
        <f>Y16*$L$10</f>
        <v>0</v>
      </c>
      <c r="Z17" s="266"/>
      <c r="AA17" s="266">
        <f>AA16*$L$10</f>
        <v>0</v>
      </c>
      <c r="AB17" s="266"/>
      <c r="AC17" s="266">
        <f>AC16*$L$10</f>
        <v>0</v>
      </c>
      <c r="AD17" s="266"/>
      <c r="AF17" s="141" t="s">
        <v>232</v>
      </c>
      <c r="AG17" s="142">
        <f>$L$10</f>
        <v>0.1</v>
      </c>
      <c r="AH17" s="266">
        <f>AH16*$L$10</f>
        <v>0</v>
      </c>
      <c r="AI17" s="266"/>
      <c r="AJ17" s="266">
        <f>AJ16*$L$10</f>
        <v>0</v>
      </c>
      <c r="AK17" s="266"/>
      <c r="AL17" s="266">
        <f>AL16*$L$10</f>
        <v>0</v>
      </c>
      <c r="AM17" s="266"/>
      <c r="AN17" s="266">
        <f>AN16*$L$10</f>
        <v>0</v>
      </c>
      <c r="AO17" s="266"/>
      <c r="AP17" s="266">
        <f>AP16*$L$10</f>
        <v>0</v>
      </c>
      <c r="AQ17" s="266"/>
      <c r="AR17" s="266">
        <f>AR16*$L$10</f>
        <v>0</v>
      </c>
      <c r="AS17" s="266"/>
      <c r="AU17" s="141" t="s">
        <v>232</v>
      </c>
      <c r="AV17" s="142">
        <f>$L$10</f>
        <v>0.1</v>
      </c>
      <c r="AW17" s="261">
        <f t="shared" si="0"/>
        <v>0</v>
      </c>
      <c r="AX17" s="262"/>
      <c r="AY17" s="262"/>
      <c r="AZ17" s="263"/>
      <c r="BA17" s="261">
        <f t="shared" si="2"/>
        <v>0</v>
      </c>
      <c r="BB17" s="262"/>
      <c r="BC17" s="262"/>
      <c r="BD17" s="263"/>
      <c r="BE17" s="261">
        <f t="shared" si="1"/>
        <v>0</v>
      </c>
      <c r="BF17" s="262"/>
      <c r="BG17" s="262"/>
      <c r="BH17" s="263"/>
    </row>
    <row r="18" spans="2:60">
      <c r="B18" s="277" t="s">
        <v>70</v>
      </c>
      <c r="C18" s="278"/>
      <c r="D18" s="267">
        <v>25000</v>
      </c>
      <c r="E18" s="268"/>
      <c r="F18" s="267">
        <v>15000</v>
      </c>
      <c r="G18" s="268"/>
      <c r="H18" s="267">
        <v>12000</v>
      </c>
      <c r="I18" s="268"/>
      <c r="J18" s="267">
        <v>10000</v>
      </c>
      <c r="K18" s="268"/>
      <c r="L18" s="267">
        <v>10000</v>
      </c>
      <c r="M18" s="268"/>
      <c r="N18" s="267">
        <v>8000</v>
      </c>
      <c r="O18" s="268"/>
      <c r="Q18" s="277" t="s">
        <v>70</v>
      </c>
      <c r="R18" s="278"/>
      <c r="S18" s="264">
        <f>S13*D18/D13</f>
        <v>28749.999999999996</v>
      </c>
      <c r="T18" s="265"/>
      <c r="U18" s="264">
        <f>U13*F18/F13</f>
        <v>17250</v>
      </c>
      <c r="V18" s="265"/>
      <c r="W18" s="264">
        <f>W13*H18/H13</f>
        <v>13799.999999999998</v>
      </c>
      <c r="X18" s="265"/>
      <c r="Y18" s="264">
        <f>Y13*J18/J13</f>
        <v>11500</v>
      </c>
      <c r="Z18" s="265"/>
      <c r="AA18" s="264">
        <f>AA13*L18/L13</f>
        <v>11500</v>
      </c>
      <c r="AB18" s="265"/>
      <c r="AC18" s="264">
        <f>AC13*N18/N13</f>
        <v>9200</v>
      </c>
      <c r="AD18" s="265"/>
      <c r="AF18" s="277" t="s">
        <v>70</v>
      </c>
      <c r="AG18" s="278"/>
      <c r="AH18" s="264">
        <f>AH13*S18/S13</f>
        <v>33062.499999999993</v>
      </c>
      <c r="AI18" s="265"/>
      <c r="AJ18" s="264">
        <f>AJ13*U18/U13</f>
        <v>19837.5</v>
      </c>
      <c r="AK18" s="265"/>
      <c r="AL18" s="264">
        <f>AL13*W18/W13</f>
        <v>15869.999999999996</v>
      </c>
      <c r="AM18" s="265"/>
      <c r="AN18" s="264">
        <f>AN13*Y18/Y13</f>
        <v>13224.999999999998</v>
      </c>
      <c r="AO18" s="265"/>
      <c r="AP18" s="264">
        <f>AP13*AA18/AA13</f>
        <v>13224.999999999998</v>
      </c>
      <c r="AQ18" s="265"/>
      <c r="AR18" s="264">
        <f>AR13*AC18/AC13</f>
        <v>10580</v>
      </c>
      <c r="AS18" s="265"/>
      <c r="AU18" s="277" t="s">
        <v>70</v>
      </c>
      <c r="AV18" s="278"/>
      <c r="AW18" s="261">
        <f t="shared" si="0"/>
        <v>126000</v>
      </c>
      <c r="AX18" s="262"/>
      <c r="AY18" s="262"/>
      <c r="AZ18" s="263"/>
      <c r="BA18" s="261">
        <f t="shared" si="2"/>
        <v>144900</v>
      </c>
      <c r="BB18" s="262"/>
      <c r="BC18" s="262"/>
      <c r="BD18" s="263"/>
      <c r="BE18" s="261">
        <f t="shared" si="1"/>
        <v>166635</v>
      </c>
      <c r="BF18" s="262"/>
      <c r="BG18" s="262"/>
      <c r="BH18" s="263"/>
    </row>
    <row r="19" spans="2:60">
      <c r="B19" s="143" t="s">
        <v>232</v>
      </c>
      <c r="C19" s="144">
        <f>$N$10</f>
        <v>0.21</v>
      </c>
      <c r="D19" s="266">
        <f>D18*$N$10</f>
        <v>5250</v>
      </c>
      <c r="E19" s="266"/>
      <c r="F19" s="266">
        <f>F18*$N$10</f>
        <v>3150</v>
      </c>
      <c r="G19" s="266"/>
      <c r="H19" s="266">
        <f>H18*$N$10</f>
        <v>2520</v>
      </c>
      <c r="I19" s="266"/>
      <c r="J19" s="266">
        <f>J18*$N$10</f>
        <v>2100</v>
      </c>
      <c r="K19" s="266"/>
      <c r="L19" s="266">
        <f>L18*$N$10</f>
        <v>2100</v>
      </c>
      <c r="M19" s="266"/>
      <c r="N19" s="266">
        <f>N18*$N$10</f>
        <v>1680</v>
      </c>
      <c r="O19" s="266"/>
      <c r="Q19" s="143" t="s">
        <v>232</v>
      </c>
      <c r="R19" s="144">
        <f>$N$10</f>
        <v>0.21</v>
      </c>
      <c r="S19" s="266">
        <f>S18*$N$10</f>
        <v>6037.4999999999991</v>
      </c>
      <c r="T19" s="266"/>
      <c r="U19" s="266">
        <f>U18*$N$10</f>
        <v>3622.5</v>
      </c>
      <c r="V19" s="266"/>
      <c r="W19" s="266">
        <f>W18*$N$10</f>
        <v>2897.9999999999995</v>
      </c>
      <c r="X19" s="266"/>
      <c r="Y19" s="266">
        <f>Y18*$N$10</f>
        <v>2415</v>
      </c>
      <c r="Z19" s="266"/>
      <c r="AA19" s="266">
        <f>AA18*$N$10</f>
        <v>2415</v>
      </c>
      <c r="AB19" s="266"/>
      <c r="AC19" s="266">
        <f>AC18*$N$10</f>
        <v>1932</v>
      </c>
      <c r="AD19" s="266"/>
      <c r="AF19" s="143" t="s">
        <v>232</v>
      </c>
      <c r="AG19" s="144">
        <f>$N$10</f>
        <v>0.21</v>
      </c>
      <c r="AH19" s="266">
        <f>AH18*$N$10</f>
        <v>6943.1249999999982</v>
      </c>
      <c r="AI19" s="266"/>
      <c r="AJ19" s="266">
        <f>AJ18*$N$10</f>
        <v>4165.875</v>
      </c>
      <c r="AK19" s="266"/>
      <c r="AL19" s="266">
        <f>AL18*$N$10</f>
        <v>3332.6999999999989</v>
      </c>
      <c r="AM19" s="266"/>
      <c r="AN19" s="266">
        <f>AN18*$N$10</f>
        <v>2777.2499999999995</v>
      </c>
      <c r="AO19" s="266"/>
      <c r="AP19" s="266">
        <f>AP18*$N$10</f>
        <v>2777.2499999999995</v>
      </c>
      <c r="AQ19" s="266"/>
      <c r="AR19" s="266">
        <f>AR18*$N$10</f>
        <v>2221.7999999999997</v>
      </c>
      <c r="AS19" s="266"/>
      <c r="AU19" s="143" t="s">
        <v>232</v>
      </c>
      <c r="AV19" s="144">
        <f>$N$10</f>
        <v>0.21</v>
      </c>
      <c r="AW19" s="261">
        <f t="shared" si="0"/>
        <v>26460</v>
      </c>
      <c r="AX19" s="262"/>
      <c r="AY19" s="262"/>
      <c r="AZ19" s="263"/>
      <c r="BA19" s="261">
        <f t="shared" si="2"/>
        <v>30429</v>
      </c>
      <c r="BB19" s="262"/>
      <c r="BC19" s="262"/>
      <c r="BD19" s="263"/>
      <c r="BE19" s="261">
        <f>BE18*$N$10</f>
        <v>34993.35</v>
      </c>
      <c r="BF19" s="262"/>
      <c r="BG19" s="262"/>
      <c r="BH19" s="263"/>
    </row>
    <row r="20" spans="2:60">
      <c r="B20" s="145" t="s">
        <v>360</v>
      </c>
      <c r="C20" s="37"/>
      <c r="D20" s="266">
        <f>IF(D14+D16+D18=D13,D15+D17+D19,"Comprobar")</f>
        <v>5250</v>
      </c>
      <c r="E20" s="266"/>
      <c r="F20" s="266">
        <f>IF(F14+F16+F18=F13,F15+F17+F19,"Comprobar")</f>
        <v>3150</v>
      </c>
      <c r="G20" s="266"/>
      <c r="H20" s="266">
        <f>IF(H14+H16+H18=H13,H15+H17+H19,"Comprobar")</f>
        <v>2520</v>
      </c>
      <c r="I20" s="266"/>
      <c r="J20" s="266">
        <f>IF(J14+J16+J18=J13,J15+J17+J19,"Comprobar")</f>
        <v>2100</v>
      </c>
      <c r="K20" s="266"/>
      <c r="L20" s="266">
        <f>IF(L14+L16+L18=L13,L15+L17+L19,"Comprobar")</f>
        <v>2100</v>
      </c>
      <c r="M20" s="266"/>
      <c r="N20" s="266">
        <f>IF(N14+N16+N18=N13,N15+N17+N19,"Comprobar")</f>
        <v>1680</v>
      </c>
      <c r="O20" s="266"/>
      <c r="Q20" s="145" t="s">
        <v>360</v>
      </c>
      <c r="R20" s="37"/>
      <c r="S20" s="266">
        <f>IF(S14+S16+S18=S13,S15+S17+S19,"Comprobar")</f>
        <v>6037.4999999999991</v>
      </c>
      <c r="T20" s="266"/>
      <c r="U20" s="266">
        <f>IF(U14+U16+U18=U13,U15+U17+U19,"Comprobar")</f>
        <v>3622.5</v>
      </c>
      <c r="V20" s="266"/>
      <c r="W20" s="266">
        <f>IF(W14+W16+W18=W13,W15+W17+W19,"Comprobar")</f>
        <v>2897.9999999999995</v>
      </c>
      <c r="X20" s="266"/>
      <c r="Y20" s="266">
        <f>IF(Y14+Y16+Y18=Y13,Y15+Y17+Y19,"Comprobar")</f>
        <v>2415</v>
      </c>
      <c r="Z20" s="266"/>
      <c r="AA20" s="266">
        <f>IF(AA14+AA16+AA18=AA13,AA15+AA17+AA19,"Comprobar")</f>
        <v>2415</v>
      </c>
      <c r="AB20" s="266"/>
      <c r="AC20" s="266">
        <f>IF(AC14+AC16+AC18=AC13,AC15+AC17+AC19,"Comprobar")</f>
        <v>1932</v>
      </c>
      <c r="AD20" s="266"/>
      <c r="AF20" s="145" t="s">
        <v>360</v>
      </c>
      <c r="AG20" s="37"/>
      <c r="AH20" s="266">
        <f>IF(AH14+AH16+AH18=AH13,AH15+AH17+AH19,"Comprobar")</f>
        <v>6943.1249999999982</v>
      </c>
      <c r="AI20" s="266"/>
      <c r="AJ20" s="266">
        <f>IF(AJ14+AJ16+AJ18=AJ13,AJ15+AJ17+AJ19,"Comprobar")</f>
        <v>4165.875</v>
      </c>
      <c r="AK20" s="266"/>
      <c r="AL20" s="266">
        <f>IF(AL14+AL16+AL18=AL13,AL15+AL17+AL19,"Comprobar")</f>
        <v>3332.6999999999989</v>
      </c>
      <c r="AM20" s="266"/>
      <c r="AN20" s="266">
        <f>IF(AN14+AN16+AN18=AN13,AN15+AN17+AN19,"Comprobar")</f>
        <v>2777.2499999999995</v>
      </c>
      <c r="AO20" s="266"/>
      <c r="AP20" s="266">
        <f>IF(AP14+AP16+AP18=AP13,AP15+AP17+AP19,"Comprobar")</f>
        <v>2777.2499999999995</v>
      </c>
      <c r="AQ20" s="266"/>
      <c r="AR20" s="266">
        <f>IF(AR14+AR16+AR18=AR13,AR15+AR17+AR19,"Comprobar")</f>
        <v>2221.7999999999997</v>
      </c>
      <c r="AS20" s="266"/>
      <c r="AU20" s="273" t="s">
        <v>360</v>
      </c>
      <c r="AV20" s="274"/>
      <c r="AW20" s="283">
        <f t="shared" si="0"/>
        <v>26460</v>
      </c>
      <c r="AX20" s="284"/>
      <c r="AY20" s="284"/>
      <c r="AZ20" s="285"/>
      <c r="BA20" s="283">
        <f>BA15+BA17+BA19</f>
        <v>30429</v>
      </c>
      <c r="BB20" s="284"/>
      <c r="BC20" s="284"/>
      <c r="BD20" s="285"/>
      <c r="BE20" s="283">
        <f>BE15+BE17+BE19</f>
        <v>34993.35</v>
      </c>
      <c r="BF20" s="284"/>
      <c r="BG20" s="284"/>
      <c r="BH20" s="285"/>
    </row>
    <row r="22" spans="2:60">
      <c r="B22" s="273" t="s">
        <v>69</v>
      </c>
      <c r="C22" s="273"/>
      <c r="D22" s="234">
        <v>7</v>
      </c>
      <c r="E22" s="234"/>
      <c r="F22" s="234">
        <v>8</v>
      </c>
      <c r="G22" s="234"/>
      <c r="H22" s="234">
        <v>9</v>
      </c>
      <c r="I22" s="234"/>
      <c r="J22" s="234">
        <v>10</v>
      </c>
      <c r="K22" s="234"/>
      <c r="L22" s="234">
        <v>11</v>
      </c>
      <c r="M22" s="234"/>
      <c r="N22" s="234">
        <v>12</v>
      </c>
      <c r="O22" s="234"/>
      <c r="Q22" s="273" t="s">
        <v>69</v>
      </c>
      <c r="R22" s="273"/>
      <c r="S22" s="234">
        <v>7</v>
      </c>
      <c r="T22" s="234"/>
      <c r="U22" s="234">
        <v>8</v>
      </c>
      <c r="V22" s="234"/>
      <c r="W22" s="234">
        <v>9</v>
      </c>
      <c r="X22" s="234"/>
      <c r="Y22" s="234">
        <v>10</v>
      </c>
      <c r="Z22" s="234"/>
      <c r="AA22" s="234">
        <v>11</v>
      </c>
      <c r="AB22" s="234"/>
      <c r="AC22" s="234">
        <v>12</v>
      </c>
      <c r="AD22" s="234"/>
      <c r="AF22" s="273" t="s">
        <v>69</v>
      </c>
      <c r="AG22" s="273"/>
      <c r="AH22" s="234">
        <v>7</v>
      </c>
      <c r="AI22" s="234"/>
      <c r="AJ22" s="234">
        <v>8</v>
      </c>
      <c r="AK22" s="234"/>
      <c r="AL22" s="234">
        <v>9</v>
      </c>
      <c r="AM22" s="234"/>
      <c r="AN22" s="234">
        <v>10</v>
      </c>
      <c r="AO22" s="234"/>
      <c r="AP22" s="234">
        <v>11</v>
      </c>
      <c r="AQ22" s="234"/>
      <c r="AR22" s="234">
        <v>12</v>
      </c>
      <c r="AS22" s="234"/>
      <c r="AU22" s="273" t="s">
        <v>222</v>
      </c>
      <c r="AV22" s="274"/>
      <c r="AW22" s="279">
        <f>SUM(D35:O35)+SUM(D46:O46)</f>
        <v>2900</v>
      </c>
      <c r="AX22" s="280"/>
      <c r="AY22" s="280"/>
      <c r="AZ22" s="281"/>
      <c r="BA22" s="261">
        <f>SUM(S35:AD35)+SUM(S46:AD46)</f>
        <v>3045</v>
      </c>
      <c r="BB22" s="262"/>
      <c r="BC22" s="262"/>
      <c r="BD22" s="263"/>
      <c r="BE22" s="261">
        <f t="shared" ref="BE22:BE30" si="3">SUM(AH35:AS35)+SUM(AH46:AS46)</f>
        <v>3197.25</v>
      </c>
      <c r="BF22" s="262"/>
      <c r="BG22" s="262"/>
      <c r="BH22" s="263"/>
    </row>
    <row r="23" spans="2:60">
      <c r="B23" s="273" t="s">
        <v>358</v>
      </c>
      <c r="C23" s="273"/>
      <c r="D23" s="264">
        <f>'2. P. MARKETING'!BO29</f>
        <v>6000</v>
      </c>
      <c r="E23" s="265"/>
      <c r="F23" s="264">
        <f>'2. P. MARKETING'!BQ29</f>
        <v>6000</v>
      </c>
      <c r="G23" s="265"/>
      <c r="H23" s="264">
        <f>'2. P. MARKETING'!BS29</f>
        <v>15000</v>
      </c>
      <c r="I23" s="265"/>
      <c r="J23" s="264">
        <f>'2. P. MARKETING'!BU29</f>
        <v>7500</v>
      </c>
      <c r="K23" s="265"/>
      <c r="L23" s="264">
        <f>'2. P. MARKETING'!BW29</f>
        <v>5000</v>
      </c>
      <c r="M23" s="265"/>
      <c r="N23" s="264">
        <f>'2. P. MARKETING'!BY29</f>
        <v>6500</v>
      </c>
      <c r="O23" s="265"/>
      <c r="Q23" s="273" t="s">
        <v>358</v>
      </c>
      <c r="R23" s="273"/>
      <c r="S23" s="264">
        <f>D23*(1+ '6. PEF1. PLAN COMERCIAL'!$F$28)</f>
        <v>6899.9999999999991</v>
      </c>
      <c r="T23" s="265"/>
      <c r="U23" s="264">
        <f>F23*(1+ '6. PEF1. PLAN COMERCIAL'!$F$28)</f>
        <v>6899.9999999999991</v>
      </c>
      <c r="V23" s="265"/>
      <c r="W23" s="264">
        <f>H23*(1+ '6. PEF1. PLAN COMERCIAL'!$F$28)</f>
        <v>17250</v>
      </c>
      <c r="X23" s="265"/>
      <c r="Y23" s="264">
        <f>J23*(1+ '6. PEF1. PLAN COMERCIAL'!$F$28)</f>
        <v>8625</v>
      </c>
      <c r="Z23" s="265"/>
      <c r="AA23" s="264">
        <f>L23*(1+ '6. PEF1. PLAN COMERCIAL'!$F$28)</f>
        <v>5750</v>
      </c>
      <c r="AB23" s="265"/>
      <c r="AC23" s="264">
        <f>N23*(1+ '6. PEF1. PLAN COMERCIAL'!$F$28)</f>
        <v>7474.9999999999991</v>
      </c>
      <c r="AD23" s="265"/>
      <c r="AF23" s="273" t="s">
        <v>358</v>
      </c>
      <c r="AG23" s="273"/>
      <c r="AH23" s="264">
        <f>S23*(1+ '6. PEF1. PLAN COMERCIAL'!$F$28)</f>
        <v>7934.9999999999982</v>
      </c>
      <c r="AI23" s="265"/>
      <c r="AJ23" s="264">
        <f>U23*(1+ '6. PEF1. PLAN COMERCIAL'!$F$28)</f>
        <v>7934.9999999999982</v>
      </c>
      <c r="AK23" s="265"/>
      <c r="AL23" s="264">
        <f>W23*(1+ '6. PEF1. PLAN COMERCIAL'!$F$28)</f>
        <v>19837.5</v>
      </c>
      <c r="AM23" s="265"/>
      <c r="AN23" s="264">
        <f>Y23*(1+ '6. PEF1. PLAN COMERCIAL'!$F$28)</f>
        <v>9918.75</v>
      </c>
      <c r="AO23" s="265"/>
      <c r="AP23" s="264">
        <f>AA23*(1+ '6. PEF1. PLAN COMERCIAL'!$F$28)</f>
        <v>6612.4999999999991</v>
      </c>
      <c r="AQ23" s="265"/>
      <c r="AR23" s="264">
        <f>AC23*(1+ '6. PEF1. PLAN COMERCIAL'!$F$28)</f>
        <v>8596.2499999999982</v>
      </c>
      <c r="AS23" s="265"/>
      <c r="AU23" s="137" t="s">
        <v>361</v>
      </c>
      <c r="AV23" s="138"/>
      <c r="AW23" s="279">
        <f>'6. PEF5. VENTAS Y COSTES'!F16+'6. PEF5. VENTAS Y COSTES'!F21+'6. PEF5. VENTAS Y COSTES'!F22+'6. PEF5. VENTAS Y COSTES'!F23+'6. PEF5. VENTAS Y COSTES'!F24+'6. PEF5. VENTAS Y COSTES'!F25+'6. PEF5. VENTAS Y COSTES'!F26+'6. PEF5. VENTAS Y COSTES'!F27+'6. PEF5. VENTAS Y COSTES'!F31</f>
        <v>27272</v>
      </c>
      <c r="AX23" s="280"/>
      <c r="AY23" s="280"/>
      <c r="AZ23" s="281"/>
      <c r="BA23" s="261">
        <f>SUM(S36:AD36)+SUM(S47:AD47)</f>
        <v>28635.642</v>
      </c>
      <c r="BB23" s="262"/>
      <c r="BC23" s="262"/>
      <c r="BD23" s="263"/>
      <c r="BE23" s="261">
        <f t="shared" si="3"/>
        <v>30067.4241</v>
      </c>
      <c r="BF23" s="262"/>
      <c r="BG23" s="262"/>
      <c r="BH23" s="263"/>
    </row>
    <row r="24" spans="2:60">
      <c r="B24" s="271" t="s">
        <v>70</v>
      </c>
      <c r="C24" s="272"/>
      <c r="D24" s="267"/>
      <c r="E24" s="268"/>
      <c r="F24" s="267"/>
      <c r="G24" s="268"/>
      <c r="H24" s="267"/>
      <c r="I24" s="268"/>
      <c r="J24" s="267"/>
      <c r="K24" s="268"/>
      <c r="L24" s="267"/>
      <c r="M24" s="268"/>
      <c r="N24" s="267"/>
      <c r="O24" s="268"/>
      <c r="Q24" s="271" t="s">
        <v>70</v>
      </c>
      <c r="R24" s="272"/>
      <c r="S24" s="264">
        <f>S23*D24/D23</f>
        <v>0</v>
      </c>
      <c r="T24" s="265"/>
      <c r="U24" s="264">
        <f>U23*F24/F23</f>
        <v>0</v>
      </c>
      <c r="V24" s="265"/>
      <c r="W24" s="264">
        <f>W23*H24/H23</f>
        <v>0</v>
      </c>
      <c r="X24" s="265"/>
      <c r="Y24" s="264">
        <f>Y23*J24/J23</f>
        <v>0</v>
      </c>
      <c r="Z24" s="265"/>
      <c r="AA24" s="264">
        <f>AA23*L24/L23</f>
        <v>0</v>
      </c>
      <c r="AB24" s="265"/>
      <c r="AC24" s="264">
        <f>AC23*N24/N23</f>
        <v>0</v>
      </c>
      <c r="AD24" s="265"/>
      <c r="AF24" s="271" t="s">
        <v>70</v>
      </c>
      <c r="AG24" s="272"/>
      <c r="AH24" s="264">
        <f>AH23*S24/S23</f>
        <v>0</v>
      </c>
      <c r="AI24" s="265"/>
      <c r="AJ24" s="264">
        <f>AJ23*U24/U23</f>
        <v>0</v>
      </c>
      <c r="AK24" s="265"/>
      <c r="AL24" s="264">
        <f>AL23*W24/W23</f>
        <v>0</v>
      </c>
      <c r="AM24" s="265"/>
      <c r="AN24" s="264">
        <f>AN23*Y24/Y23</f>
        <v>0</v>
      </c>
      <c r="AO24" s="265"/>
      <c r="AP24" s="264">
        <f>AP23*AA24/AA23</f>
        <v>0</v>
      </c>
      <c r="AQ24" s="265"/>
      <c r="AR24" s="264">
        <f>AR23*AC24/AC23</f>
        <v>0</v>
      </c>
      <c r="AS24" s="265"/>
      <c r="AU24" s="271" t="s">
        <v>362</v>
      </c>
      <c r="AV24" s="272"/>
      <c r="AW24" s="261">
        <f t="shared" ref="AW24:AW30" si="4">SUM(D37:O37)+SUM(D48:O48)</f>
        <v>0</v>
      </c>
      <c r="AX24" s="262"/>
      <c r="AY24" s="262"/>
      <c r="AZ24" s="263"/>
      <c r="BA24" s="261">
        <f t="shared" ref="BA24:BA29" si="5">SUM(S37:AD37)+SUM(S48:AD48)</f>
        <v>0</v>
      </c>
      <c r="BB24" s="262"/>
      <c r="BC24" s="262"/>
      <c r="BD24" s="263"/>
      <c r="BE24" s="261">
        <f t="shared" si="3"/>
        <v>0</v>
      </c>
      <c r="BF24" s="262"/>
      <c r="BG24" s="262"/>
      <c r="BH24" s="263"/>
    </row>
    <row r="25" spans="2:60">
      <c r="B25" s="139" t="s">
        <v>232</v>
      </c>
      <c r="C25" s="140">
        <f>$J$10</f>
        <v>0.04</v>
      </c>
      <c r="D25" s="266">
        <f>D24*$J$10</f>
        <v>0</v>
      </c>
      <c r="E25" s="266"/>
      <c r="F25" s="266">
        <f>F24*$J$10</f>
        <v>0</v>
      </c>
      <c r="G25" s="266"/>
      <c r="H25" s="266">
        <f>H24*$J$10</f>
        <v>0</v>
      </c>
      <c r="I25" s="266"/>
      <c r="J25" s="266">
        <f>J24*$J$10</f>
        <v>0</v>
      </c>
      <c r="K25" s="266"/>
      <c r="L25" s="266">
        <f>L24*$J$10</f>
        <v>0</v>
      </c>
      <c r="M25" s="266"/>
      <c r="N25" s="266">
        <f>N24*$J$10</f>
        <v>0</v>
      </c>
      <c r="O25" s="266"/>
      <c r="Q25" s="139" t="s">
        <v>232</v>
      </c>
      <c r="R25" s="140">
        <f>$J$10</f>
        <v>0.04</v>
      </c>
      <c r="S25" s="266">
        <f>S24*$J$10</f>
        <v>0</v>
      </c>
      <c r="T25" s="266"/>
      <c r="U25" s="266">
        <f>U24*$J$10</f>
        <v>0</v>
      </c>
      <c r="V25" s="266"/>
      <c r="W25" s="266">
        <f>W24*$J$10</f>
        <v>0</v>
      </c>
      <c r="X25" s="266"/>
      <c r="Y25" s="266">
        <f>Y24*$J$10</f>
        <v>0</v>
      </c>
      <c r="Z25" s="266"/>
      <c r="AA25" s="266">
        <f>AA24*$J$10</f>
        <v>0</v>
      </c>
      <c r="AB25" s="266"/>
      <c r="AC25" s="266">
        <f>AC24*$J$10</f>
        <v>0</v>
      </c>
      <c r="AD25" s="266"/>
      <c r="AF25" s="139" t="s">
        <v>232</v>
      </c>
      <c r="AG25" s="140">
        <f>$J$10</f>
        <v>0.04</v>
      </c>
      <c r="AH25" s="266">
        <f>AH24*$J$10</f>
        <v>0</v>
      </c>
      <c r="AI25" s="266"/>
      <c r="AJ25" s="266">
        <f>AJ24*$J$10</f>
        <v>0</v>
      </c>
      <c r="AK25" s="266"/>
      <c r="AL25" s="266">
        <f>AL24*$J$10</f>
        <v>0</v>
      </c>
      <c r="AM25" s="266"/>
      <c r="AN25" s="266">
        <f>AN24*$J$10</f>
        <v>0</v>
      </c>
      <c r="AO25" s="266"/>
      <c r="AP25" s="266">
        <f>AP24*$J$10</f>
        <v>0</v>
      </c>
      <c r="AQ25" s="266"/>
      <c r="AR25" s="266">
        <f>AR24*$J$10</f>
        <v>0</v>
      </c>
      <c r="AS25" s="266"/>
      <c r="AU25" s="139" t="s">
        <v>232</v>
      </c>
      <c r="AV25" s="140">
        <f>$J$10</f>
        <v>0.04</v>
      </c>
      <c r="AW25" s="261">
        <f t="shared" si="4"/>
        <v>0</v>
      </c>
      <c r="AX25" s="262"/>
      <c r="AY25" s="262"/>
      <c r="AZ25" s="263"/>
      <c r="BA25" s="261">
        <f t="shared" si="5"/>
        <v>0</v>
      </c>
      <c r="BB25" s="262"/>
      <c r="BC25" s="262"/>
      <c r="BD25" s="263"/>
      <c r="BE25" s="261">
        <f t="shared" si="3"/>
        <v>0</v>
      </c>
      <c r="BF25" s="262"/>
      <c r="BG25" s="262"/>
      <c r="BH25" s="263"/>
    </row>
    <row r="26" spans="2:60">
      <c r="B26" s="269" t="s">
        <v>363</v>
      </c>
      <c r="C26" s="270"/>
      <c r="D26" s="267"/>
      <c r="E26" s="268"/>
      <c r="F26" s="267"/>
      <c r="G26" s="268"/>
      <c r="H26" s="267"/>
      <c r="I26" s="268"/>
      <c r="J26" s="267"/>
      <c r="K26" s="268"/>
      <c r="L26" s="267"/>
      <c r="M26" s="268"/>
      <c r="N26" s="267"/>
      <c r="O26" s="268"/>
      <c r="Q26" s="269" t="s">
        <v>363</v>
      </c>
      <c r="R26" s="270"/>
      <c r="S26" s="264">
        <f>S23*D26/D23</f>
        <v>0</v>
      </c>
      <c r="T26" s="265"/>
      <c r="U26" s="264">
        <f>U23*F26/F23</f>
        <v>0</v>
      </c>
      <c r="V26" s="265"/>
      <c r="W26" s="264">
        <f>W23*H26/H23</f>
        <v>0</v>
      </c>
      <c r="X26" s="265"/>
      <c r="Y26" s="264">
        <f>Y23*J26/J23</f>
        <v>0</v>
      </c>
      <c r="Z26" s="265"/>
      <c r="AA26" s="264">
        <f>AA23*L26/L23</f>
        <v>0</v>
      </c>
      <c r="AB26" s="265"/>
      <c r="AC26" s="264">
        <f>AC23*N26/N23</f>
        <v>0</v>
      </c>
      <c r="AD26" s="265"/>
      <c r="AF26" s="269" t="s">
        <v>363</v>
      </c>
      <c r="AG26" s="270"/>
      <c r="AH26" s="264">
        <f>AH23*S26/S23</f>
        <v>0</v>
      </c>
      <c r="AI26" s="265"/>
      <c r="AJ26" s="264">
        <f>AJ23*U26/U23</f>
        <v>0</v>
      </c>
      <c r="AK26" s="265"/>
      <c r="AL26" s="264">
        <f>AL23*W26/W23</f>
        <v>0</v>
      </c>
      <c r="AM26" s="265"/>
      <c r="AN26" s="264">
        <f>AN23*Y26/Y23</f>
        <v>0</v>
      </c>
      <c r="AO26" s="265"/>
      <c r="AP26" s="264">
        <f>AP23*AA26/AA23</f>
        <v>0</v>
      </c>
      <c r="AQ26" s="265"/>
      <c r="AR26" s="264">
        <f>AR23*AC26/AC23</f>
        <v>0</v>
      </c>
      <c r="AS26" s="265"/>
      <c r="AU26" s="269" t="s">
        <v>362</v>
      </c>
      <c r="AV26" s="270"/>
      <c r="AW26" s="261">
        <f t="shared" si="4"/>
        <v>0</v>
      </c>
      <c r="AX26" s="262"/>
      <c r="AY26" s="262"/>
      <c r="AZ26" s="263"/>
      <c r="BA26" s="261">
        <f t="shared" si="5"/>
        <v>0</v>
      </c>
      <c r="BB26" s="262"/>
      <c r="BC26" s="262"/>
      <c r="BD26" s="263"/>
      <c r="BE26" s="261">
        <f t="shared" si="3"/>
        <v>0</v>
      </c>
      <c r="BF26" s="262"/>
      <c r="BG26" s="262"/>
      <c r="BH26" s="263"/>
    </row>
    <row r="27" spans="2:60">
      <c r="B27" s="141" t="s">
        <v>232</v>
      </c>
      <c r="C27" s="142">
        <f>$L$10</f>
        <v>0.1</v>
      </c>
      <c r="D27" s="266">
        <f>D26*$L$10</f>
        <v>0</v>
      </c>
      <c r="E27" s="266"/>
      <c r="F27" s="266">
        <f>F26*$L$10</f>
        <v>0</v>
      </c>
      <c r="G27" s="266"/>
      <c r="H27" s="266">
        <f>H26*$L$10</f>
        <v>0</v>
      </c>
      <c r="I27" s="266"/>
      <c r="J27" s="266">
        <f>J26*$L$10</f>
        <v>0</v>
      </c>
      <c r="K27" s="266"/>
      <c r="L27" s="266">
        <f>L26*$L$10</f>
        <v>0</v>
      </c>
      <c r="M27" s="266"/>
      <c r="N27" s="266">
        <f>N26*$L$10</f>
        <v>0</v>
      </c>
      <c r="O27" s="266"/>
      <c r="Q27" s="141" t="s">
        <v>232</v>
      </c>
      <c r="R27" s="142">
        <f>$L$10</f>
        <v>0.1</v>
      </c>
      <c r="S27" s="266">
        <f>S26*$L$10</f>
        <v>0</v>
      </c>
      <c r="T27" s="266"/>
      <c r="U27" s="266">
        <f>U26*$L$10</f>
        <v>0</v>
      </c>
      <c r="V27" s="266"/>
      <c r="W27" s="266">
        <f>W26*$L$10</f>
        <v>0</v>
      </c>
      <c r="X27" s="266"/>
      <c r="Y27" s="266">
        <f>Y26*$L$10</f>
        <v>0</v>
      </c>
      <c r="Z27" s="266"/>
      <c r="AA27" s="266">
        <f>AA26*$L$10</f>
        <v>0</v>
      </c>
      <c r="AB27" s="266"/>
      <c r="AC27" s="266">
        <f>AC26*$L$10</f>
        <v>0</v>
      </c>
      <c r="AD27" s="266"/>
      <c r="AF27" s="141" t="s">
        <v>232</v>
      </c>
      <c r="AG27" s="142">
        <f>$L$10</f>
        <v>0.1</v>
      </c>
      <c r="AH27" s="266">
        <f>AH26*$L$10</f>
        <v>0</v>
      </c>
      <c r="AI27" s="266"/>
      <c r="AJ27" s="266">
        <f>AJ26*$L$10</f>
        <v>0</v>
      </c>
      <c r="AK27" s="266"/>
      <c r="AL27" s="266">
        <f>AL26*$L$10</f>
        <v>0</v>
      </c>
      <c r="AM27" s="266"/>
      <c r="AN27" s="266">
        <f>AN26*$L$10</f>
        <v>0</v>
      </c>
      <c r="AO27" s="266"/>
      <c r="AP27" s="266">
        <f>AP26*$L$10</f>
        <v>0</v>
      </c>
      <c r="AQ27" s="266"/>
      <c r="AR27" s="266">
        <f>AR26*$L$10</f>
        <v>0</v>
      </c>
      <c r="AS27" s="266"/>
      <c r="AU27" s="141" t="s">
        <v>232</v>
      </c>
      <c r="AV27" s="142">
        <f>$L$10</f>
        <v>0.1</v>
      </c>
      <c r="AW27" s="261">
        <f t="shared" si="4"/>
        <v>0</v>
      </c>
      <c r="AX27" s="262"/>
      <c r="AY27" s="262"/>
      <c r="AZ27" s="263"/>
      <c r="BA27" s="261">
        <f t="shared" si="5"/>
        <v>0</v>
      </c>
      <c r="BB27" s="262"/>
      <c r="BC27" s="262"/>
      <c r="BD27" s="263"/>
      <c r="BE27" s="261">
        <f t="shared" si="3"/>
        <v>0</v>
      </c>
      <c r="BF27" s="262"/>
      <c r="BG27" s="262"/>
      <c r="BH27" s="263"/>
    </row>
    <row r="28" spans="2:60">
      <c r="B28" s="277" t="s">
        <v>364</v>
      </c>
      <c r="C28" s="278"/>
      <c r="D28" s="267">
        <v>6000</v>
      </c>
      <c r="E28" s="268"/>
      <c r="F28" s="267">
        <v>6000</v>
      </c>
      <c r="G28" s="268"/>
      <c r="H28" s="267">
        <v>15000</v>
      </c>
      <c r="I28" s="268"/>
      <c r="J28" s="267">
        <v>7500</v>
      </c>
      <c r="K28" s="268"/>
      <c r="L28" s="267">
        <v>5000</v>
      </c>
      <c r="M28" s="268"/>
      <c r="N28" s="267">
        <v>6500</v>
      </c>
      <c r="O28" s="268"/>
      <c r="Q28" s="277" t="s">
        <v>364</v>
      </c>
      <c r="R28" s="278"/>
      <c r="S28" s="264">
        <f>S23*D28/D23</f>
        <v>6899.9999999999991</v>
      </c>
      <c r="T28" s="265"/>
      <c r="U28" s="264">
        <f>U23*F28/F23</f>
        <v>6899.9999999999991</v>
      </c>
      <c r="V28" s="265"/>
      <c r="W28" s="264">
        <f>W23*H28/H23</f>
        <v>17250</v>
      </c>
      <c r="X28" s="265"/>
      <c r="Y28" s="264">
        <f>Y23*J28/J23</f>
        <v>8625</v>
      </c>
      <c r="Z28" s="265"/>
      <c r="AA28" s="264">
        <f>AA23*L28/L23</f>
        <v>5750</v>
      </c>
      <c r="AB28" s="265"/>
      <c r="AC28" s="264">
        <f>AC23*N28/N23</f>
        <v>7474.9999999999991</v>
      </c>
      <c r="AD28" s="265"/>
      <c r="AF28" s="277" t="s">
        <v>364</v>
      </c>
      <c r="AG28" s="278"/>
      <c r="AH28" s="264">
        <f>AH23*S28/S23</f>
        <v>7934.9999999999982</v>
      </c>
      <c r="AI28" s="265"/>
      <c r="AJ28" s="264">
        <f>AJ23*U28/U23</f>
        <v>7934.9999999999982</v>
      </c>
      <c r="AK28" s="265"/>
      <c r="AL28" s="264">
        <f>AL23*W28/W23</f>
        <v>19837.5</v>
      </c>
      <c r="AM28" s="265"/>
      <c r="AN28" s="264">
        <f>AN23*Y28/Y23</f>
        <v>9918.75</v>
      </c>
      <c r="AO28" s="265"/>
      <c r="AP28" s="264">
        <f>AP23*AA28/AA23</f>
        <v>6612.4999999999991</v>
      </c>
      <c r="AQ28" s="265"/>
      <c r="AR28" s="264">
        <f>AR23*AC28/AC23</f>
        <v>8596.2499999999982</v>
      </c>
      <c r="AS28" s="265"/>
      <c r="AU28" s="277" t="s">
        <v>362</v>
      </c>
      <c r="AV28" s="278"/>
      <c r="AW28" s="261">
        <f t="shared" si="4"/>
        <v>30172.04</v>
      </c>
      <c r="AX28" s="262"/>
      <c r="AY28" s="262"/>
      <c r="AZ28" s="263"/>
      <c r="BA28" s="261">
        <f t="shared" si="5"/>
        <v>31680.642</v>
      </c>
      <c r="BB28" s="262"/>
      <c r="BC28" s="262"/>
      <c r="BD28" s="263"/>
      <c r="BE28" s="261">
        <f t="shared" si="3"/>
        <v>33264.674100000004</v>
      </c>
      <c r="BF28" s="262"/>
      <c r="BG28" s="262"/>
      <c r="BH28" s="263"/>
    </row>
    <row r="29" spans="2:60">
      <c r="B29" s="143" t="s">
        <v>232</v>
      </c>
      <c r="C29" s="144">
        <f>$N$10</f>
        <v>0.21</v>
      </c>
      <c r="D29" s="266">
        <f>D28*$N$10</f>
        <v>1260</v>
      </c>
      <c r="E29" s="266"/>
      <c r="F29" s="266">
        <f>F28*$N$10</f>
        <v>1260</v>
      </c>
      <c r="G29" s="266"/>
      <c r="H29" s="266">
        <f>H28*$N$10</f>
        <v>3150</v>
      </c>
      <c r="I29" s="266"/>
      <c r="J29" s="266">
        <f>J28*$N$10</f>
        <v>1575</v>
      </c>
      <c r="K29" s="266"/>
      <c r="L29" s="266">
        <f>L28*$N$10</f>
        <v>1050</v>
      </c>
      <c r="M29" s="266"/>
      <c r="N29" s="266">
        <f>N28*$N$10</f>
        <v>1365</v>
      </c>
      <c r="O29" s="266"/>
      <c r="Q29" s="143" t="s">
        <v>232</v>
      </c>
      <c r="R29" s="144">
        <f>$N$10</f>
        <v>0.21</v>
      </c>
      <c r="S29" s="266">
        <f>S28*$N$10</f>
        <v>1448.9999999999998</v>
      </c>
      <c r="T29" s="266"/>
      <c r="U29" s="266">
        <f>U28*$N$10</f>
        <v>1448.9999999999998</v>
      </c>
      <c r="V29" s="266"/>
      <c r="W29" s="266">
        <f>W28*$N$10</f>
        <v>3622.5</v>
      </c>
      <c r="X29" s="266"/>
      <c r="Y29" s="266">
        <f>Y28*$N$10</f>
        <v>1811.25</v>
      </c>
      <c r="Z29" s="266"/>
      <c r="AA29" s="266">
        <f>AA28*$N$10</f>
        <v>1207.5</v>
      </c>
      <c r="AB29" s="266"/>
      <c r="AC29" s="266">
        <f>AC28*$N$10</f>
        <v>1569.7499999999998</v>
      </c>
      <c r="AD29" s="266"/>
      <c r="AF29" s="143" t="s">
        <v>232</v>
      </c>
      <c r="AG29" s="144">
        <f>$N$10</f>
        <v>0.21</v>
      </c>
      <c r="AH29" s="266">
        <f>AH28*$N$10</f>
        <v>1666.3499999999995</v>
      </c>
      <c r="AI29" s="266"/>
      <c r="AJ29" s="266">
        <f>AJ28*$N$10</f>
        <v>1666.3499999999995</v>
      </c>
      <c r="AK29" s="266"/>
      <c r="AL29" s="266">
        <f>AL28*$N$10</f>
        <v>4165.875</v>
      </c>
      <c r="AM29" s="266"/>
      <c r="AN29" s="266">
        <f>AN28*$N$10</f>
        <v>2082.9375</v>
      </c>
      <c r="AO29" s="266"/>
      <c r="AP29" s="266">
        <f>AP28*$N$10</f>
        <v>1388.6249999999998</v>
      </c>
      <c r="AQ29" s="266"/>
      <c r="AR29" s="266">
        <f>AR28*$N$10</f>
        <v>1805.2124999999996</v>
      </c>
      <c r="AS29" s="266"/>
      <c r="AU29" s="143" t="s">
        <v>232</v>
      </c>
      <c r="AV29" s="144">
        <f>$N$10</f>
        <v>0.21</v>
      </c>
      <c r="AW29" s="261">
        <f t="shared" si="4"/>
        <v>6336.1283999999996</v>
      </c>
      <c r="AX29" s="262"/>
      <c r="AY29" s="262"/>
      <c r="AZ29" s="263"/>
      <c r="BA29" s="261">
        <f t="shared" si="5"/>
        <v>6652.9348200000004</v>
      </c>
      <c r="BB29" s="262"/>
      <c r="BC29" s="262"/>
      <c r="BD29" s="263"/>
      <c r="BE29" s="261">
        <f t="shared" si="3"/>
        <v>6985.5815610000009</v>
      </c>
      <c r="BF29" s="262"/>
      <c r="BG29" s="262"/>
      <c r="BH29" s="263"/>
    </row>
    <row r="30" spans="2:60">
      <c r="B30" s="145" t="s">
        <v>360</v>
      </c>
      <c r="C30" s="37"/>
      <c r="D30" s="266">
        <f>IF(D24+D26+D28=D23,D25+D27+D29,"Comprobar")</f>
        <v>1260</v>
      </c>
      <c r="E30" s="266"/>
      <c r="F30" s="266">
        <f>IF(F24+F26+F28=F23,F25+F27+F29,"Comprobar")</f>
        <v>1260</v>
      </c>
      <c r="G30" s="266"/>
      <c r="H30" s="266">
        <f>IF(H24+H26+H28=H23,H25+H27+H29,"Comprobar")</f>
        <v>3150</v>
      </c>
      <c r="I30" s="266"/>
      <c r="J30" s="266">
        <f>IF(J24+J26+J28=J23,J25+J27+J29,"Comprobar")</f>
        <v>1575</v>
      </c>
      <c r="K30" s="266"/>
      <c r="L30" s="266">
        <f>IF(L24+L26+L28=L23,L25+L27+L29,"Comprobar")</f>
        <v>1050</v>
      </c>
      <c r="M30" s="266"/>
      <c r="N30" s="266">
        <f>IF(N24+N26+N28=N23,N25+N27+N29,"Comprobar")</f>
        <v>1365</v>
      </c>
      <c r="O30" s="266"/>
      <c r="Q30" s="145" t="s">
        <v>360</v>
      </c>
      <c r="R30" s="37"/>
      <c r="S30" s="266">
        <f>IF(S24+S26+S28=S23,S25+S27+S29,"Comprobar")</f>
        <v>1448.9999999999998</v>
      </c>
      <c r="T30" s="266"/>
      <c r="U30" s="266">
        <f>IF(U24+U26+U28=U23,U25+U27+U29,"Comprobar")</f>
        <v>1448.9999999999998</v>
      </c>
      <c r="V30" s="266"/>
      <c r="W30" s="266">
        <f>IF(W24+W26+W28=W23,W25+W27+W29,"Comprobar")</f>
        <v>3622.5</v>
      </c>
      <c r="X30" s="266"/>
      <c r="Y30" s="266">
        <f>IF(Y24+Y26+Y28=Y23,Y25+Y27+Y29,"Comprobar")</f>
        <v>1811.25</v>
      </c>
      <c r="Z30" s="266"/>
      <c r="AA30" s="266">
        <f>IF(AA24+AA26+AA28=AA23,AA25+AA27+AA29,"Comprobar")</f>
        <v>1207.5</v>
      </c>
      <c r="AB30" s="266"/>
      <c r="AC30" s="266">
        <f>IF(AC24+AC26+AC28=AC23,AC25+AC27+AC29,"Comprobar")</f>
        <v>1569.7499999999998</v>
      </c>
      <c r="AD30" s="266"/>
      <c r="AF30" s="145" t="s">
        <v>360</v>
      </c>
      <c r="AG30" s="37"/>
      <c r="AH30" s="266">
        <f>IF(AH24+AH26+AH28=AH23,AH25+AH27+AH29,"Comprobar")</f>
        <v>1666.3499999999995</v>
      </c>
      <c r="AI30" s="266"/>
      <c r="AJ30" s="266">
        <f>IF(AJ24+AJ26+AJ28=AJ23,AJ25+AJ27+AJ29,"Comprobar")</f>
        <v>1666.3499999999995</v>
      </c>
      <c r="AK30" s="266"/>
      <c r="AL30" s="266">
        <f>IF(AL24+AL26+AL28=AL23,AL25+AL27+AL29,"Comprobar")</f>
        <v>4165.875</v>
      </c>
      <c r="AM30" s="266"/>
      <c r="AN30" s="266">
        <f>IF(AN24+AN26+AN28=AN23,AN25+AN27+AN29,"Comprobar")</f>
        <v>2082.9375</v>
      </c>
      <c r="AO30" s="266"/>
      <c r="AP30" s="266">
        <f>IF(AP24+AP26+AP28=AP23,AP25+AP27+AP29,"Comprobar")</f>
        <v>1388.6249999999998</v>
      </c>
      <c r="AQ30" s="266"/>
      <c r="AR30" s="266">
        <f>IF(AR24+AR26+AR28=AR23,AR25+AR27+AR29,"Comprobar")</f>
        <v>1805.2124999999996</v>
      </c>
      <c r="AS30" s="266"/>
      <c r="AU30" s="273" t="s">
        <v>365</v>
      </c>
      <c r="AV30" s="274"/>
      <c r="AW30" s="279">
        <f t="shared" si="4"/>
        <v>6336.1283999999996</v>
      </c>
      <c r="AX30" s="280"/>
      <c r="AY30" s="280"/>
      <c r="AZ30" s="281"/>
      <c r="BA30" s="261">
        <f>SUM(S43:AD43)+SUM(S54:AD54)</f>
        <v>6652.9348200000004</v>
      </c>
      <c r="BB30" s="262"/>
      <c r="BC30" s="262"/>
      <c r="BD30" s="263"/>
      <c r="BE30" s="261">
        <f t="shared" si="3"/>
        <v>6985.5815610000009</v>
      </c>
      <c r="BF30" s="262"/>
      <c r="BG30" s="262"/>
      <c r="BH30" s="263"/>
    </row>
    <row r="31" spans="2:60">
      <c r="AU31" s="273" t="s">
        <v>366</v>
      </c>
      <c r="AV31" s="274"/>
      <c r="AW31" s="279">
        <f>'6. PEF2-3. INVERS. Y FINANC.'!F38</f>
        <v>1316.54</v>
      </c>
      <c r="AX31" s="280"/>
      <c r="AY31" s="280"/>
      <c r="AZ31" s="281"/>
      <c r="BA31" s="286">
        <v>1</v>
      </c>
      <c r="BB31" s="287"/>
      <c r="BC31" s="287"/>
      <c r="BD31" s="288"/>
      <c r="BE31" s="286">
        <v>0.21</v>
      </c>
      <c r="BF31" s="287"/>
      <c r="BG31" s="287"/>
      <c r="BH31" s="288"/>
    </row>
    <row r="32" spans="2:60">
      <c r="B32" s="275" t="s">
        <v>367</v>
      </c>
      <c r="C32" s="275"/>
      <c r="D32" s="275"/>
      <c r="E32" s="275"/>
      <c r="F32" s="275"/>
      <c r="Q32" s="275" t="s">
        <v>367</v>
      </c>
      <c r="R32" s="275"/>
      <c r="S32" s="275"/>
      <c r="T32" s="275"/>
      <c r="U32" s="275"/>
      <c r="AF32" s="275" t="s">
        <v>367</v>
      </c>
      <c r="AG32" s="275"/>
      <c r="AH32" s="275"/>
      <c r="AI32" s="275"/>
      <c r="AJ32" s="275"/>
      <c r="AU32" s="273" t="s">
        <v>368</v>
      </c>
      <c r="AV32" s="274"/>
      <c r="AW32" s="283">
        <f>SUM(AW30:AZ31)</f>
        <v>7652.6683999999996</v>
      </c>
      <c r="AX32" s="284"/>
      <c r="AY32" s="284"/>
      <c r="AZ32" s="285"/>
      <c r="BA32" s="283">
        <f>SUM(BA30:BD31)</f>
        <v>6653.9348200000004</v>
      </c>
      <c r="BB32" s="284"/>
      <c r="BC32" s="284"/>
      <c r="BD32" s="285"/>
      <c r="BE32" s="283">
        <f>SUM(BE30:BH31)</f>
        <v>6985.7915610000009</v>
      </c>
      <c r="BF32" s="284"/>
      <c r="BG32" s="284"/>
      <c r="BH32" s="285"/>
    </row>
    <row r="34" spans="2:60">
      <c r="B34" s="273" t="s">
        <v>69</v>
      </c>
      <c r="C34" s="273"/>
      <c r="D34" s="234">
        <v>1</v>
      </c>
      <c r="E34" s="234"/>
      <c r="F34" s="234">
        <v>2</v>
      </c>
      <c r="G34" s="234"/>
      <c r="H34" s="234">
        <v>3</v>
      </c>
      <c r="I34" s="234"/>
      <c r="J34" s="234">
        <v>4</v>
      </c>
      <c r="K34" s="234"/>
      <c r="L34" s="234">
        <v>5</v>
      </c>
      <c r="M34" s="234"/>
      <c r="N34" s="234">
        <v>6</v>
      </c>
      <c r="O34" s="234"/>
      <c r="Q34" s="273" t="s">
        <v>69</v>
      </c>
      <c r="R34" s="273"/>
      <c r="S34" s="234">
        <v>1</v>
      </c>
      <c r="T34" s="234"/>
      <c r="U34" s="234">
        <v>2</v>
      </c>
      <c r="V34" s="234"/>
      <c r="W34" s="234">
        <v>3</v>
      </c>
      <c r="X34" s="234"/>
      <c r="Y34" s="234">
        <v>4</v>
      </c>
      <c r="Z34" s="234"/>
      <c r="AA34" s="234">
        <v>5</v>
      </c>
      <c r="AB34" s="234"/>
      <c r="AC34" s="234">
        <v>6</v>
      </c>
      <c r="AD34" s="234"/>
      <c r="AF34" s="273" t="s">
        <v>69</v>
      </c>
      <c r="AG34" s="273"/>
      <c r="AH34" s="234">
        <v>1</v>
      </c>
      <c r="AI34" s="234"/>
      <c r="AJ34" s="234">
        <v>2</v>
      </c>
      <c r="AK34" s="234"/>
      <c r="AL34" s="234">
        <v>3</v>
      </c>
      <c r="AM34" s="234"/>
      <c r="AN34" s="234">
        <v>4</v>
      </c>
      <c r="AO34" s="234"/>
      <c r="AP34" s="234">
        <v>5</v>
      </c>
      <c r="AQ34" s="234"/>
      <c r="AR34" s="234">
        <v>6</v>
      </c>
      <c r="AS34" s="234"/>
    </row>
    <row r="35" spans="2:60">
      <c r="B35" s="273" t="s">
        <v>222</v>
      </c>
      <c r="C35" s="273"/>
      <c r="D35" s="264">
        <f>'2. P. MARKETING'!BO35</f>
        <v>200</v>
      </c>
      <c r="E35" s="265"/>
      <c r="F35" s="264">
        <f>'2. P. MARKETING'!BQ35</f>
        <v>200</v>
      </c>
      <c r="G35" s="265"/>
      <c r="H35" s="264">
        <f>'2. P. MARKETING'!BS35</f>
        <v>250</v>
      </c>
      <c r="I35" s="265"/>
      <c r="J35" s="264">
        <f>'2. P. MARKETING'!BU35</f>
        <v>250</v>
      </c>
      <c r="K35" s="265"/>
      <c r="L35" s="264">
        <f>'2. P. MARKETING'!BW35</f>
        <v>250</v>
      </c>
      <c r="M35" s="265"/>
      <c r="N35" s="264">
        <f>'2. P. MARKETING'!BY35</f>
        <v>250</v>
      </c>
      <c r="O35" s="265"/>
      <c r="Q35" s="273" t="s">
        <v>222</v>
      </c>
      <c r="R35" s="273"/>
      <c r="S35" s="264">
        <f>D35*(1+ '6. PEF1. PLAN COMERCIAL'!$F$29)</f>
        <v>210</v>
      </c>
      <c r="T35" s="265"/>
      <c r="U35" s="264">
        <f>F35*(1+ '6. PEF1. PLAN COMERCIAL'!$F$29)</f>
        <v>210</v>
      </c>
      <c r="V35" s="265"/>
      <c r="W35" s="264">
        <f>H35*(1+ '6. PEF1. PLAN COMERCIAL'!$F$29)</f>
        <v>262.5</v>
      </c>
      <c r="X35" s="265"/>
      <c r="Y35" s="264">
        <f>J35*(1+ '6. PEF1. PLAN COMERCIAL'!$F$29)</f>
        <v>262.5</v>
      </c>
      <c r="Z35" s="265"/>
      <c r="AA35" s="264">
        <f>L35*(1+ '6. PEF1. PLAN COMERCIAL'!$F$29)</f>
        <v>262.5</v>
      </c>
      <c r="AB35" s="265"/>
      <c r="AC35" s="264">
        <f>N35*(1+ '6. PEF1. PLAN COMERCIAL'!$F$29)</f>
        <v>262.5</v>
      </c>
      <c r="AD35" s="265"/>
      <c r="AF35" s="273" t="s">
        <v>222</v>
      </c>
      <c r="AG35" s="273"/>
      <c r="AH35" s="264">
        <f>S35*(1+ '6. PEF1. PLAN COMERCIAL'!$F$29)</f>
        <v>220.5</v>
      </c>
      <c r="AI35" s="265"/>
      <c r="AJ35" s="264">
        <f>U35*(1+ '6. PEF1. PLAN COMERCIAL'!$F$29)</f>
        <v>220.5</v>
      </c>
      <c r="AK35" s="265"/>
      <c r="AL35" s="264">
        <f>W35*(1+ '6. PEF1. PLAN COMERCIAL'!$F$29)</f>
        <v>275.625</v>
      </c>
      <c r="AM35" s="265"/>
      <c r="AN35" s="264">
        <f>Y35*(1+ '6. PEF1. PLAN COMERCIAL'!$F$29)</f>
        <v>275.625</v>
      </c>
      <c r="AO35" s="265"/>
      <c r="AP35" s="264">
        <f>AA35*(1+ '6. PEF1. PLAN COMERCIAL'!$F$29)</f>
        <v>275.625</v>
      </c>
      <c r="AQ35" s="265"/>
      <c r="AR35" s="264">
        <f>AC35*(1+ '6. PEF1. PLAN COMERCIAL'!$F$29)</f>
        <v>275.625</v>
      </c>
      <c r="AS35" s="265"/>
    </row>
    <row r="36" spans="2:60">
      <c r="B36" s="273" t="s">
        <v>361</v>
      </c>
      <c r="C36" s="274"/>
      <c r="D36" s="264">
        <f>ROUND($AW$23/12,2)</f>
        <v>2272.67</v>
      </c>
      <c r="E36" s="265"/>
      <c r="F36" s="264">
        <f>ROUND($AW$23/12,2)</f>
        <v>2272.67</v>
      </c>
      <c r="G36" s="265"/>
      <c r="H36" s="264">
        <f>ROUND($AW$23/12,2)</f>
        <v>2272.67</v>
      </c>
      <c r="I36" s="265"/>
      <c r="J36" s="264">
        <f>ROUND($AW$23/12,2)</f>
        <v>2272.67</v>
      </c>
      <c r="K36" s="265"/>
      <c r="L36" s="264">
        <f>ROUND($AW$23/12,2)</f>
        <v>2272.67</v>
      </c>
      <c r="M36" s="265"/>
      <c r="N36" s="264">
        <f>ROUND($AW$23/12,2)</f>
        <v>2272.67</v>
      </c>
      <c r="O36" s="265"/>
      <c r="Q36" s="273" t="s">
        <v>361</v>
      </c>
      <c r="R36" s="274"/>
      <c r="S36" s="264">
        <f>D36*(1+'6. PEF5. VENTAS Y COSTES'!$F$43)</f>
        <v>2386.3035</v>
      </c>
      <c r="T36" s="265"/>
      <c r="U36" s="264">
        <f>F36*(1+'6. PEF5. VENTAS Y COSTES'!$F$43)</f>
        <v>2386.3035</v>
      </c>
      <c r="V36" s="265"/>
      <c r="W36" s="264">
        <f>H36*(1+'6. PEF5. VENTAS Y COSTES'!$F$43)</f>
        <v>2386.3035</v>
      </c>
      <c r="X36" s="265"/>
      <c r="Y36" s="264">
        <f>J36*(1+'6. PEF5. VENTAS Y COSTES'!$F$43)</f>
        <v>2386.3035</v>
      </c>
      <c r="Z36" s="265"/>
      <c r="AA36" s="264">
        <f>L36*(1+'6. PEF5. VENTAS Y COSTES'!$F$43)</f>
        <v>2386.3035</v>
      </c>
      <c r="AB36" s="265"/>
      <c r="AC36" s="264">
        <f>N36*(1+'6. PEF5. VENTAS Y COSTES'!$F$43)</f>
        <v>2386.3035</v>
      </c>
      <c r="AD36" s="265"/>
      <c r="AF36" s="273" t="s">
        <v>361</v>
      </c>
      <c r="AG36" s="274"/>
      <c r="AH36" s="264">
        <f>S36*(1+'6. PEF5. VENTAS Y COSTES'!$F$43)</f>
        <v>2505.6186750000002</v>
      </c>
      <c r="AI36" s="265"/>
      <c r="AJ36" s="264">
        <f>U36*(1+'6. PEF5. VENTAS Y COSTES'!$F$43)</f>
        <v>2505.6186750000002</v>
      </c>
      <c r="AK36" s="265"/>
      <c r="AL36" s="264">
        <f>W36*(1+'6. PEF5. VENTAS Y COSTES'!$F$43)</f>
        <v>2505.6186750000002</v>
      </c>
      <c r="AM36" s="265"/>
      <c r="AN36" s="264">
        <f>Y36*(1+'6. PEF5. VENTAS Y COSTES'!$F$43)</f>
        <v>2505.6186750000002</v>
      </c>
      <c r="AO36" s="265"/>
      <c r="AP36" s="264">
        <f>AA36*(1+'6. PEF5. VENTAS Y COSTES'!$F$43)</f>
        <v>2505.6186750000002</v>
      </c>
      <c r="AQ36" s="265"/>
      <c r="AR36" s="264">
        <f>AC36*(1+'6. PEF5. VENTAS Y COSTES'!$F$43)</f>
        <v>2505.6186750000002</v>
      </c>
      <c r="AS36" s="265"/>
      <c r="AU36" s="273" t="s">
        <v>369</v>
      </c>
      <c r="AV36" s="274"/>
      <c r="AW36" s="279">
        <f>AW20-AW32</f>
        <v>18807.331600000001</v>
      </c>
      <c r="AX36" s="280"/>
      <c r="AY36" s="280"/>
      <c r="AZ36" s="281"/>
      <c r="BA36" s="279">
        <f>BA20-BA32</f>
        <v>23775.065179999998</v>
      </c>
      <c r="BB36" s="280"/>
      <c r="BC36" s="280"/>
      <c r="BD36" s="281"/>
      <c r="BE36" s="279">
        <f>BE20-BE32</f>
        <v>28007.558438999997</v>
      </c>
      <c r="BF36" s="280"/>
      <c r="BG36" s="280"/>
      <c r="BH36" s="281"/>
    </row>
    <row r="37" spans="2:60">
      <c r="B37" s="271" t="s">
        <v>362</v>
      </c>
      <c r="C37" s="272"/>
      <c r="D37" s="267"/>
      <c r="E37" s="268"/>
      <c r="F37" s="267"/>
      <c r="G37" s="268"/>
      <c r="H37" s="267"/>
      <c r="I37" s="268"/>
      <c r="J37" s="267"/>
      <c r="K37" s="268"/>
      <c r="L37" s="267"/>
      <c r="M37" s="268"/>
      <c r="N37" s="267"/>
      <c r="O37" s="268"/>
      <c r="Q37" s="271" t="s">
        <v>362</v>
      </c>
      <c r="R37" s="272"/>
      <c r="S37" s="264">
        <f>(S35+S36)*D37/(D35+D36)</f>
        <v>0</v>
      </c>
      <c r="T37" s="265"/>
      <c r="U37" s="264">
        <f>(U35+U36)*F37/(F35+F36)</f>
        <v>0</v>
      </c>
      <c r="V37" s="265"/>
      <c r="W37" s="264">
        <f>(W35+W36)*H37/(H35+H36)</f>
        <v>0</v>
      </c>
      <c r="X37" s="265"/>
      <c r="Y37" s="264">
        <f>(Y35+Y36)*J37/(J35+J36)</f>
        <v>0</v>
      </c>
      <c r="Z37" s="265"/>
      <c r="AA37" s="264">
        <f>(AA35+AA36)*L37/(L35+L36)</f>
        <v>0</v>
      </c>
      <c r="AB37" s="265"/>
      <c r="AC37" s="264">
        <f>(AC35+AC36)*N37/(N35+N36)</f>
        <v>0</v>
      </c>
      <c r="AD37" s="265"/>
      <c r="AF37" s="271" t="s">
        <v>362</v>
      </c>
      <c r="AG37" s="272"/>
      <c r="AH37" s="264">
        <f>(AH35+AH36)*S37/(S35+S36)</f>
        <v>0</v>
      </c>
      <c r="AI37" s="265"/>
      <c r="AJ37" s="264">
        <f>(AJ35+AJ36)*U37/(U35+U36)</f>
        <v>0</v>
      </c>
      <c r="AK37" s="265"/>
      <c r="AL37" s="264">
        <f>(AL35+AL36)*W37/(W35+W36)</f>
        <v>0</v>
      </c>
      <c r="AM37" s="265"/>
      <c r="AN37" s="264">
        <f>(AN35+AN36)*Y37/(Y35+Y36)</f>
        <v>0</v>
      </c>
      <c r="AO37" s="265"/>
      <c r="AP37" s="264">
        <f>(AP35+AP36)*AA37/(AA35+AA36)</f>
        <v>0</v>
      </c>
      <c r="AQ37" s="265"/>
      <c r="AR37" s="264">
        <f>(AR35+AR36)*AC37/(AC35+AC36)</f>
        <v>0</v>
      </c>
      <c r="AS37" s="265"/>
    </row>
    <row r="38" spans="2:60" ht="12.75" customHeight="1">
      <c r="B38" s="139" t="s">
        <v>232</v>
      </c>
      <c r="C38" s="140">
        <f>$J$10</f>
        <v>0.04</v>
      </c>
      <c r="D38" s="266">
        <f>D37*$J$10</f>
        <v>0</v>
      </c>
      <c r="E38" s="266"/>
      <c r="F38" s="266">
        <f>F37*$J$10</f>
        <v>0</v>
      </c>
      <c r="G38" s="266"/>
      <c r="H38" s="266">
        <f>H37*$J$10</f>
        <v>0</v>
      </c>
      <c r="I38" s="266"/>
      <c r="J38" s="266">
        <f>J37*$J$10</f>
        <v>0</v>
      </c>
      <c r="K38" s="266"/>
      <c r="L38" s="266">
        <f>L37*$J$10</f>
        <v>0</v>
      </c>
      <c r="M38" s="266"/>
      <c r="N38" s="266">
        <f>N37*$J$10</f>
        <v>0</v>
      </c>
      <c r="O38" s="266"/>
      <c r="Q38" s="139" t="s">
        <v>232</v>
      </c>
      <c r="R38" s="140">
        <f>$J$10</f>
        <v>0.04</v>
      </c>
      <c r="S38" s="266">
        <f>S37*$J$10</f>
        <v>0</v>
      </c>
      <c r="T38" s="266"/>
      <c r="U38" s="266">
        <f>U37*$J$10</f>
        <v>0</v>
      </c>
      <c r="V38" s="266"/>
      <c r="W38" s="266">
        <f>W37*$J$10</f>
        <v>0</v>
      </c>
      <c r="X38" s="266"/>
      <c r="Y38" s="266">
        <f>Y37*$J$10</f>
        <v>0</v>
      </c>
      <c r="Z38" s="266"/>
      <c r="AA38" s="266">
        <f>AA37*$J$10</f>
        <v>0</v>
      </c>
      <c r="AB38" s="266"/>
      <c r="AC38" s="266">
        <f>AC37*$J$10</f>
        <v>0</v>
      </c>
      <c r="AD38" s="266"/>
      <c r="AF38" s="139" t="s">
        <v>232</v>
      </c>
      <c r="AG38" s="140">
        <f>$J$10</f>
        <v>0.04</v>
      </c>
      <c r="AH38" s="266">
        <f>AH37*$J$10</f>
        <v>0</v>
      </c>
      <c r="AI38" s="266"/>
      <c r="AJ38" s="266">
        <f>AJ37*$J$10</f>
        <v>0</v>
      </c>
      <c r="AK38" s="266"/>
      <c r="AL38" s="266">
        <f>AL37*$J$10</f>
        <v>0</v>
      </c>
      <c r="AM38" s="266"/>
      <c r="AN38" s="266">
        <f>AN37*$J$10</f>
        <v>0</v>
      </c>
      <c r="AO38" s="266"/>
      <c r="AP38" s="266">
        <f>AP37*$J$10</f>
        <v>0</v>
      </c>
      <c r="AQ38" s="266"/>
      <c r="AR38" s="266">
        <f>AR37*$J$10</f>
        <v>0</v>
      </c>
      <c r="AS38" s="266"/>
      <c r="AU38" s="282" t="s">
        <v>370</v>
      </c>
      <c r="AV38" s="282"/>
      <c r="AW38" s="282"/>
      <c r="AX38" s="282"/>
      <c r="AY38" s="282"/>
      <c r="AZ38" s="282"/>
      <c r="BA38" s="282"/>
      <c r="BB38" s="282"/>
      <c r="BC38" s="282"/>
      <c r="BD38" s="282"/>
      <c r="BE38" s="282"/>
      <c r="BF38" s="282"/>
      <c r="BG38" s="282"/>
      <c r="BH38" s="282"/>
    </row>
    <row r="39" spans="2:60">
      <c r="B39" s="269" t="s">
        <v>362</v>
      </c>
      <c r="C39" s="270"/>
      <c r="D39" s="267"/>
      <c r="E39" s="268"/>
      <c r="F39" s="267"/>
      <c r="G39" s="268"/>
      <c r="H39" s="267"/>
      <c r="I39" s="268"/>
      <c r="J39" s="267"/>
      <c r="K39" s="268"/>
      <c r="L39" s="267"/>
      <c r="M39" s="268"/>
      <c r="N39" s="267"/>
      <c r="O39" s="268"/>
      <c r="Q39" s="269" t="s">
        <v>362</v>
      </c>
      <c r="R39" s="270"/>
      <c r="S39" s="264">
        <f>(S35+S36)*D39/(D35+D36)</f>
        <v>0</v>
      </c>
      <c r="T39" s="265"/>
      <c r="U39" s="264">
        <f>(U35+U36)*F39/(F35+F36)</f>
        <v>0</v>
      </c>
      <c r="V39" s="265"/>
      <c r="W39" s="264">
        <f>(W35+W36)*H39/(H35+H36)</f>
        <v>0</v>
      </c>
      <c r="X39" s="265"/>
      <c r="Y39" s="264">
        <f>(Y35+Y36)*J39/(J35+J36)</f>
        <v>0</v>
      </c>
      <c r="Z39" s="265"/>
      <c r="AA39" s="264">
        <f>(AA35+AA36)*L39/(L35+L36)</f>
        <v>0</v>
      </c>
      <c r="AB39" s="265"/>
      <c r="AC39" s="264">
        <f>(AC35+AC36)*N39/(N35+N36)</f>
        <v>0</v>
      </c>
      <c r="AD39" s="265"/>
      <c r="AF39" s="269" t="s">
        <v>362</v>
      </c>
      <c r="AG39" s="270"/>
      <c r="AH39" s="264">
        <f>(AH35+AH36)*S39/(S35+S36)</f>
        <v>0</v>
      </c>
      <c r="AI39" s="265"/>
      <c r="AJ39" s="264">
        <f>(AJ35+AJ36)*U39/(U35+U36)</f>
        <v>0</v>
      </c>
      <c r="AK39" s="265"/>
      <c r="AL39" s="264">
        <f>(AL35+AL36)*W39/(W35+W36)</f>
        <v>0</v>
      </c>
      <c r="AM39" s="265"/>
      <c r="AN39" s="264">
        <f>(AN35+AN36)*Y39/(Y35+Y36)</f>
        <v>0</v>
      </c>
      <c r="AO39" s="265"/>
      <c r="AP39" s="264">
        <f>(AP35+AP36)*AA39/(AA35+AA36)</f>
        <v>0</v>
      </c>
      <c r="AQ39" s="265"/>
      <c r="AR39" s="264">
        <f>(AR35+AR36)*AC39/(AC35+AC36)</f>
        <v>0</v>
      </c>
      <c r="AS39" s="265"/>
      <c r="AU39" s="282"/>
      <c r="AV39" s="282"/>
      <c r="AW39" s="282"/>
      <c r="AX39" s="282"/>
      <c r="AY39" s="282"/>
      <c r="AZ39" s="282"/>
      <c r="BA39" s="282"/>
      <c r="BB39" s="282"/>
      <c r="BC39" s="282"/>
      <c r="BD39" s="282"/>
      <c r="BE39" s="282"/>
      <c r="BF39" s="282"/>
      <c r="BG39" s="282"/>
      <c r="BH39" s="282"/>
    </row>
    <row r="40" spans="2:60">
      <c r="B40" s="141" t="s">
        <v>232</v>
      </c>
      <c r="C40" s="142">
        <f>$L$10</f>
        <v>0.1</v>
      </c>
      <c r="D40" s="266">
        <f>D39*$L$10</f>
        <v>0</v>
      </c>
      <c r="E40" s="266"/>
      <c r="F40" s="266">
        <f>F39*$L$10</f>
        <v>0</v>
      </c>
      <c r="G40" s="266"/>
      <c r="H40" s="266">
        <f>H39*$L$10</f>
        <v>0</v>
      </c>
      <c r="I40" s="266"/>
      <c r="J40" s="266">
        <f>J39*$L$10</f>
        <v>0</v>
      </c>
      <c r="K40" s="266"/>
      <c r="L40" s="266">
        <f>L39*$L$10</f>
        <v>0</v>
      </c>
      <c r="M40" s="266"/>
      <c r="N40" s="266">
        <f>N39*$L$10</f>
        <v>0</v>
      </c>
      <c r="O40" s="266"/>
      <c r="Q40" s="141" t="s">
        <v>232</v>
      </c>
      <c r="R40" s="142">
        <f>$L$10</f>
        <v>0.1</v>
      </c>
      <c r="S40" s="266">
        <f>S39*$L$10</f>
        <v>0</v>
      </c>
      <c r="T40" s="266"/>
      <c r="U40" s="266">
        <f>U39*$L$10</f>
        <v>0</v>
      </c>
      <c r="V40" s="266"/>
      <c r="W40" s="266">
        <f>W39*$L$10</f>
        <v>0</v>
      </c>
      <c r="X40" s="266"/>
      <c r="Y40" s="266">
        <f>Y39*$L$10</f>
        <v>0</v>
      </c>
      <c r="Z40" s="266"/>
      <c r="AA40" s="266">
        <f>AA39*$L$10</f>
        <v>0</v>
      </c>
      <c r="AB40" s="266"/>
      <c r="AC40" s="266">
        <f>AC39*$L$10</f>
        <v>0</v>
      </c>
      <c r="AD40" s="266"/>
      <c r="AF40" s="141" t="s">
        <v>232</v>
      </c>
      <c r="AG40" s="142">
        <f>$L$10</f>
        <v>0.1</v>
      </c>
      <c r="AH40" s="266">
        <f>AH39*$L$10</f>
        <v>0</v>
      </c>
      <c r="AI40" s="266"/>
      <c r="AJ40" s="266">
        <f>AJ39*$L$10</f>
        <v>0</v>
      </c>
      <c r="AK40" s="266"/>
      <c r="AL40" s="266">
        <f>AL39*$L$10</f>
        <v>0</v>
      </c>
      <c r="AM40" s="266"/>
      <c r="AN40" s="266">
        <f>AN39*$L$10</f>
        <v>0</v>
      </c>
      <c r="AO40" s="266"/>
      <c r="AP40" s="266">
        <f>AP39*$L$10</f>
        <v>0</v>
      </c>
      <c r="AQ40" s="266"/>
      <c r="AR40" s="266">
        <f>AR39*$L$10</f>
        <v>0</v>
      </c>
      <c r="AS40" s="266"/>
    </row>
    <row r="41" spans="2:60">
      <c r="B41" s="277" t="s">
        <v>362</v>
      </c>
      <c r="C41" s="278"/>
      <c r="D41" s="267">
        <v>2472.67</v>
      </c>
      <c r="E41" s="268"/>
      <c r="F41" s="267">
        <v>2472.67</v>
      </c>
      <c r="G41" s="268"/>
      <c r="H41" s="267">
        <v>2522.67</v>
      </c>
      <c r="I41" s="268"/>
      <c r="J41" s="267">
        <v>2522.67</v>
      </c>
      <c r="K41" s="268"/>
      <c r="L41" s="267">
        <v>2522.67</v>
      </c>
      <c r="M41" s="268"/>
      <c r="N41" s="267">
        <v>2522.67</v>
      </c>
      <c r="O41" s="268"/>
      <c r="Q41" s="277" t="s">
        <v>362</v>
      </c>
      <c r="R41" s="278"/>
      <c r="S41" s="264">
        <f>(S35+S36)*D41/(D35+D36)</f>
        <v>2596.3035</v>
      </c>
      <c r="T41" s="265"/>
      <c r="U41" s="264">
        <f>(U35+U36)*F41/(F35+F36)</f>
        <v>2596.3035</v>
      </c>
      <c r="V41" s="265"/>
      <c r="W41" s="264">
        <f>(W35+W36)*H41/(H35+H36)</f>
        <v>2648.8035</v>
      </c>
      <c r="X41" s="265"/>
      <c r="Y41" s="264">
        <f>(Y35+Y36)*J41/(J35+J36)</f>
        <v>2648.8035</v>
      </c>
      <c r="Z41" s="265"/>
      <c r="AA41" s="264">
        <f>(AA35+AA36)*L41/(L35+L36)</f>
        <v>2648.8035</v>
      </c>
      <c r="AB41" s="265"/>
      <c r="AC41" s="264">
        <f>(AC35+AC36)*N41/(N35+N36)</f>
        <v>2648.8035</v>
      </c>
      <c r="AD41" s="265"/>
      <c r="AF41" s="277" t="s">
        <v>362</v>
      </c>
      <c r="AG41" s="278"/>
      <c r="AH41" s="264">
        <f>(AH35+AH36)*S41/(S35+S36)</f>
        <v>2726.1186750000002</v>
      </c>
      <c r="AI41" s="265"/>
      <c r="AJ41" s="264">
        <f>(AJ35+AJ36)*U41/(U35+U36)</f>
        <v>2726.1186750000002</v>
      </c>
      <c r="AK41" s="265"/>
      <c r="AL41" s="264">
        <f>(AL35+AL36)*W41/(W35+W36)</f>
        <v>2781.2436750000002</v>
      </c>
      <c r="AM41" s="265"/>
      <c r="AN41" s="264">
        <f>(AN35+AN36)*Y41/(Y35+Y36)</f>
        <v>2781.2436750000002</v>
      </c>
      <c r="AO41" s="265"/>
      <c r="AP41" s="264">
        <f>(AP35+AP36)*AA41/(AA35+AA36)</f>
        <v>2781.2436750000002</v>
      </c>
      <c r="AQ41" s="265"/>
      <c r="AR41" s="264">
        <f>(AR35+AR36)*AC41/(AC35+AC36)</f>
        <v>2781.2436750000002</v>
      </c>
      <c r="AS41" s="265"/>
    </row>
    <row r="42" spans="2:60">
      <c r="B42" s="143" t="s">
        <v>232</v>
      </c>
      <c r="C42" s="144">
        <f>$N$10</f>
        <v>0.21</v>
      </c>
      <c r="D42" s="266">
        <f>D41*$N$10</f>
        <v>519.26070000000004</v>
      </c>
      <c r="E42" s="266"/>
      <c r="F42" s="266">
        <f>F41*$N$10</f>
        <v>519.26070000000004</v>
      </c>
      <c r="G42" s="266"/>
      <c r="H42" s="266">
        <f>H41*$N$10</f>
        <v>529.76070000000004</v>
      </c>
      <c r="I42" s="266"/>
      <c r="J42" s="266">
        <f>J41*$N$10</f>
        <v>529.76070000000004</v>
      </c>
      <c r="K42" s="266"/>
      <c r="L42" s="266">
        <f>L41*$N$10</f>
        <v>529.76070000000004</v>
      </c>
      <c r="M42" s="266"/>
      <c r="N42" s="266">
        <f>N41*$N$10</f>
        <v>529.76070000000004</v>
      </c>
      <c r="O42" s="266"/>
      <c r="Q42" s="143" t="s">
        <v>232</v>
      </c>
      <c r="R42" s="144">
        <f>$N$10</f>
        <v>0.21</v>
      </c>
      <c r="S42" s="266">
        <f>S41*$N$10</f>
        <v>545.22373500000003</v>
      </c>
      <c r="T42" s="266"/>
      <c r="U42" s="266">
        <f>U41*$N$10</f>
        <v>545.22373500000003</v>
      </c>
      <c r="V42" s="266"/>
      <c r="W42" s="266">
        <f>W41*$N$10</f>
        <v>556.24873500000001</v>
      </c>
      <c r="X42" s="266"/>
      <c r="Y42" s="266">
        <f>Y41*$N$10</f>
        <v>556.24873500000001</v>
      </c>
      <c r="Z42" s="266"/>
      <c r="AA42" s="266">
        <f>AA41*$N$10</f>
        <v>556.24873500000001</v>
      </c>
      <c r="AB42" s="266"/>
      <c r="AC42" s="266">
        <f>AC41*$N$10</f>
        <v>556.24873500000001</v>
      </c>
      <c r="AD42" s="266"/>
      <c r="AF42" s="143" t="s">
        <v>232</v>
      </c>
      <c r="AG42" s="144">
        <f>$N$10</f>
        <v>0.21</v>
      </c>
      <c r="AH42" s="266">
        <f>AH41*$N$10</f>
        <v>572.48492175000001</v>
      </c>
      <c r="AI42" s="266"/>
      <c r="AJ42" s="266">
        <f>AJ41*$N$10</f>
        <v>572.48492175000001</v>
      </c>
      <c r="AK42" s="266"/>
      <c r="AL42" s="266">
        <f>AL41*$N$10</f>
        <v>584.06117174999997</v>
      </c>
      <c r="AM42" s="266"/>
      <c r="AN42" s="266">
        <f>AN41*$N$10</f>
        <v>584.06117174999997</v>
      </c>
      <c r="AO42" s="266"/>
      <c r="AP42" s="266">
        <f>AP41*$N$10</f>
        <v>584.06117174999997</v>
      </c>
      <c r="AQ42" s="266"/>
      <c r="AR42" s="266">
        <f>AR41*$N$10</f>
        <v>584.06117174999997</v>
      </c>
      <c r="AS42" s="266"/>
    </row>
    <row r="43" spans="2:60">
      <c r="B43" s="273" t="s">
        <v>371</v>
      </c>
      <c r="C43" s="273"/>
      <c r="D43" s="266">
        <f>IF(D37+D39+D41=(D35+D36),D38+D40+D42,"Comprobar")</f>
        <v>519.26070000000004</v>
      </c>
      <c r="E43" s="266"/>
      <c r="F43" s="266">
        <f>IF(F37+F39+F41=F35+F36,F38+F40+F42,"Comprobar")</f>
        <v>519.26070000000004</v>
      </c>
      <c r="G43" s="266"/>
      <c r="H43" s="266">
        <f>IF(H37+H39+H41=H35+H36,H38+H40+H42,"Comprobar")</f>
        <v>529.76070000000004</v>
      </c>
      <c r="I43" s="266"/>
      <c r="J43" s="266">
        <f>IF(J37+J39+J41=J35+J36,J38+J40+J42,"Comprobar")</f>
        <v>529.76070000000004</v>
      </c>
      <c r="K43" s="266"/>
      <c r="L43" s="266">
        <f>IF(L37+L39+L41=L35+L36,L38+L40+L42,"Comprobar")</f>
        <v>529.76070000000004</v>
      </c>
      <c r="M43" s="266"/>
      <c r="N43" s="266">
        <f>IF(N37+N39+N41=N35+N36,N38+N40+N42,"Comprobar")</f>
        <v>529.76070000000004</v>
      </c>
      <c r="O43" s="266"/>
      <c r="Q43" s="273" t="s">
        <v>371</v>
      </c>
      <c r="R43" s="273"/>
      <c r="S43" s="266">
        <f>IF(S37+S39+S41=S35+S36,S38+S40+S42,"Comprobar")</f>
        <v>545.22373500000003</v>
      </c>
      <c r="T43" s="266"/>
      <c r="U43" s="266">
        <f>IF(U37+U39+U41=U35+U36,U38+U40+U42,"Comprobar")</f>
        <v>545.22373500000003</v>
      </c>
      <c r="V43" s="266"/>
      <c r="W43" s="266">
        <f>IF(W37+W39+W41=W35+W36,W38+W40+W42,"Comprobar")</f>
        <v>556.24873500000001</v>
      </c>
      <c r="X43" s="266"/>
      <c r="Y43" s="266">
        <f>IF(Y37+Y39+Y41=Y35+Y36,Y38+Y40+Y42,"Comprobar")</f>
        <v>556.24873500000001</v>
      </c>
      <c r="Z43" s="266"/>
      <c r="AA43" s="266">
        <f>IF(AA37+AA39+AA41=AA35+AA36,AA38+AA40+AA42,"Comprobar")</f>
        <v>556.24873500000001</v>
      </c>
      <c r="AB43" s="266"/>
      <c r="AC43" s="266">
        <f>IF(AC37+AC39+AC41=AC35+AC36,AC38+AC40+AC42,"Comprobar")</f>
        <v>556.24873500000001</v>
      </c>
      <c r="AD43" s="266"/>
      <c r="AF43" s="273" t="s">
        <v>371</v>
      </c>
      <c r="AG43" s="273"/>
      <c r="AH43" s="266">
        <f>IF(AH37+AH39+AH41=AH35+AH36,AH38+AH40+AH42,"Comprobar")</f>
        <v>572.48492175000001</v>
      </c>
      <c r="AI43" s="266"/>
      <c r="AJ43" s="266">
        <f>IF(AJ37+AJ39+AJ41=AJ35+AJ36,AJ38+AJ40+AJ42,"Comprobar")</f>
        <v>572.48492175000001</v>
      </c>
      <c r="AK43" s="266"/>
      <c r="AL43" s="266">
        <f>IF(AL37+AL39+AL41=AL35+AL36,AL38+AL40+AL42,"Comprobar")</f>
        <v>584.06117174999997</v>
      </c>
      <c r="AM43" s="266"/>
      <c r="AN43" s="266">
        <f>IF(AN37+AN39+AN41=AN35+AN36,AN38+AN40+AN42,"Comprobar")</f>
        <v>584.06117174999997</v>
      </c>
      <c r="AO43" s="266"/>
      <c r="AP43" s="266">
        <f>IF(AP37+AP39+AP41=AP35+AP36,AP38+AP40+AP42,"Comprobar")</f>
        <v>584.06117174999997</v>
      </c>
      <c r="AQ43" s="266"/>
      <c r="AR43" s="266">
        <f>IF(AR37+AR39+AR41=AR35+AR36,AR38+AR40+AR42,"Comprobar")</f>
        <v>584.06117174999997</v>
      </c>
      <c r="AS43" s="266"/>
    </row>
    <row r="45" spans="2:60">
      <c r="B45" s="273" t="s">
        <v>69</v>
      </c>
      <c r="C45" s="273"/>
      <c r="D45" s="234">
        <v>7</v>
      </c>
      <c r="E45" s="234"/>
      <c r="F45" s="234">
        <v>8</v>
      </c>
      <c r="G45" s="234"/>
      <c r="H45" s="234">
        <v>9</v>
      </c>
      <c r="I45" s="234"/>
      <c r="J45" s="234">
        <v>10</v>
      </c>
      <c r="K45" s="234"/>
      <c r="L45" s="234">
        <v>11</v>
      </c>
      <c r="M45" s="234"/>
      <c r="N45" s="234">
        <v>12</v>
      </c>
      <c r="O45" s="234"/>
      <c r="Q45" s="273" t="s">
        <v>69</v>
      </c>
      <c r="R45" s="273"/>
      <c r="S45" s="234">
        <v>7</v>
      </c>
      <c r="T45" s="234"/>
      <c r="U45" s="234">
        <v>8</v>
      </c>
      <c r="V45" s="234"/>
      <c r="W45" s="234">
        <v>9</v>
      </c>
      <c r="X45" s="234"/>
      <c r="Y45" s="234">
        <v>10</v>
      </c>
      <c r="Z45" s="234"/>
      <c r="AA45" s="234">
        <v>11</v>
      </c>
      <c r="AB45" s="234"/>
      <c r="AC45" s="234">
        <v>12</v>
      </c>
      <c r="AD45" s="234"/>
      <c r="AF45" s="273" t="s">
        <v>69</v>
      </c>
      <c r="AG45" s="273"/>
      <c r="AH45" s="234">
        <v>7</v>
      </c>
      <c r="AI45" s="234"/>
      <c r="AJ45" s="234">
        <v>8</v>
      </c>
      <c r="AK45" s="234"/>
      <c r="AL45" s="234">
        <v>9</v>
      </c>
      <c r="AM45" s="234"/>
      <c r="AN45" s="234">
        <v>10</v>
      </c>
      <c r="AO45" s="234"/>
      <c r="AP45" s="234">
        <v>11</v>
      </c>
      <c r="AQ45" s="234"/>
      <c r="AR45" s="234">
        <v>12</v>
      </c>
      <c r="AS45" s="234"/>
    </row>
    <row r="46" spans="2:60">
      <c r="B46" s="273" t="s">
        <v>222</v>
      </c>
      <c r="C46" s="273"/>
      <c r="D46" s="264">
        <f>'2. P. MARKETING'!BO39</f>
        <v>250</v>
      </c>
      <c r="E46" s="265"/>
      <c r="F46" s="264">
        <f>'2. P. MARKETING'!BQ39</f>
        <v>250</v>
      </c>
      <c r="G46" s="265"/>
      <c r="H46" s="264">
        <f>'2. P. MARKETING'!BS39</f>
        <v>250</v>
      </c>
      <c r="I46" s="265"/>
      <c r="J46" s="264">
        <f>'2. P. MARKETING'!BU39</f>
        <v>250</v>
      </c>
      <c r="K46" s="265"/>
      <c r="L46" s="264">
        <f>'2. P. MARKETING'!BW39</f>
        <v>250</v>
      </c>
      <c r="M46" s="265"/>
      <c r="N46" s="264">
        <f>'2. P. MARKETING'!BY39</f>
        <v>250</v>
      </c>
      <c r="O46" s="265"/>
      <c r="Q46" s="273" t="s">
        <v>222</v>
      </c>
      <c r="R46" s="273"/>
      <c r="S46" s="264">
        <f>D46*(1+ '6. PEF1. PLAN COMERCIAL'!$F$29)</f>
        <v>262.5</v>
      </c>
      <c r="T46" s="265"/>
      <c r="U46" s="264">
        <f>F46*(1+ '6. PEF1. PLAN COMERCIAL'!$F$29)</f>
        <v>262.5</v>
      </c>
      <c r="V46" s="265"/>
      <c r="W46" s="264">
        <f>H46*(1+ '6. PEF1. PLAN COMERCIAL'!$F$29)</f>
        <v>262.5</v>
      </c>
      <c r="X46" s="265"/>
      <c r="Y46" s="264">
        <f>J46*(1+ '6. PEF1. PLAN COMERCIAL'!$F$29)</f>
        <v>262.5</v>
      </c>
      <c r="Z46" s="265"/>
      <c r="AA46" s="264">
        <f>L46*(1+ '6. PEF1. PLAN COMERCIAL'!$F$29)</f>
        <v>262.5</v>
      </c>
      <c r="AB46" s="265"/>
      <c r="AC46" s="264">
        <f>N46*(1+ '6. PEF1. PLAN COMERCIAL'!$F$29)</f>
        <v>262.5</v>
      </c>
      <c r="AD46" s="265"/>
      <c r="AF46" s="273" t="s">
        <v>222</v>
      </c>
      <c r="AG46" s="273"/>
      <c r="AH46" s="264">
        <f>S46*(1+ '6. PEF1. PLAN COMERCIAL'!$F$29)</f>
        <v>275.625</v>
      </c>
      <c r="AI46" s="265"/>
      <c r="AJ46" s="264">
        <f>U46*(1+ '6. PEF1. PLAN COMERCIAL'!$F$29)</f>
        <v>275.625</v>
      </c>
      <c r="AK46" s="265"/>
      <c r="AL46" s="264">
        <f>W46*(1+ '6. PEF1. PLAN COMERCIAL'!$F$29)</f>
        <v>275.625</v>
      </c>
      <c r="AM46" s="265"/>
      <c r="AN46" s="264">
        <f>Y46*(1+ '6. PEF1. PLAN COMERCIAL'!$F$29)</f>
        <v>275.625</v>
      </c>
      <c r="AO46" s="265"/>
      <c r="AP46" s="264">
        <f>AA46*(1+ '6. PEF1. PLAN COMERCIAL'!$F$29)</f>
        <v>275.625</v>
      </c>
      <c r="AQ46" s="265"/>
      <c r="AR46" s="264">
        <f>AC46*(1+ '6. PEF1. PLAN COMERCIAL'!$F$29)</f>
        <v>275.625</v>
      </c>
      <c r="AS46" s="265"/>
    </row>
    <row r="47" spans="2:60">
      <c r="B47" s="273" t="s">
        <v>361</v>
      </c>
      <c r="C47" s="274"/>
      <c r="D47" s="264">
        <f>ROUND($AW$23/12,2)</f>
        <v>2272.67</v>
      </c>
      <c r="E47" s="265"/>
      <c r="F47" s="264">
        <f>ROUND($AW$23/12,2)</f>
        <v>2272.67</v>
      </c>
      <c r="G47" s="265"/>
      <c r="H47" s="264">
        <f>ROUND($AW$23/12,2)</f>
        <v>2272.67</v>
      </c>
      <c r="I47" s="265"/>
      <c r="J47" s="264">
        <f>ROUND($AW$23/12,2)</f>
        <v>2272.67</v>
      </c>
      <c r="K47" s="265"/>
      <c r="L47" s="264">
        <f>ROUND($AW$23/12,2)</f>
        <v>2272.67</v>
      </c>
      <c r="M47" s="265"/>
      <c r="N47" s="264">
        <f>ROUND($AW$23/12,2)</f>
        <v>2272.67</v>
      </c>
      <c r="O47" s="265"/>
      <c r="Q47" s="273" t="s">
        <v>361</v>
      </c>
      <c r="R47" s="274"/>
      <c r="S47" s="264">
        <f>D47*(1+'6. PEF5. VENTAS Y COSTES'!$F$43)</f>
        <v>2386.3035</v>
      </c>
      <c r="T47" s="265"/>
      <c r="U47" s="264">
        <f>F47*(1+'6. PEF5. VENTAS Y COSTES'!$F$43)</f>
        <v>2386.3035</v>
      </c>
      <c r="V47" s="265"/>
      <c r="W47" s="264">
        <f>H47*(1+'6. PEF5. VENTAS Y COSTES'!$F$43)</f>
        <v>2386.3035</v>
      </c>
      <c r="X47" s="265"/>
      <c r="Y47" s="264">
        <f>J47*(1+'6. PEF5. VENTAS Y COSTES'!$F$43)</f>
        <v>2386.3035</v>
      </c>
      <c r="Z47" s="265"/>
      <c r="AA47" s="264">
        <f>L47*(1+'6. PEF5. VENTAS Y COSTES'!$F$43)</f>
        <v>2386.3035</v>
      </c>
      <c r="AB47" s="265"/>
      <c r="AC47" s="264">
        <f>N47*(1+'6. PEF5. VENTAS Y COSTES'!$F$43)</f>
        <v>2386.3035</v>
      </c>
      <c r="AD47" s="265"/>
      <c r="AF47" s="273" t="s">
        <v>361</v>
      </c>
      <c r="AG47" s="274"/>
      <c r="AH47" s="264">
        <f>S47*(1+'6. PEF5. VENTAS Y COSTES'!$F$43)</f>
        <v>2505.6186750000002</v>
      </c>
      <c r="AI47" s="265"/>
      <c r="AJ47" s="264">
        <f>U47*(1+'6. PEF5. VENTAS Y COSTES'!$F$43)</f>
        <v>2505.6186750000002</v>
      </c>
      <c r="AK47" s="265"/>
      <c r="AL47" s="264">
        <f>W47*(1+'6. PEF5. VENTAS Y COSTES'!$F$43)</f>
        <v>2505.6186750000002</v>
      </c>
      <c r="AM47" s="265"/>
      <c r="AN47" s="264">
        <f>Y47*(1+'6. PEF5. VENTAS Y COSTES'!$F$43)</f>
        <v>2505.6186750000002</v>
      </c>
      <c r="AO47" s="265"/>
      <c r="AP47" s="264">
        <f>AA47*(1+'6. PEF5. VENTAS Y COSTES'!$F$43)</f>
        <v>2505.6186750000002</v>
      </c>
      <c r="AQ47" s="265"/>
      <c r="AR47" s="264">
        <f>AC47*(1+'6. PEF5. VENTAS Y COSTES'!$F$43)</f>
        <v>2505.6186750000002</v>
      </c>
      <c r="AS47" s="265"/>
    </row>
    <row r="48" spans="2:60">
      <c r="B48" s="271" t="s">
        <v>362</v>
      </c>
      <c r="C48" s="272"/>
      <c r="D48" s="267"/>
      <c r="E48" s="268"/>
      <c r="F48" s="267"/>
      <c r="G48" s="268"/>
      <c r="H48" s="267"/>
      <c r="I48" s="268"/>
      <c r="J48" s="267"/>
      <c r="K48" s="268"/>
      <c r="L48" s="267"/>
      <c r="M48" s="268"/>
      <c r="N48" s="267"/>
      <c r="O48" s="268"/>
      <c r="Q48" s="271" t="s">
        <v>362</v>
      </c>
      <c r="R48" s="272"/>
      <c r="S48" s="264">
        <f>(S46+S47)*D48/(D46+D47)</f>
        <v>0</v>
      </c>
      <c r="T48" s="265"/>
      <c r="U48" s="264">
        <f>(U46+U47)*F48/(F46+F47)</f>
        <v>0</v>
      </c>
      <c r="V48" s="265"/>
      <c r="W48" s="264">
        <f>(W46+W47)*H48/(H46+H47)</f>
        <v>0</v>
      </c>
      <c r="X48" s="265"/>
      <c r="Y48" s="264">
        <f>(Y46+Y47)*J48/(J46+J47)</f>
        <v>0</v>
      </c>
      <c r="Z48" s="265"/>
      <c r="AA48" s="264">
        <f>(AA46+AA47)*L48/(L46+L47)</f>
        <v>0</v>
      </c>
      <c r="AB48" s="265"/>
      <c r="AC48" s="264">
        <f>(AC46+AC47)*N48/(N46+N47)</f>
        <v>0</v>
      </c>
      <c r="AD48" s="265"/>
      <c r="AF48" s="271" t="s">
        <v>362</v>
      </c>
      <c r="AG48" s="272"/>
      <c r="AH48" s="264">
        <f>(AH46+AH47)*S48/(S46+S47)</f>
        <v>0</v>
      </c>
      <c r="AI48" s="265"/>
      <c r="AJ48" s="264">
        <f>(AJ46+AJ47)*U48/(U46+U47)</f>
        <v>0</v>
      </c>
      <c r="AK48" s="265"/>
      <c r="AL48" s="264">
        <f>(AL46+AL47)*W48/(W46+W47)</f>
        <v>0</v>
      </c>
      <c r="AM48" s="265"/>
      <c r="AN48" s="264">
        <f>(AN46+AN47)*Y48/(Y46+Y47)</f>
        <v>0</v>
      </c>
      <c r="AO48" s="265"/>
      <c r="AP48" s="264">
        <f>(AP46+AP47)*AA48/(AA46+AA47)</f>
        <v>0</v>
      </c>
      <c r="AQ48" s="265"/>
      <c r="AR48" s="264">
        <f>(AR46+AR47)*AC48/(AC46+AC47)</f>
        <v>0</v>
      </c>
      <c r="AS48" s="265"/>
    </row>
    <row r="49" spans="1:60">
      <c r="B49" s="139" t="s">
        <v>232</v>
      </c>
      <c r="C49" s="140">
        <f>$J$10</f>
        <v>0.04</v>
      </c>
      <c r="D49" s="266">
        <f>D48*$J$10</f>
        <v>0</v>
      </c>
      <c r="E49" s="266"/>
      <c r="F49" s="266">
        <f>F48*$J$10</f>
        <v>0</v>
      </c>
      <c r="G49" s="266"/>
      <c r="H49" s="266">
        <f>H48*$J$10</f>
        <v>0</v>
      </c>
      <c r="I49" s="266"/>
      <c r="J49" s="266">
        <f>J48*$J$10</f>
        <v>0</v>
      </c>
      <c r="K49" s="266"/>
      <c r="L49" s="266">
        <f>L48*$J$10</f>
        <v>0</v>
      </c>
      <c r="M49" s="266"/>
      <c r="N49" s="266">
        <f>N48*$J$10</f>
        <v>0</v>
      </c>
      <c r="O49" s="266"/>
      <c r="Q49" s="139" t="s">
        <v>232</v>
      </c>
      <c r="R49" s="140">
        <f>$J$10</f>
        <v>0.04</v>
      </c>
      <c r="S49" s="266">
        <f>S48*$J$10</f>
        <v>0</v>
      </c>
      <c r="T49" s="266"/>
      <c r="U49" s="266">
        <f>U48*$J$10</f>
        <v>0</v>
      </c>
      <c r="V49" s="266"/>
      <c r="W49" s="266">
        <f>W48*$J$10</f>
        <v>0</v>
      </c>
      <c r="X49" s="266"/>
      <c r="Y49" s="266">
        <f>Y48*$J$10</f>
        <v>0</v>
      </c>
      <c r="Z49" s="266"/>
      <c r="AA49" s="266">
        <f>AA48*$J$10</f>
        <v>0</v>
      </c>
      <c r="AB49" s="266"/>
      <c r="AC49" s="266">
        <f>AC48*$J$10</f>
        <v>0</v>
      </c>
      <c r="AD49" s="266"/>
      <c r="AF49" s="139" t="s">
        <v>232</v>
      </c>
      <c r="AG49" s="140">
        <f>$J$10</f>
        <v>0.04</v>
      </c>
      <c r="AH49" s="266">
        <f>AH48*$J$10</f>
        <v>0</v>
      </c>
      <c r="AI49" s="266"/>
      <c r="AJ49" s="266">
        <f>AJ48*$J$10</f>
        <v>0</v>
      </c>
      <c r="AK49" s="266"/>
      <c r="AL49" s="266">
        <f>AL48*$J$10</f>
        <v>0</v>
      </c>
      <c r="AM49" s="266"/>
      <c r="AN49" s="266">
        <f>AN48*$J$10</f>
        <v>0</v>
      </c>
      <c r="AO49" s="266"/>
      <c r="AP49" s="266">
        <f>AP48*$J$10</f>
        <v>0</v>
      </c>
      <c r="AQ49" s="266"/>
      <c r="AR49" s="266">
        <f>AR48*$J$10</f>
        <v>0</v>
      </c>
      <c r="AS49" s="266"/>
    </row>
    <row r="50" spans="1:60">
      <c r="B50" s="269" t="s">
        <v>362</v>
      </c>
      <c r="C50" s="270"/>
      <c r="D50" s="267"/>
      <c r="E50" s="268"/>
      <c r="F50" s="267"/>
      <c r="G50" s="268"/>
      <c r="H50" s="267"/>
      <c r="I50" s="268"/>
      <c r="J50" s="267"/>
      <c r="K50" s="268"/>
      <c r="L50" s="267"/>
      <c r="M50" s="268"/>
      <c r="N50" s="267"/>
      <c r="O50" s="268"/>
      <c r="Q50" s="269" t="s">
        <v>362</v>
      </c>
      <c r="R50" s="270"/>
      <c r="S50" s="264">
        <f>(S46+S47)*D50/(D46+D47)</f>
        <v>0</v>
      </c>
      <c r="T50" s="265"/>
      <c r="U50" s="264">
        <f>(U46+U47)*F50/(F46+F47)</f>
        <v>0</v>
      </c>
      <c r="V50" s="265"/>
      <c r="W50" s="264">
        <f>(W46+W47)*H50/(H46+H47)</f>
        <v>0</v>
      </c>
      <c r="X50" s="265"/>
      <c r="Y50" s="264">
        <f>(Y46+Y47)*J50/(J46+J47)</f>
        <v>0</v>
      </c>
      <c r="Z50" s="265"/>
      <c r="AA50" s="264">
        <f>(AA46+AA47)*L50/(L46+L47)</f>
        <v>0</v>
      </c>
      <c r="AB50" s="265"/>
      <c r="AC50" s="264">
        <f>(AC46+AC47)*N50/(N46+N47)</f>
        <v>0</v>
      </c>
      <c r="AD50" s="265"/>
      <c r="AF50" s="269" t="s">
        <v>362</v>
      </c>
      <c r="AG50" s="270"/>
      <c r="AH50" s="264">
        <f>(AH46+AH47)*S50/(S46+S47)</f>
        <v>0</v>
      </c>
      <c r="AI50" s="265"/>
      <c r="AJ50" s="264">
        <f>(AJ46+AJ47)*U50/(U46+U47)</f>
        <v>0</v>
      </c>
      <c r="AK50" s="265"/>
      <c r="AL50" s="264">
        <f>(AL46+AL47)*W50/(W46+W47)</f>
        <v>0</v>
      </c>
      <c r="AM50" s="265"/>
      <c r="AN50" s="264">
        <f>(AN46+AN47)*Y50/(Y46+Y47)</f>
        <v>0</v>
      </c>
      <c r="AO50" s="265"/>
      <c r="AP50" s="264">
        <f>(AP46+AP47)*AA50/(AA46+AA47)</f>
        <v>0</v>
      </c>
      <c r="AQ50" s="265"/>
      <c r="AR50" s="264">
        <f>(AR46+AR47)*AC50/(AC46+AC47)</f>
        <v>0</v>
      </c>
      <c r="AS50" s="265"/>
    </row>
    <row r="51" spans="1:60">
      <c r="B51" s="141" t="s">
        <v>232</v>
      </c>
      <c r="C51" s="142">
        <f>$L$10</f>
        <v>0.1</v>
      </c>
      <c r="D51" s="266">
        <f>D50*$L$10</f>
        <v>0</v>
      </c>
      <c r="E51" s="266"/>
      <c r="F51" s="266">
        <f>F50*$L$10</f>
        <v>0</v>
      </c>
      <c r="G51" s="266"/>
      <c r="H51" s="266">
        <f>H50*$L$10</f>
        <v>0</v>
      </c>
      <c r="I51" s="266"/>
      <c r="J51" s="266">
        <f>J50*$L$10</f>
        <v>0</v>
      </c>
      <c r="K51" s="266"/>
      <c r="L51" s="266">
        <f>L50*$L$10</f>
        <v>0</v>
      </c>
      <c r="M51" s="266"/>
      <c r="N51" s="266">
        <f>N50*$L$10</f>
        <v>0</v>
      </c>
      <c r="O51" s="266"/>
      <c r="Q51" s="141" t="s">
        <v>232</v>
      </c>
      <c r="R51" s="142">
        <f>$L$10</f>
        <v>0.1</v>
      </c>
      <c r="S51" s="266">
        <f>S50*$L$10</f>
        <v>0</v>
      </c>
      <c r="T51" s="266"/>
      <c r="U51" s="266">
        <f>U50*$L$10</f>
        <v>0</v>
      </c>
      <c r="V51" s="266"/>
      <c r="W51" s="266">
        <f>W50*$L$10</f>
        <v>0</v>
      </c>
      <c r="X51" s="266"/>
      <c r="Y51" s="266">
        <f>Y50*$L$10</f>
        <v>0</v>
      </c>
      <c r="Z51" s="266"/>
      <c r="AA51" s="266">
        <f>AA50*$L$10</f>
        <v>0</v>
      </c>
      <c r="AB51" s="266"/>
      <c r="AC51" s="266">
        <f>AC50*$L$10</f>
        <v>0</v>
      </c>
      <c r="AD51" s="266"/>
      <c r="AF51" s="141" t="s">
        <v>232</v>
      </c>
      <c r="AG51" s="142">
        <f>$L$10</f>
        <v>0.1</v>
      </c>
      <c r="AH51" s="266">
        <f>AH50*$L$10</f>
        <v>0</v>
      </c>
      <c r="AI51" s="266"/>
      <c r="AJ51" s="266">
        <f>AJ50*$L$10</f>
        <v>0</v>
      </c>
      <c r="AK51" s="266"/>
      <c r="AL51" s="266">
        <f>AL50*$L$10</f>
        <v>0</v>
      </c>
      <c r="AM51" s="266"/>
      <c r="AN51" s="266">
        <f>AN50*$L$10</f>
        <v>0</v>
      </c>
      <c r="AO51" s="266"/>
      <c r="AP51" s="266">
        <f>AP50*$L$10</f>
        <v>0</v>
      </c>
      <c r="AQ51" s="266"/>
      <c r="AR51" s="266">
        <f>AR50*$L$10</f>
        <v>0</v>
      </c>
      <c r="AS51" s="266"/>
    </row>
    <row r="52" spans="1:60">
      <c r="B52" s="277" t="s">
        <v>362</v>
      </c>
      <c r="C52" s="278"/>
      <c r="D52" s="267">
        <v>2522.67</v>
      </c>
      <c r="E52" s="268"/>
      <c r="F52" s="267">
        <v>2522.67</v>
      </c>
      <c r="G52" s="268"/>
      <c r="H52" s="267">
        <v>2522.67</v>
      </c>
      <c r="I52" s="268"/>
      <c r="J52" s="267">
        <v>2522.67</v>
      </c>
      <c r="K52" s="268"/>
      <c r="L52" s="267">
        <v>2522.67</v>
      </c>
      <c r="M52" s="268"/>
      <c r="N52" s="267">
        <v>2522.67</v>
      </c>
      <c r="O52" s="268"/>
      <c r="Q52" s="277" t="s">
        <v>362</v>
      </c>
      <c r="R52" s="278"/>
      <c r="S52" s="264">
        <f>(S46+S47)*D52/(D46+D47)</f>
        <v>2648.8035</v>
      </c>
      <c r="T52" s="265"/>
      <c r="U52" s="264">
        <f>(U46+U47)*F52/(F46+F47)</f>
        <v>2648.8035</v>
      </c>
      <c r="V52" s="265"/>
      <c r="W52" s="264">
        <f>(W46+W47)*H52/(H46+H47)</f>
        <v>2648.8035</v>
      </c>
      <c r="X52" s="265"/>
      <c r="Y52" s="264">
        <f>(Y46+Y47)*J52/(J46+J47)</f>
        <v>2648.8035</v>
      </c>
      <c r="Z52" s="265"/>
      <c r="AA52" s="264">
        <f>(AA46+AA47)*L52/(L46+L47)</f>
        <v>2648.8035</v>
      </c>
      <c r="AB52" s="265"/>
      <c r="AC52" s="264">
        <f>(AC46+AC47)*N52/(N46+N47)</f>
        <v>2648.8035</v>
      </c>
      <c r="AD52" s="265"/>
      <c r="AF52" s="277" t="s">
        <v>362</v>
      </c>
      <c r="AG52" s="278"/>
      <c r="AH52" s="264">
        <f>(AH46+AH47)*S52/(S46+S47)</f>
        <v>2781.2436750000002</v>
      </c>
      <c r="AI52" s="265"/>
      <c r="AJ52" s="264">
        <f>(AJ46+AJ47)*U52/(U46+U47)</f>
        <v>2781.2436750000002</v>
      </c>
      <c r="AK52" s="265"/>
      <c r="AL52" s="264">
        <f>(AL46+AL47)*W52/(W46+W47)</f>
        <v>2781.2436750000002</v>
      </c>
      <c r="AM52" s="265"/>
      <c r="AN52" s="264">
        <f>(AN46+AN47)*Y52/(Y46+Y47)</f>
        <v>2781.2436750000002</v>
      </c>
      <c r="AO52" s="265"/>
      <c r="AP52" s="264">
        <f>(AP46+AP47)*AA52/(AA46+AA47)</f>
        <v>2781.2436750000002</v>
      </c>
      <c r="AQ52" s="265"/>
      <c r="AR52" s="264">
        <f>(AR46+AR47)*AC52/(AC46+AC47)</f>
        <v>2781.2436750000002</v>
      </c>
      <c r="AS52" s="265"/>
    </row>
    <row r="53" spans="1:60">
      <c r="B53" s="143" t="s">
        <v>232</v>
      </c>
      <c r="C53" s="144">
        <f>$N$10</f>
        <v>0.21</v>
      </c>
      <c r="D53" s="266">
        <f>D52*$N$10</f>
        <v>529.76070000000004</v>
      </c>
      <c r="E53" s="266"/>
      <c r="F53" s="266">
        <f>F52*$N$10</f>
        <v>529.76070000000004</v>
      </c>
      <c r="G53" s="266"/>
      <c r="H53" s="266">
        <f>H52*$N$10</f>
        <v>529.76070000000004</v>
      </c>
      <c r="I53" s="266"/>
      <c r="J53" s="266">
        <f>J52*$N$10</f>
        <v>529.76070000000004</v>
      </c>
      <c r="K53" s="266"/>
      <c r="L53" s="266">
        <f>L52*$N$10</f>
        <v>529.76070000000004</v>
      </c>
      <c r="M53" s="266"/>
      <c r="N53" s="266">
        <f>N52*$N$10</f>
        <v>529.76070000000004</v>
      </c>
      <c r="O53" s="266"/>
      <c r="Q53" s="143" t="s">
        <v>232</v>
      </c>
      <c r="R53" s="144">
        <f>$N$10</f>
        <v>0.21</v>
      </c>
      <c r="S53" s="266">
        <f>S52*$N$10</f>
        <v>556.24873500000001</v>
      </c>
      <c r="T53" s="266"/>
      <c r="U53" s="266">
        <f>U52*$N$10</f>
        <v>556.24873500000001</v>
      </c>
      <c r="V53" s="266"/>
      <c r="W53" s="266">
        <f>W52*$N$10</f>
        <v>556.24873500000001</v>
      </c>
      <c r="X53" s="266"/>
      <c r="Y53" s="266">
        <f>Y52*$N$10</f>
        <v>556.24873500000001</v>
      </c>
      <c r="Z53" s="266"/>
      <c r="AA53" s="266">
        <f>AA52*$N$10</f>
        <v>556.24873500000001</v>
      </c>
      <c r="AB53" s="266"/>
      <c r="AC53" s="266">
        <f>AC52*$N$10</f>
        <v>556.24873500000001</v>
      </c>
      <c r="AD53" s="266"/>
      <c r="AF53" s="143" t="s">
        <v>232</v>
      </c>
      <c r="AG53" s="144">
        <f>$N$10</f>
        <v>0.21</v>
      </c>
      <c r="AH53" s="266">
        <f>AH52*$N$10</f>
        <v>584.06117174999997</v>
      </c>
      <c r="AI53" s="266"/>
      <c r="AJ53" s="266">
        <f>AJ52*$N$10</f>
        <v>584.06117174999997</v>
      </c>
      <c r="AK53" s="266"/>
      <c r="AL53" s="266">
        <f>AL52*$N$10</f>
        <v>584.06117174999997</v>
      </c>
      <c r="AM53" s="266"/>
      <c r="AN53" s="266">
        <f>AN52*$N$10</f>
        <v>584.06117174999997</v>
      </c>
      <c r="AO53" s="266"/>
      <c r="AP53" s="266">
        <f>AP52*$N$10</f>
        <v>584.06117174999997</v>
      </c>
      <c r="AQ53" s="266"/>
      <c r="AR53" s="266">
        <f>AR52*$N$10</f>
        <v>584.06117174999997</v>
      </c>
      <c r="AS53" s="266"/>
    </row>
    <row r="54" spans="1:60">
      <c r="B54" s="273" t="s">
        <v>371</v>
      </c>
      <c r="C54" s="273"/>
      <c r="D54" s="266">
        <f>IF(D48+D50+D52=D46+D47,D49+D51+D53,"Comprobar")</f>
        <v>529.76070000000004</v>
      </c>
      <c r="E54" s="266"/>
      <c r="F54" s="266">
        <f>IF(F48+F50+F52=F46+F47,F49+F51+F53,"Comprobar")</f>
        <v>529.76070000000004</v>
      </c>
      <c r="G54" s="266"/>
      <c r="H54" s="266">
        <f>IF(H48+H50+H52=H46+H47,H49+H51+H53,"Comprobar")</f>
        <v>529.76070000000004</v>
      </c>
      <c r="I54" s="266"/>
      <c r="J54" s="266">
        <f>IF(J48+J50+J52=J46+J47,J49+J51+J53,"Comprobar")</f>
        <v>529.76070000000004</v>
      </c>
      <c r="K54" s="266"/>
      <c r="L54" s="266">
        <f>IF(L48+L50+L52=L46+L47,L49+L51+L53,"Comprobar")</f>
        <v>529.76070000000004</v>
      </c>
      <c r="M54" s="266"/>
      <c r="N54" s="266">
        <f>IF(N48+N50+N52=N46+N47,N49+N51+N53,"Comprobar")</f>
        <v>529.76070000000004</v>
      </c>
      <c r="O54" s="266"/>
      <c r="Q54" s="273" t="s">
        <v>371</v>
      </c>
      <c r="R54" s="273"/>
      <c r="S54" s="266">
        <f>IF(S48+S50+S52=S46+S47,S49+S51+S53,"Comprobar")</f>
        <v>556.24873500000001</v>
      </c>
      <c r="T54" s="266"/>
      <c r="U54" s="266">
        <f>IF(U48+U50+U52=U46+U47,U49+U51+U53,"Comprobar")</f>
        <v>556.24873500000001</v>
      </c>
      <c r="V54" s="266"/>
      <c r="W54" s="266">
        <f>IF(W48+W50+W52=W46+W47,W49+W51+W53,"Comprobar")</f>
        <v>556.24873500000001</v>
      </c>
      <c r="X54" s="266"/>
      <c r="Y54" s="266">
        <f>IF(Y48+Y50+Y52=Y46+Y47,Y49+Y51+Y53,"Comprobar")</f>
        <v>556.24873500000001</v>
      </c>
      <c r="Z54" s="266"/>
      <c r="AA54" s="266">
        <f>IF(AA48+AA50+AA52=AA46+AA47,AA49+AA51+AA53,"Comprobar")</f>
        <v>556.24873500000001</v>
      </c>
      <c r="AB54" s="266"/>
      <c r="AC54" s="266">
        <f>IF(AC48+AC50+AC52=AC46+AC47,AC49+AC51+AC53,"Comprobar")</f>
        <v>556.24873500000001</v>
      </c>
      <c r="AD54" s="266"/>
      <c r="AF54" s="273" t="s">
        <v>371</v>
      </c>
      <c r="AG54" s="273"/>
      <c r="AH54" s="266">
        <f>IF(AH48+AH50+AH52=AH46+AH47,AH49+AH51+AH53,"Comprobar")</f>
        <v>584.06117174999997</v>
      </c>
      <c r="AI54" s="266"/>
      <c r="AJ54" s="266">
        <f>IF(AJ48+AJ50+AJ52=AJ46+AJ47,AJ49+AJ51+AJ53,"Comprobar")</f>
        <v>584.06117174999997</v>
      </c>
      <c r="AK54" s="266"/>
      <c r="AL54" s="266">
        <f>IF(AL48+AL50+AL52=AL46+AL47,AL49+AL51+AL53,"Comprobar")</f>
        <v>584.06117174999997</v>
      </c>
      <c r="AM54" s="266"/>
      <c r="AN54" s="266">
        <f>IF(AN48+AN50+AN52=AN46+AN47,AN49+AN51+AN53,"Comprobar")</f>
        <v>584.06117174999997</v>
      </c>
      <c r="AO54" s="266"/>
      <c r="AP54" s="266">
        <f>IF(AP48+AP50+AP52=AP46+AP47,AP49+AP51+AP53,"Comprobar")</f>
        <v>584.06117174999997</v>
      </c>
      <c r="AQ54" s="266"/>
      <c r="AR54" s="266">
        <f>IF(AR48+AR50+AR52=AR46+AR47,AR49+AR51+AR53,"Comprobar")</f>
        <v>584.06117174999997</v>
      </c>
      <c r="AS54" s="266"/>
    </row>
    <row r="55" spans="1:60">
      <c r="B55" s="73"/>
      <c r="C55" s="73"/>
      <c r="D55" s="73"/>
      <c r="E55" s="73"/>
      <c r="F55" s="73"/>
      <c r="G55" s="73"/>
      <c r="H55" s="73"/>
      <c r="I55" s="73"/>
      <c r="J55" s="73"/>
      <c r="K55" s="73"/>
      <c r="L55" s="73"/>
      <c r="M55" s="73"/>
      <c r="N55" s="73"/>
      <c r="O55" s="73"/>
      <c r="Q55" s="73"/>
      <c r="R55" s="73"/>
      <c r="S55" s="73"/>
      <c r="T55" s="73"/>
      <c r="U55" s="73"/>
      <c r="V55" s="73"/>
      <c r="W55" s="73"/>
      <c r="X55" s="73"/>
      <c r="Y55" s="73"/>
      <c r="Z55" s="73"/>
      <c r="AA55" s="73"/>
      <c r="AB55" s="73"/>
      <c r="AC55" s="73"/>
      <c r="AD55" s="73"/>
      <c r="AF55" s="73"/>
      <c r="AG55" s="73"/>
      <c r="AH55" s="73"/>
      <c r="AI55" s="73"/>
      <c r="AJ55" s="73"/>
      <c r="AK55" s="73"/>
      <c r="AL55" s="73"/>
      <c r="AM55" s="73"/>
      <c r="AN55" s="73"/>
      <c r="AO55" s="73"/>
      <c r="AP55" s="73"/>
      <c r="AQ55" s="73"/>
      <c r="AR55" s="73"/>
      <c r="AS55" s="73"/>
      <c r="AU55" s="73"/>
      <c r="AV55" s="73"/>
      <c r="AW55" s="73"/>
      <c r="AX55" s="73"/>
      <c r="AY55" s="73"/>
      <c r="AZ55" s="73"/>
      <c r="BA55" s="73"/>
      <c r="BB55" s="73"/>
      <c r="BC55" s="73"/>
      <c r="BD55" s="73"/>
      <c r="BE55" s="73"/>
      <c r="BF55" s="73"/>
      <c r="BG55" s="73"/>
      <c r="BH55" s="73"/>
    </row>
    <row r="56" spans="1:60">
      <c r="A56" s="80"/>
      <c r="B56" s="166"/>
      <c r="C56" s="166"/>
      <c r="D56" s="166"/>
      <c r="E56" s="166"/>
      <c r="F56" s="166"/>
      <c r="G56" s="166"/>
      <c r="H56" s="166"/>
      <c r="I56" s="166"/>
      <c r="J56" s="80"/>
      <c r="K56" s="80"/>
      <c r="L56" s="80"/>
      <c r="M56" s="80"/>
      <c r="N56" s="80"/>
      <c r="O56" s="80"/>
      <c r="P56" s="80"/>
      <c r="Q56" s="166"/>
      <c r="R56" s="166"/>
      <c r="S56" s="166"/>
      <c r="T56" s="166"/>
      <c r="U56" s="166"/>
      <c r="V56" s="166"/>
      <c r="W56" s="166"/>
      <c r="X56" s="166"/>
      <c r="Y56" s="80"/>
      <c r="Z56" s="80"/>
      <c r="AA56" s="80"/>
      <c r="AB56" s="80"/>
      <c r="AC56" s="80"/>
      <c r="AD56" s="80"/>
      <c r="AE56" s="80"/>
      <c r="AF56" s="166"/>
      <c r="AG56" s="166"/>
      <c r="AH56" s="166"/>
      <c r="AI56" s="166"/>
      <c r="AJ56" s="166"/>
      <c r="AK56" s="166"/>
      <c r="AL56" s="166"/>
      <c r="AM56" s="166"/>
      <c r="AN56" s="80"/>
      <c r="AO56" s="80"/>
      <c r="AP56" s="80"/>
      <c r="AQ56" s="80"/>
      <c r="AR56" s="80"/>
      <c r="AS56" s="80"/>
      <c r="AT56" s="80"/>
      <c r="AU56" s="166"/>
      <c r="AV56" s="166"/>
      <c r="AW56" s="166"/>
      <c r="AX56" s="166"/>
      <c r="AY56" s="166"/>
      <c r="AZ56" s="166"/>
      <c r="BA56" s="166"/>
      <c r="BB56" s="166"/>
      <c r="BC56" s="80"/>
      <c r="BD56" s="80"/>
      <c r="BE56" s="80"/>
      <c r="BF56" s="80"/>
      <c r="BG56" s="80"/>
      <c r="BH56" s="80"/>
    </row>
    <row r="58" spans="1:60" ht="17.45">
      <c r="B58" s="72"/>
      <c r="Q58" s="72"/>
      <c r="AF58" s="72"/>
      <c r="AU58" s="72"/>
    </row>
  </sheetData>
  <sheetProtection password="F817" sheet="1" objects="1" scenarios="1" selectLockedCells="1"/>
  <mergeCells count="886">
    <mergeCell ref="B56:I56"/>
    <mergeCell ref="Q56:X56"/>
    <mergeCell ref="AF56:AM56"/>
    <mergeCell ref="AU56:BB56"/>
    <mergeCell ref="AF14:AG14"/>
    <mergeCell ref="AH17:AI17"/>
    <mergeCell ref="AL22:AM22"/>
    <mergeCell ref="AF24:AG24"/>
    <mergeCell ref="AA22:AB22"/>
    <mergeCell ref="AA25:AB25"/>
    <mergeCell ref="AH24:AI24"/>
    <mergeCell ref="AJ24:AK24"/>
    <mergeCell ref="AC28:AD28"/>
    <mergeCell ref="AL26:AM26"/>
    <mergeCell ref="AF26:AG26"/>
    <mergeCell ref="AH26:AI26"/>
    <mergeCell ref="AC27:AD27"/>
    <mergeCell ref="AC26:AD26"/>
    <mergeCell ref="AA17:AB17"/>
    <mergeCell ref="AC17:AD17"/>
    <mergeCell ref="AA19:AB19"/>
    <mergeCell ref="AC18:AD18"/>
    <mergeCell ref="AA24:AB24"/>
    <mergeCell ref="Q26:R26"/>
    <mergeCell ref="AL24:AM24"/>
    <mergeCell ref="AF23:AG23"/>
    <mergeCell ref="AH23:AI23"/>
    <mergeCell ref="AJ23:AK23"/>
    <mergeCell ref="AL23:AM23"/>
    <mergeCell ref="AC22:AD22"/>
    <mergeCell ref="AA20:AB20"/>
    <mergeCell ref="AC4:AD5"/>
    <mergeCell ref="AL10:AM10"/>
    <mergeCell ref="AJ19:AK19"/>
    <mergeCell ref="AH20:AI20"/>
    <mergeCell ref="AH19:AI19"/>
    <mergeCell ref="AL19:AM19"/>
    <mergeCell ref="B1:H1"/>
    <mergeCell ref="B3:H3"/>
    <mergeCell ref="Q3:W3"/>
    <mergeCell ref="AF3:AL3"/>
    <mergeCell ref="Q1:W1"/>
    <mergeCell ref="AF1:AL1"/>
    <mergeCell ref="N1:O3"/>
    <mergeCell ref="AC1:AD3"/>
    <mergeCell ref="Y9:Z9"/>
    <mergeCell ref="N4:O5"/>
    <mergeCell ref="L9:M9"/>
    <mergeCell ref="AF28:AG28"/>
    <mergeCell ref="AA23:AB23"/>
    <mergeCell ref="S29:T29"/>
    <mergeCell ref="U29:V29"/>
    <mergeCell ref="W26:X26"/>
    <mergeCell ref="W10:X10"/>
    <mergeCell ref="W14:X14"/>
    <mergeCell ref="W12:X12"/>
    <mergeCell ref="Y10:Z10"/>
    <mergeCell ref="AC25:AD25"/>
    <mergeCell ref="AC15:AD15"/>
    <mergeCell ref="AC20:AD20"/>
    <mergeCell ref="S17:T17"/>
    <mergeCell ref="AA26:AB26"/>
    <mergeCell ref="Y25:Z25"/>
    <mergeCell ref="Y23:Z23"/>
    <mergeCell ref="W22:X22"/>
    <mergeCell ref="AA27:AB27"/>
    <mergeCell ref="AA29:AB29"/>
    <mergeCell ref="AA28:AB28"/>
    <mergeCell ref="AC19:AD19"/>
    <mergeCell ref="AC23:AD23"/>
    <mergeCell ref="AR1:AS3"/>
    <mergeCell ref="AR4:AS5"/>
    <mergeCell ref="AN9:AO9"/>
    <mergeCell ref="AP9:AQ9"/>
    <mergeCell ref="AR9:AS9"/>
    <mergeCell ref="AA9:AB9"/>
    <mergeCell ref="AC9:AD9"/>
    <mergeCell ref="AF16:AG16"/>
    <mergeCell ref="AF18:AG18"/>
    <mergeCell ref="AJ13:AK13"/>
    <mergeCell ref="AH18:AI18"/>
    <mergeCell ref="AJ18:AK18"/>
    <mergeCell ref="AL18:AM18"/>
    <mergeCell ref="Q18:R18"/>
    <mergeCell ref="Q22:R22"/>
    <mergeCell ref="Q24:R24"/>
    <mergeCell ref="Q23:R23"/>
    <mergeCell ref="S20:T20"/>
    <mergeCell ref="S19:T19"/>
    <mergeCell ref="Q14:R14"/>
    <mergeCell ref="Q10:S10"/>
    <mergeCell ref="S12:T12"/>
    <mergeCell ref="T10:U10"/>
    <mergeCell ref="U12:V12"/>
    <mergeCell ref="Q12:R12"/>
    <mergeCell ref="Q13:R13"/>
    <mergeCell ref="S15:T15"/>
    <mergeCell ref="U15:V15"/>
    <mergeCell ref="U24:V24"/>
    <mergeCell ref="S16:T16"/>
    <mergeCell ref="U22:V22"/>
    <mergeCell ref="S22:T22"/>
    <mergeCell ref="B10:D10"/>
    <mergeCell ref="E10:F10"/>
    <mergeCell ref="AH14:AI14"/>
    <mergeCell ref="AJ14:AK14"/>
    <mergeCell ref="AC14:AD14"/>
    <mergeCell ref="AC12:AD12"/>
    <mergeCell ref="S13:T13"/>
    <mergeCell ref="U13:V13"/>
    <mergeCell ref="Y13:Z13"/>
    <mergeCell ref="AA13:AB13"/>
    <mergeCell ref="AA10:AB10"/>
    <mergeCell ref="AC10:AD10"/>
    <mergeCell ref="N10:O10"/>
    <mergeCell ref="AF10:AH10"/>
    <mergeCell ref="AI10:AJ10"/>
    <mergeCell ref="AH13:AI13"/>
    <mergeCell ref="AF13:AG13"/>
    <mergeCell ref="H10:I10"/>
    <mergeCell ref="AF52:AG52"/>
    <mergeCell ref="AN50:AO50"/>
    <mergeCell ref="AP50:AQ50"/>
    <mergeCell ref="AF50:AG50"/>
    <mergeCell ref="AJ22:AK22"/>
    <mergeCell ref="AF48:AG48"/>
    <mergeCell ref="AL48:AM48"/>
    <mergeCell ref="AJ43:AK43"/>
    <mergeCell ref="AL43:AM43"/>
    <mergeCell ref="AN46:AO46"/>
    <mergeCell ref="AF46:AG46"/>
    <mergeCell ref="AF41:AG41"/>
    <mergeCell ref="AF39:AG39"/>
    <mergeCell ref="AF37:AG37"/>
    <mergeCell ref="AH27:AI27"/>
    <mergeCell ref="AJ27:AK27"/>
    <mergeCell ref="AL27:AM27"/>
    <mergeCell ref="AN27:AO27"/>
    <mergeCell ref="AP27:AQ27"/>
    <mergeCell ref="AJ26:AK26"/>
    <mergeCell ref="AH28:AI28"/>
    <mergeCell ref="AJ28:AK28"/>
    <mergeCell ref="AL28:AM28"/>
    <mergeCell ref="AF22:AG22"/>
    <mergeCell ref="AN54:AO54"/>
    <mergeCell ref="AP54:AQ54"/>
    <mergeCell ref="AN52:AO52"/>
    <mergeCell ref="AP52:AQ52"/>
    <mergeCell ref="AL53:AM53"/>
    <mergeCell ref="AH22:AI22"/>
    <mergeCell ref="AJ50:AK50"/>
    <mergeCell ref="AL50:AM50"/>
    <mergeCell ref="AH48:AI48"/>
    <mergeCell ref="AJ48:AK48"/>
    <mergeCell ref="AH46:AI46"/>
    <mergeCell ref="AP46:AQ46"/>
    <mergeCell ref="AJ46:AK46"/>
    <mergeCell ref="AL46:AM46"/>
    <mergeCell ref="AN43:AO43"/>
    <mergeCell ref="AP43:AQ43"/>
    <mergeCell ref="AH39:AI39"/>
    <mergeCell ref="AJ39:AK39"/>
    <mergeCell ref="AL39:AM39"/>
    <mergeCell ref="AL35:AM35"/>
    <mergeCell ref="AN35:AO35"/>
    <mergeCell ref="AP35:AQ35"/>
    <mergeCell ref="AP34:AQ34"/>
    <mergeCell ref="AP30:AQ30"/>
    <mergeCell ref="AR54:AS54"/>
    <mergeCell ref="AF54:AG54"/>
    <mergeCell ref="AH54:AI54"/>
    <mergeCell ref="AJ54:AK54"/>
    <mergeCell ref="AL54:AM54"/>
    <mergeCell ref="AF36:AG36"/>
    <mergeCell ref="AR52:AS52"/>
    <mergeCell ref="AH53:AI53"/>
    <mergeCell ref="AJ53:AK53"/>
    <mergeCell ref="AH50:AI50"/>
    <mergeCell ref="AR53:AS53"/>
    <mergeCell ref="AH52:AI52"/>
    <mergeCell ref="AJ52:AK52"/>
    <mergeCell ref="AL52:AM52"/>
    <mergeCell ref="AN53:AO53"/>
    <mergeCell ref="AP53:AQ53"/>
    <mergeCell ref="AP48:AQ48"/>
    <mergeCell ref="AR50:AS50"/>
    <mergeCell ref="AH51:AI51"/>
    <mergeCell ref="AJ51:AK51"/>
    <mergeCell ref="AL51:AM51"/>
    <mergeCell ref="AN51:AO51"/>
    <mergeCell ref="AP51:AQ51"/>
    <mergeCell ref="AR51:AS51"/>
    <mergeCell ref="AR48:AS48"/>
    <mergeCell ref="AH49:AI49"/>
    <mergeCell ref="AJ49:AK49"/>
    <mergeCell ref="AL49:AM49"/>
    <mergeCell ref="AN49:AO49"/>
    <mergeCell ref="AP49:AQ49"/>
    <mergeCell ref="AR49:AS49"/>
    <mergeCell ref="AN48:AO48"/>
    <mergeCell ref="AF43:AG43"/>
    <mergeCell ref="AH43:AI43"/>
    <mergeCell ref="AR46:AS46"/>
    <mergeCell ref="AF47:AG47"/>
    <mergeCell ref="AH47:AI47"/>
    <mergeCell ref="AJ47:AK47"/>
    <mergeCell ref="AL47:AM47"/>
    <mergeCell ref="AN47:AO47"/>
    <mergeCell ref="AP47:AQ47"/>
    <mergeCell ref="AR47:AS47"/>
    <mergeCell ref="AF45:AG45"/>
    <mergeCell ref="AH45:AI45"/>
    <mergeCell ref="AJ45:AK45"/>
    <mergeCell ref="AL45:AM45"/>
    <mergeCell ref="AN45:AO45"/>
    <mergeCell ref="AP45:AQ45"/>
    <mergeCell ref="AR41:AS41"/>
    <mergeCell ref="AN41:AO41"/>
    <mergeCell ref="AP41:AQ41"/>
    <mergeCell ref="AR43:AS43"/>
    <mergeCell ref="AR45:AS45"/>
    <mergeCell ref="AH42:AI42"/>
    <mergeCell ref="AJ42:AK42"/>
    <mergeCell ref="AL42:AM42"/>
    <mergeCell ref="AN42:AO42"/>
    <mergeCell ref="AP42:AQ42"/>
    <mergeCell ref="AR42:AS42"/>
    <mergeCell ref="AH41:AI41"/>
    <mergeCell ref="AJ41:AK41"/>
    <mergeCell ref="AL41:AM41"/>
    <mergeCell ref="AR39:AS39"/>
    <mergeCell ref="AH40:AI40"/>
    <mergeCell ref="AJ40:AK40"/>
    <mergeCell ref="AL40:AM40"/>
    <mergeCell ref="AN40:AO40"/>
    <mergeCell ref="AP40:AQ40"/>
    <mergeCell ref="AR40:AS40"/>
    <mergeCell ref="AN39:AO39"/>
    <mergeCell ref="AP39:AQ39"/>
    <mergeCell ref="AR36:AS36"/>
    <mergeCell ref="AH38:AI38"/>
    <mergeCell ref="AJ38:AK38"/>
    <mergeCell ref="AL38:AM38"/>
    <mergeCell ref="AN38:AO38"/>
    <mergeCell ref="AH36:AI36"/>
    <mergeCell ref="AJ36:AK36"/>
    <mergeCell ref="AL36:AM36"/>
    <mergeCell ref="AN36:AO36"/>
    <mergeCell ref="AP36:AQ36"/>
    <mergeCell ref="AH37:AI37"/>
    <mergeCell ref="AJ37:AK37"/>
    <mergeCell ref="AL37:AM37"/>
    <mergeCell ref="AP38:AQ38"/>
    <mergeCell ref="AR38:AS38"/>
    <mergeCell ref="AN37:AO37"/>
    <mergeCell ref="AP37:AQ37"/>
    <mergeCell ref="AR37:AS37"/>
    <mergeCell ref="AR34:AS34"/>
    <mergeCell ref="AR35:AS35"/>
    <mergeCell ref="AL34:AM34"/>
    <mergeCell ref="AN34:AO34"/>
    <mergeCell ref="AF32:AJ32"/>
    <mergeCell ref="AF34:AG34"/>
    <mergeCell ref="AH34:AI34"/>
    <mergeCell ref="AJ34:AK34"/>
    <mergeCell ref="AF35:AG35"/>
    <mergeCell ref="AH35:AI35"/>
    <mergeCell ref="AJ35:AK35"/>
    <mergeCell ref="AR30:AS30"/>
    <mergeCell ref="AH29:AI29"/>
    <mergeCell ref="AJ29:AK29"/>
    <mergeCell ref="AL29:AM29"/>
    <mergeCell ref="AN29:AO29"/>
    <mergeCell ref="AH30:AI30"/>
    <mergeCell ref="AJ30:AK30"/>
    <mergeCell ref="AL30:AM30"/>
    <mergeCell ref="AN30:AO30"/>
    <mergeCell ref="AR29:AS29"/>
    <mergeCell ref="AN28:AO28"/>
    <mergeCell ref="AP28:AQ28"/>
    <mergeCell ref="AR28:AS28"/>
    <mergeCell ref="AN26:AO26"/>
    <mergeCell ref="AP26:AQ26"/>
    <mergeCell ref="AU28:AV28"/>
    <mergeCell ref="AU13:AV13"/>
    <mergeCell ref="AR15:AS15"/>
    <mergeCell ref="AR27:AS27"/>
    <mergeCell ref="AR25:AS25"/>
    <mergeCell ref="AN23:AO23"/>
    <mergeCell ref="AP23:AQ23"/>
    <mergeCell ref="AR23:AS23"/>
    <mergeCell ref="AN19:AO19"/>
    <mergeCell ref="AP19:AQ19"/>
    <mergeCell ref="AR19:AS19"/>
    <mergeCell ref="AN18:AO18"/>
    <mergeCell ref="BG1:BH3"/>
    <mergeCell ref="BG4:BH5"/>
    <mergeCell ref="AF7:AS7"/>
    <mergeCell ref="AU3:BA3"/>
    <mergeCell ref="AU1:BA1"/>
    <mergeCell ref="AH15:AI15"/>
    <mergeCell ref="AJ15:AK15"/>
    <mergeCell ref="AP15:AQ15"/>
    <mergeCell ref="AL15:AM15"/>
    <mergeCell ref="AR12:AS12"/>
    <mergeCell ref="AR10:AS10"/>
    <mergeCell ref="AF12:AG12"/>
    <mergeCell ref="AH12:AI12"/>
    <mergeCell ref="AN10:AO10"/>
    <mergeCell ref="AU10:AY10"/>
    <mergeCell ref="AJ12:AK12"/>
    <mergeCell ref="AL12:AM12"/>
    <mergeCell ref="AN12:AO12"/>
    <mergeCell ref="AR13:AS13"/>
    <mergeCell ref="AP12:AQ12"/>
    <mergeCell ref="AR14:AS14"/>
    <mergeCell ref="AL13:AM13"/>
    <mergeCell ref="AN15:AO15"/>
    <mergeCell ref="AP10:AQ10"/>
    <mergeCell ref="AA45:AB45"/>
    <mergeCell ref="AC47:AD47"/>
    <mergeCell ref="AA47:AB47"/>
    <mergeCell ref="AC45:AD45"/>
    <mergeCell ref="AA46:AB46"/>
    <mergeCell ref="AC46:AD46"/>
    <mergeCell ref="AC40:AD40"/>
    <mergeCell ref="Y41:Z41"/>
    <mergeCell ref="AA41:AB41"/>
    <mergeCell ref="AC41:AD41"/>
    <mergeCell ref="AA43:AB43"/>
    <mergeCell ref="AC43:AD43"/>
    <mergeCell ref="Y42:Z42"/>
    <mergeCell ref="AC42:AD42"/>
    <mergeCell ref="AA42:AB42"/>
    <mergeCell ref="Y43:Z43"/>
    <mergeCell ref="Y40:Z40"/>
    <mergeCell ref="Q54:R54"/>
    <mergeCell ref="S54:T54"/>
    <mergeCell ref="U54:V54"/>
    <mergeCell ref="W54:X54"/>
    <mergeCell ref="S53:T53"/>
    <mergeCell ref="U53:V53"/>
    <mergeCell ref="W53:X53"/>
    <mergeCell ref="Y54:Z54"/>
    <mergeCell ref="AC52:AD52"/>
    <mergeCell ref="Q52:R52"/>
    <mergeCell ref="Y53:Z53"/>
    <mergeCell ref="AA54:AB54"/>
    <mergeCell ref="AC54:AD54"/>
    <mergeCell ref="AA53:AB53"/>
    <mergeCell ref="AC53:AD53"/>
    <mergeCell ref="S51:T51"/>
    <mergeCell ref="U51:V51"/>
    <mergeCell ref="W51:X51"/>
    <mergeCell ref="Y51:Z51"/>
    <mergeCell ref="AA51:AB51"/>
    <mergeCell ref="AC51:AD51"/>
    <mergeCell ref="S52:T52"/>
    <mergeCell ref="U52:V52"/>
    <mergeCell ref="Y52:Z52"/>
    <mergeCell ref="AA52:AB52"/>
    <mergeCell ref="W52:X52"/>
    <mergeCell ref="Q50:R50"/>
    <mergeCell ref="S50:T50"/>
    <mergeCell ref="U50:V50"/>
    <mergeCell ref="W50:X50"/>
    <mergeCell ref="AA48:AB48"/>
    <mergeCell ref="AC48:AD48"/>
    <mergeCell ref="AC50:AD50"/>
    <mergeCell ref="S49:T49"/>
    <mergeCell ref="U49:V49"/>
    <mergeCell ref="W49:X49"/>
    <mergeCell ref="Y49:Z49"/>
    <mergeCell ref="AA49:AB49"/>
    <mergeCell ref="AC49:AD49"/>
    <mergeCell ref="Y50:Z50"/>
    <mergeCell ref="AA50:AB50"/>
    <mergeCell ref="U45:V45"/>
    <mergeCell ref="W45:X45"/>
    <mergeCell ref="Q48:R48"/>
    <mergeCell ref="S48:T48"/>
    <mergeCell ref="U48:V48"/>
    <mergeCell ref="W48:X48"/>
    <mergeCell ref="Y48:Z48"/>
    <mergeCell ref="U47:V47"/>
    <mergeCell ref="W47:X47"/>
    <mergeCell ref="Y47:Z47"/>
    <mergeCell ref="Q47:R47"/>
    <mergeCell ref="S47:T47"/>
    <mergeCell ref="Q46:R46"/>
    <mergeCell ref="S46:T46"/>
    <mergeCell ref="U46:V46"/>
    <mergeCell ref="W46:X46"/>
    <mergeCell ref="Y46:Z46"/>
    <mergeCell ref="Q45:R45"/>
    <mergeCell ref="S45:T45"/>
    <mergeCell ref="Y45:Z45"/>
    <mergeCell ref="Q43:R43"/>
    <mergeCell ref="S43:T43"/>
    <mergeCell ref="U43:V43"/>
    <mergeCell ref="W43:X43"/>
    <mergeCell ref="AA40:AB40"/>
    <mergeCell ref="S42:T42"/>
    <mergeCell ref="U42:V42"/>
    <mergeCell ref="W42:X42"/>
    <mergeCell ref="Q41:R41"/>
    <mergeCell ref="S41:T41"/>
    <mergeCell ref="U41:V41"/>
    <mergeCell ref="W41:X41"/>
    <mergeCell ref="S40:T40"/>
    <mergeCell ref="U40:V40"/>
    <mergeCell ref="W40:X40"/>
    <mergeCell ref="Q39:R39"/>
    <mergeCell ref="S39:T39"/>
    <mergeCell ref="U39:V39"/>
    <mergeCell ref="W39:X39"/>
    <mergeCell ref="Y39:Z39"/>
    <mergeCell ref="AA39:AB39"/>
    <mergeCell ref="AC39:AD39"/>
    <mergeCell ref="S38:T38"/>
    <mergeCell ref="U38:V38"/>
    <mergeCell ref="Q35:R35"/>
    <mergeCell ref="S35:T35"/>
    <mergeCell ref="U35:V35"/>
    <mergeCell ref="W35:X35"/>
    <mergeCell ref="Y35:Z35"/>
    <mergeCell ref="AA35:AB35"/>
    <mergeCell ref="U34:V34"/>
    <mergeCell ref="W34:X34"/>
    <mergeCell ref="Y34:Z34"/>
    <mergeCell ref="AA34:AB34"/>
    <mergeCell ref="Q32:U32"/>
    <mergeCell ref="Q34:R34"/>
    <mergeCell ref="S34:T34"/>
    <mergeCell ref="S28:T28"/>
    <mergeCell ref="S23:T23"/>
    <mergeCell ref="U19:V19"/>
    <mergeCell ref="Y29:Z29"/>
    <mergeCell ref="U20:V20"/>
    <mergeCell ref="W20:X20"/>
    <mergeCell ref="U23:V23"/>
    <mergeCell ref="W23:X23"/>
    <mergeCell ref="U25:V25"/>
    <mergeCell ref="S26:T26"/>
    <mergeCell ref="S24:T24"/>
    <mergeCell ref="S25:T25"/>
    <mergeCell ref="Q28:R28"/>
    <mergeCell ref="U28:V28"/>
    <mergeCell ref="W28:X28"/>
    <mergeCell ref="S27:T27"/>
    <mergeCell ref="U27:V27"/>
    <mergeCell ref="W27:X27"/>
    <mergeCell ref="U26:V26"/>
    <mergeCell ref="W24:X24"/>
    <mergeCell ref="S30:T30"/>
    <mergeCell ref="AA30:AB30"/>
    <mergeCell ref="W29:X29"/>
    <mergeCell ref="U30:V30"/>
    <mergeCell ref="W30:X30"/>
    <mergeCell ref="Y30:Z30"/>
    <mergeCell ref="Y28:Z28"/>
    <mergeCell ref="Y18:Z18"/>
    <mergeCell ref="W25:X25"/>
    <mergeCell ref="Y27:Z27"/>
    <mergeCell ref="W19:X19"/>
    <mergeCell ref="Y19:Z19"/>
    <mergeCell ref="Y20:Z20"/>
    <mergeCell ref="Y22:Z22"/>
    <mergeCell ref="Y24:Z24"/>
    <mergeCell ref="Y26:Z26"/>
    <mergeCell ref="U18:V18"/>
    <mergeCell ref="AA18:AB18"/>
    <mergeCell ref="AW15:AZ15"/>
    <mergeCell ref="AW16:AZ16"/>
    <mergeCell ref="W15:X15"/>
    <mergeCell ref="Y15:Z15"/>
    <mergeCell ref="W16:X16"/>
    <mergeCell ref="W17:X17"/>
    <mergeCell ref="Y17:Z17"/>
    <mergeCell ref="Y16:Z16"/>
    <mergeCell ref="AL16:AM16"/>
    <mergeCell ref="AR16:AS16"/>
    <mergeCell ref="AN16:AO16"/>
    <mergeCell ref="AP16:AQ16"/>
    <mergeCell ref="AR17:AS17"/>
    <mergeCell ref="AP17:AQ17"/>
    <mergeCell ref="BA24:BD24"/>
    <mergeCell ref="AW19:AZ19"/>
    <mergeCell ref="AW17:AZ17"/>
    <mergeCell ref="AW20:AZ20"/>
    <mergeCell ref="BA16:BD16"/>
    <mergeCell ref="AL17:AM17"/>
    <mergeCell ref="AW22:AZ22"/>
    <mergeCell ref="AW27:AZ27"/>
    <mergeCell ref="AW18:AZ18"/>
    <mergeCell ref="BA25:BD25"/>
    <mergeCell ref="AW26:AZ26"/>
    <mergeCell ref="BA26:BD26"/>
    <mergeCell ref="AP22:AQ22"/>
    <mergeCell ref="AW24:AZ24"/>
    <mergeCell ref="AR26:AS26"/>
    <mergeCell ref="AN17:AO17"/>
    <mergeCell ref="AL20:AM20"/>
    <mergeCell ref="AN20:AO20"/>
    <mergeCell ref="AP20:AQ20"/>
    <mergeCell ref="AR20:AS20"/>
    <mergeCell ref="AU22:AV22"/>
    <mergeCell ref="AN22:AO22"/>
    <mergeCell ref="AN24:AO24"/>
    <mergeCell ref="AP24:AQ24"/>
    <mergeCell ref="AC30:AD30"/>
    <mergeCell ref="AU31:AV31"/>
    <mergeCell ref="AW31:AZ31"/>
    <mergeCell ref="AC16:AD16"/>
    <mergeCell ref="AU20:AV20"/>
    <mergeCell ref="AU16:AV16"/>
    <mergeCell ref="AH16:AI16"/>
    <mergeCell ref="AJ16:AK16"/>
    <mergeCell ref="AJ17:AK17"/>
    <mergeCell ref="AW30:AZ30"/>
    <mergeCell ref="AW29:AZ29"/>
    <mergeCell ref="AP29:AQ29"/>
    <mergeCell ref="AC29:AD29"/>
    <mergeCell ref="AC24:AD24"/>
    <mergeCell ref="AJ20:AK20"/>
    <mergeCell ref="AR22:AS22"/>
    <mergeCell ref="AP18:AQ18"/>
    <mergeCell ref="AR18:AS18"/>
    <mergeCell ref="AU18:AV18"/>
    <mergeCell ref="AU24:AV24"/>
    <mergeCell ref="AR24:AS24"/>
    <mergeCell ref="AH25:AI25"/>
    <mergeCell ref="AJ25:AK25"/>
    <mergeCell ref="AU26:AV26"/>
    <mergeCell ref="BE17:BH17"/>
    <mergeCell ref="BE32:BH32"/>
    <mergeCell ref="AW23:AZ23"/>
    <mergeCell ref="BA23:BD23"/>
    <mergeCell ref="BE23:BH23"/>
    <mergeCell ref="BA22:BD22"/>
    <mergeCell ref="AW32:AZ32"/>
    <mergeCell ref="BA12:BD12"/>
    <mergeCell ref="BE12:BH12"/>
    <mergeCell ref="BE31:BH31"/>
    <mergeCell ref="BE24:BH24"/>
    <mergeCell ref="BE18:BH18"/>
    <mergeCell ref="BA15:BD15"/>
    <mergeCell ref="BE15:BH15"/>
    <mergeCell ref="BE22:BH22"/>
    <mergeCell ref="BE16:BH16"/>
    <mergeCell ref="BE19:BH19"/>
    <mergeCell ref="BE20:BH20"/>
    <mergeCell ref="BA20:BD20"/>
    <mergeCell ref="BA19:BD19"/>
    <mergeCell ref="BA17:BD17"/>
    <mergeCell ref="BA30:BD30"/>
    <mergeCell ref="BE30:BH30"/>
    <mergeCell ref="BE25:BH25"/>
    <mergeCell ref="AW14:AZ14"/>
    <mergeCell ref="BA14:BD14"/>
    <mergeCell ref="BE14:BH14"/>
    <mergeCell ref="N9:O9"/>
    <mergeCell ref="N13:O13"/>
    <mergeCell ref="AW12:AZ12"/>
    <mergeCell ref="N14:O14"/>
    <mergeCell ref="B7:O7"/>
    <mergeCell ref="W13:X13"/>
    <mergeCell ref="B14:C14"/>
    <mergeCell ref="N12:O12"/>
    <mergeCell ref="B12:C12"/>
    <mergeCell ref="D12:E12"/>
    <mergeCell ref="B13:C13"/>
    <mergeCell ref="D13:E13"/>
    <mergeCell ref="BE13:BH13"/>
    <mergeCell ref="AW13:AZ13"/>
    <mergeCell ref="AC13:AD13"/>
    <mergeCell ref="AP14:AQ14"/>
    <mergeCell ref="AP13:AQ13"/>
    <mergeCell ref="Y12:Z12"/>
    <mergeCell ref="BA13:BD13"/>
    <mergeCell ref="AU14:AV14"/>
    <mergeCell ref="J9:K9"/>
    <mergeCell ref="BE26:BH26"/>
    <mergeCell ref="AW25:AZ25"/>
    <mergeCell ref="AU38:BH39"/>
    <mergeCell ref="BE36:BH36"/>
    <mergeCell ref="AU32:AV32"/>
    <mergeCell ref="BA32:BD32"/>
    <mergeCell ref="AU36:AV36"/>
    <mergeCell ref="AU30:AV30"/>
    <mergeCell ref="AC36:AD36"/>
    <mergeCell ref="AC37:AD37"/>
    <mergeCell ref="BE27:BH27"/>
    <mergeCell ref="AW28:AZ28"/>
    <mergeCell ref="BA28:BD28"/>
    <mergeCell ref="BE28:BH28"/>
    <mergeCell ref="BA27:BD27"/>
    <mergeCell ref="BE29:BH29"/>
    <mergeCell ref="AC34:AD34"/>
    <mergeCell ref="AC35:AD35"/>
    <mergeCell ref="BA31:BD31"/>
    <mergeCell ref="BA29:BD29"/>
    <mergeCell ref="AC38:AD38"/>
    <mergeCell ref="AL25:AM25"/>
    <mergeCell ref="AN25:AO25"/>
    <mergeCell ref="AP25:AQ25"/>
    <mergeCell ref="J54:K54"/>
    <mergeCell ref="AW36:AZ36"/>
    <mergeCell ref="BA36:BD36"/>
    <mergeCell ref="N42:O42"/>
    <mergeCell ref="N40:O40"/>
    <mergeCell ref="N41:O41"/>
    <mergeCell ref="N37:O37"/>
    <mergeCell ref="J43:K43"/>
    <mergeCell ref="N38:O38"/>
    <mergeCell ref="AA36:AB36"/>
    <mergeCell ref="W36:X36"/>
    <mergeCell ref="Y36:Z36"/>
    <mergeCell ref="AA38:AB38"/>
    <mergeCell ref="Y37:Z37"/>
    <mergeCell ref="AA37:AB37"/>
    <mergeCell ref="W37:X37"/>
    <mergeCell ref="Q36:R36"/>
    <mergeCell ref="W38:X38"/>
    <mergeCell ref="Y38:Z38"/>
    <mergeCell ref="S36:T36"/>
    <mergeCell ref="U36:V36"/>
    <mergeCell ref="Q37:R37"/>
    <mergeCell ref="S37:T37"/>
    <mergeCell ref="U37:V37"/>
    <mergeCell ref="B54:C54"/>
    <mergeCell ref="D54:E54"/>
    <mergeCell ref="F54:G54"/>
    <mergeCell ref="H54:I54"/>
    <mergeCell ref="N54:O54"/>
    <mergeCell ref="J50:K50"/>
    <mergeCell ref="L50:M50"/>
    <mergeCell ref="N50:O50"/>
    <mergeCell ref="L51:M51"/>
    <mergeCell ref="N51:O51"/>
    <mergeCell ref="L54:M54"/>
    <mergeCell ref="D53:E53"/>
    <mergeCell ref="F53:G53"/>
    <mergeCell ref="H53:I53"/>
    <mergeCell ref="J53:K53"/>
    <mergeCell ref="L53:M53"/>
    <mergeCell ref="B50:C50"/>
    <mergeCell ref="D50:E50"/>
    <mergeCell ref="F50:G50"/>
    <mergeCell ref="H50:I50"/>
    <mergeCell ref="N53:O53"/>
    <mergeCell ref="B52:C52"/>
    <mergeCell ref="D52:E52"/>
    <mergeCell ref="F52:G52"/>
    <mergeCell ref="H52:I52"/>
    <mergeCell ref="N52:O52"/>
    <mergeCell ref="D51:E51"/>
    <mergeCell ref="F51:G51"/>
    <mergeCell ref="H51:I51"/>
    <mergeCell ref="D49:E49"/>
    <mergeCell ref="F49:G49"/>
    <mergeCell ref="H49:I49"/>
    <mergeCell ref="J49:K49"/>
    <mergeCell ref="L49:M49"/>
    <mergeCell ref="N49:O49"/>
    <mergeCell ref="J52:K52"/>
    <mergeCell ref="L52:M52"/>
    <mergeCell ref="J51:K51"/>
    <mergeCell ref="B24:C24"/>
    <mergeCell ref="B37:C37"/>
    <mergeCell ref="D42:E42"/>
    <mergeCell ref="B41:C41"/>
    <mergeCell ref="D41:E41"/>
    <mergeCell ref="D40:E40"/>
    <mergeCell ref="B16:C16"/>
    <mergeCell ref="B18:C18"/>
    <mergeCell ref="F42:G42"/>
    <mergeCell ref="D30:E30"/>
    <mergeCell ref="F30:G30"/>
    <mergeCell ref="D29:E29"/>
    <mergeCell ref="F29:G29"/>
    <mergeCell ref="B28:C28"/>
    <mergeCell ref="D28:E28"/>
    <mergeCell ref="F41:G41"/>
    <mergeCell ref="D26:E26"/>
    <mergeCell ref="D16:E16"/>
    <mergeCell ref="B26:C26"/>
    <mergeCell ref="B22:C22"/>
    <mergeCell ref="D22:E22"/>
    <mergeCell ref="D20:E20"/>
    <mergeCell ref="D24:E24"/>
    <mergeCell ref="B23:C23"/>
    <mergeCell ref="H41:I41"/>
    <mergeCell ref="J41:K41"/>
    <mergeCell ref="L41:M41"/>
    <mergeCell ref="H40:I40"/>
    <mergeCell ref="J40:K40"/>
    <mergeCell ref="L37:M37"/>
    <mergeCell ref="J39:K39"/>
    <mergeCell ref="L39:M39"/>
    <mergeCell ref="L38:M38"/>
    <mergeCell ref="F23:G23"/>
    <mergeCell ref="F22:G22"/>
    <mergeCell ref="H24:I24"/>
    <mergeCell ref="F24:G24"/>
    <mergeCell ref="N30:O30"/>
    <mergeCell ref="N34:O34"/>
    <mergeCell ref="L35:M35"/>
    <mergeCell ref="N27:O27"/>
    <mergeCell ref="J28:K28"/>
    <mergeCell ref="L28:M28"/>
    <mergeCell ref="N28:O28"/>
    <mergeCell ref="L27:M27"/>
    <mergeCell ref="J27:K27"/>
    <mergeCell ref="N29:O29"/>
    <mergeCell ref="L29:M29"/>
    <mergeCell ref="J29:K29"/>
    <mergeCell ref="J34:K34"/>
    <mergeCell ref="L34:M34"/>
    <mergeCell ref="J30:K30"/>
    <mergeCell ref="L30:M30"/>
    <mergeCell ref="J35:K35"/>
    <mergeCell ref="F15:G15"/>
    <mergeCell ref="J12:K12"/>
    <mergeCell ref="L13:M13"/>
    <mergeCell ref="H12:I12"/>
    <mergeCell ref="J13:K13"/>
    <mergeCell ref="L12:M12"/>
    <mergeCell ref="L10:M10"/>
    <mergeCell ref="J14:K14"/>
    <mergeCell ref="F12:G12"/>
    <mergeCell ref="F13:G13"/>
    <mergeCell ref="L14:M14"/>
    <mergeCell ref="F14:G14"/>
    <mergeCell ref="H14:I14"/>
    <mergeCell ref="J15:K15"/>
    <mergeCell ref="L15:M15"/>
    <mergeCell ref="H15:I15"/>
    <mergeCell ref="D19:E19"/>
    <mergeCell ref="H13:I13"/>
    <mergeCell ref="D23:E23"/>
    <mergeCell ref="H23:I23"/>
    <mergeCell ref="D18:E18"/>
    <mergeCell ref="L16:M16"/>
    <mergeCell ref="J20:K20"/>
    <mergeCell ref="L20:M20"/>
    <mergeCell ref="J16:K16"/>
    <mergeCell ref="H16:I16"/>
    <mergeCell ref="J18:K18"/>
    <mergeCell ref="L18:M18"/>
    <mergeCell ref="H22:I22"/>
    <mergeCell ref="H20:I20"/>
    <mergeCell ref="D14:E14"/>
    <mergeCell ref="H18:I18"/>
    <mergeCell ref="D15:E15"/>
    <mergeCell ref="F20:G20"/>
    <mergeCell ref="F18:G18"/>
    <mergeCell ref="F16:G16"/>
    <mergeCell ref="H19:I19"/>
    <mergeCell ref="D17:E17"/>
    <mergeCell ref="F17:G17"/>
    <mergeCell ref="F19:G19"/>
    <mergeCell ref="H17:I17"/>
    <mergeCell ref="J17:K17"/>
    <mergeCell ref="J24:K24"/>
    <mergeCell ref="N22:O22"/>
    <mergeCell ref="N18:O18"/>
    <mergeCell ref="N15:O15"/>
    <mergeCell ref="N16:O16"/>
    <mergeCell ref="N20:O20"/>
    <mergeCell ref="N25:O25"/>
    <mergeCell ref="L25:M25"/>
    <mergeCell ref="J25:K25"/>
    <mergeCell ref="N19:O19"/>
    <mergeCell ref="J22:K22"/>
    <mergeCell ref="L19:M19"/>
    <mergeCell ref="J19:K19"/>
    <mergeCell ref="L23:M23"/>
    <mergeCell ref="N36:O36"/>
    <mergeCell ref="J10:K10"/>
    <mergeCell ref="L22:M22"/>
    <mergeCell ref="N24:O24"/>
    <mergeCell ref="L24:M24"/>
    <mergeCell ref="N23:O23"/>
    <mergeCell ref="J23:K23"/>
    <mergeCell ref="J26:K26"/>
    <mergeCell ref="L26:M26"/>
    <mergeCell ref="N26:O26"/>
    <mergeCell ref="B43:C43"/>
    <mergeCell ref="D43:E43"/>
    <mergeCell ref="D37:E37"/>
    <mergeCell ref="B46:C46"/>
    <mergeCell ref="D46:E46"/>
    <mergeCell ref="F46:G46"/>
    <mergeCell ref="B34:C34"/>
    <mergeCell ref="B45:C45"/>
    <mergeCell ref="B39:C39"/>
    <mergeCell ref="D39:E39"/>
    <mergeCell ref="F39:G39"/>
    <mergeCell ref="B36:C36"/>
    <mergeCell ref="F37:G37"/>
    <mergeCell ref="D38:E38"/>
    <mergeCell ref="D45:E45"/>
    <mergeCell ref="F45:G45"/>
    <mergeCell ref="F40:G40"/>
    <mergeCell ref="F43:G43"/>
    <mergeCell ref="F34:G34"/>
    <mergeCell ref="D36:E36"/>
    <mergeCell ref="D25:E25"/>
    <mergeCell ref="F25:G25"/>
    <mergeCell ref="H25:I25"/>
    <mergeCell ref="B35:C35"/>
    <mergeCell ref="D35:E35"/>
    <mergeCell ref="F35:G35"/>
    <mergeCell ref="H35:I35"/>
    <mergeCell ref="H27:I27"/>
    <mergeCell ref="H30:I30"/>
    <mergeCell ref="D27:E27"/>
    <mergeCell ref="B32:F32"/>
    <mergeCell ref="H34:I34"/>
    <mergeCell ref="H29:I29"/>
    <mergeCell ref="F28:G28"/>
    <mergeCell ref="H28:I28"/>
    <mergeCell ref="F27:G27"/>
    <mergeCell ref="F26:G26"/>
    <mergeCell ref="H26:I26"/>
    <mergeCell ref="D34:E34"/>
    <mergeCell ref="H48:I48"/>
    <mergeCell ref="J48:K48"/>
    <mergeCell ref="B48:C48"/>
    <mergeCell ref="D48:E48"/>
    <mergeCell ref="F48:G48"/>
    <mergeCell ref="J47:K47"/>
    <mergeCell ref="D47:E47"/>
    <mergeCell ref="H46:I46"/>
    <mergeCell ref="L47:M47"/>
    <mergeCell ref="B47:C47"/>
    <mergeCell ref="F47:G47"/>
    <mergeCell ref="H45:I45"/>
    <mergeCell ref="H36:I36"/>
    <mergeCell ref="F38:G38"/>
    <mergeCell ref="H47:I47"/>
    <mergeCell ref="N43:O43"/>
    <mergeCell ref="J46:K46"/>
    <mergeCell ref="L46:M46"/>
    <mergeCell ref="N46:O46"/>
    <mergeCell ref="J45:K45"/>
    <mergeCell ref="L43:M43"/>
    <mergeCell ref="H43:I43"/>
    <mergeCell ref="N47:O47"/>
    <mergeCell ref="F36:G36"/>
    <mergeCell ref="H42:I42"/>
    <mergeCell ref="J42:K42"/>
    <mergeCell ref="L40:M40"/>
    <mergeCell ref="J37:K37"/>
    <mergeCell ref="J38:K38"/>
    <mergeCell ref="H38:I38"/>
    <mergeCell ref="H39:I39"/>
    <mergeCell ref="H37:I37"/>
    <mergeCell ref="L42:M42"/>
    <mergeCell ref="J36:K36"/>
    <mergeCell ref="L36:M36"/>
    <mergeCell ref="BA18:BD18"/>
    <mergeCell ref="AA12:AB12"/>
    <mergeCell ref="W18:X18"/>
    <mergeCell ref="AA16:AB16"/>
    <mergeCell ref="AN13:AO13"/>
    <mergeCell ref="AA15:AB15"/>
    <mergeCell ref="U17:V17"/>
    <mergeCell ref="L48:M48"/>
    <mergeCell ref="AN14:AO14"/>
    <mergeCell ref="U16:V16"/>
    <mergeCell ref="L17:M17"/>
    <mergeCell ref="N17:O17"/>
    <mergeCell ref="S18:T18"/>
    <mergeCell ref="Q16:R16"/>
    <mergeCell ref="N48:O48"/>
    <mergeCell ref="N35:O35"/>
    <mergeCell ref="L45:M45"/>
    <mergeCell ref="N45:O45"/>
    <mergeCell ref="N39:O39"/>
    <mergeCell ref="S14:T14"/>
    <mergeCell ref="U14:V14"/>
    <mergeCell ref="AL14:AM14"/>
    <mergeCell ref="Y14:Z14"/>
    <mergeCell ref="AA14:AB14"/>
  </mergeCells>
  <phoneticPr fontId="2" type="noConversion"/>
  <pageMargins left="0.59055118110236227" right="0.59055118110236227" top="0.39370078740157483" bottom="0.39370078740157483" header="0" footer="0"/>
  <pageSetup paperSize="9" orientation="portrait" r:id="rId1"/>
  <headerFooter alignWithMargins="0"/>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indexed="22"/>
  </sheetPr>
  <dimension ref="A1:BK73"/>
  <sheetViews>
    <sheetView showGridLines="0" topLeftCell="A16" zoomScaleNormal="100" workbookViewId="0">
      <selection activeCell="F7" sqref="F7"/>
    </sheetView>
  </sheetViews>
  <sheetFormatPr defaultColWidth="11.42578125" defaultRowHeight="13.15"/>
  <cols>
    <col min="1" max="2" width="4.7109375" customWidth="1"/>
    <col min="10" max="10" width="7.7109375" customWidth="1"/>
    <col min="11" max="11" width="4.7109375" customWidth="1"/>
    <col min="19" max="19" width="7.7109375" customWidth="1"/>
    <col min="20" max="20" width="4.7109375" customWidth="1"/>
    <col min="28" max="28" width="7.7109375" customWidth="1"/>
    <col min="29" max="29" width="4.7109375" customWidth="1"/>
    <col min="37" max="37" width="7.7109375" customWidth="1"/>
    <col min="38" max="38" width="4.7109375" customWidth="1"/>
    <col min="46" max="46" width="7.7109375" customWidth="1"/>
    <col min="47" max="47" width="4.7109375" customWidth="1"/>
    <col min="55" max="55" width="7.7109375" customWidth="1"/>
    <col min="56" max="56" width="4.7109375" customWidth="1"/>
  </cols>
  <sheetData>
    <row r="1" spans="2:63" ht="18" customHeight="1">
      <c r="B1" s="225"/>
      <c r="C1" s="225"/>
      <c r="D1" s="225"/>
      <c r="E1" s="225"/>
      <c r="F1" s="225"/>
      <c r="I1" s="173"/>
      <c r="K1" s="225"/>
      <c r="L1" s="225"/>
      <c r="M1" s="225"/>
      <c r="N1" s="225"/>
      <c r="O1" s="225"/>
      <c r="R1" s="173"/>
      <c r="T1" s="225"/>
      <c r="U1" s="225"/>
      <c r="V1" s="225"/>
      <c r="W1" s="225"/>
      <c r="X1" s="225"/>
      <c r="AA1" s="173"/>
      <c r="AC1" s="225"/>
      <c r="AD1" s="225"/>
      <c r="AE1" s="225"/>
      <c r="AF1" s="225"/>
      <c r="AG1" s="225"/>
      <c r="AJ1" s="173"/>
      <c r="AL1" s="225"/>
      <c r="AM1" s="225"/>
      <c r="AN1" s="225"/>
      <c r="AO1" s="225"/>
      <c r="AP1" s="225"/>
      <c r="AS1" s="173"/>
      <c r="AU1" s="225"/>
      <c r="AV1" s="225"/>
      <c r="AW1" s="225"/>
      <c r="AX1" s="225"/>
      <c r="AY1" s="225"/>
      <c r="BB1" s="173"/>
      <c r="BD1" s="225"/>
      <c r="BE1" s="225"/>
      <c r="BF1" s="225"/>
      <c r="BG1" s="225"/>
      <c r="BH1" s="225"/>
      <c r="BK1" s="173"/>
    </row>
    <row r="2" spans="2:63" ht="12.75" customHeight="1">
      <c r="I2" s="173"/>
      <c r="R2" s="173"/>
      <c r="AA2" s="173"/>
      <c r="AJ2" s="173"/>
      <c r="AS2" s="173"/>
      <c r="BB2" s="173"/>
      <c r="BK2" s="173"/>
    </row>
    <row r="3" spans="2:63" ht="18.75" customHeight="1">
      <c r="B3" s="225"/>
      <c r="C3" s="225"/>
      <c r="D3" s="225"/>
      <c r="E3" s="225"/>
      <c r="F3" s="225"/>
      <c r="I3" s="173"/>
      <c r="K3" s="225"/>
      <c r="L3" s="225"/>
      <c r="M3" s="225"/>
      <c r="N3" s="225"/>
      <c r="O3" s="225"/>
      <c r="R3" s="173"/>
      <c r="T3" s="225"/>
      <c r="U3" s="225"/>
      <c r="V3" s="225"/>
      <c r="W3" s="225"/>
      <c r="X3" s="225"/>
      <c r="AA3" s="173"/>
      <c r="AC3" s="225"/>
      <c r="AD3" s="225"/>
      <c r="AE3" s="225"/>
      <c r="AF3" s="225"/>
      <c r="AG3" s="225"/>
      <c r="AJ3" s="173"/>
      <c r="AL3" s="225"/>
      <c r="AM3" s="225"/>
      <c r="AN3" s="225"/>
      <c r="AO3" s="225"/>
      <c r="AP3" s="225"/>
      <c r="AS3" s="173"/>
      <c r="AU3" s="225"/>
      <c r="AV3" s="225"/>
      <c r="AW3" s="225"/>
      <c r="AX3" s="225"/>
      <c r="AY3" s="225"/>
      <c r="BB3" s="173"/>
      <c r="BD3" s="225"/>
      <c r="BE3" s="225"/>
      <c r="BF3" s="225"/>
      <c r="BG3" s="225"/>
      <c r="BH3" s="225"/>
      <c r="BK3" s="173"/>
    </row>
    <row r="4" spans="2:63" s="5" customFormat="1" ht="17.45">
      <c r="B4"/>
      <c r="C4" s="1"/>
      <c r="D4"/>
      <c r="E4"/>
      <c r="F4"/>
      <c r="G4"/>
      <c r="H4"/>
      <c r="I4" s="260" t="s">
        <v>304</v>
      </c>
      <c r="K4"/>
      <c r="L4" s="1"/>
      <c r="M4"/>
      <c r="N4"/>
      <c r="O4"/>
      <c r="P4"/>
      <c r="Q4"/>
      <c r="R4" s="260" t="s">
        <v>305</v>
      </c>
      <c r="T4"/>
      <c r="U4" s="1"/>
      <c r="V4"/>
      <c r="W4"/>
      <c r="X4"/>
      <c r="Y4"/>
      <c r="Z4"/>
      <c r="AA4" s="260" t="s">
        <v>306</v>
      </c>
      <c r="AC4"/>
      <c r="AD4" s="1"/>
      <c r="AE4"/>
      <c r="AF4"/>
      <c r="AG4"/>
      <c r="AH4"/>
      <c r="AI4"/>
      <c r="AJ4" s="260" t="s">
        <v>307</v>
      </c>
      <c r="AL4"/>
      <c r="AM4" s="1"/>
      <c r="AN4"/>
      <c r="AO4"/>
      <c r="AP4"/>
      <c r="AQ4"/>
      <c r="AR4"/>
      <c r="AS4" s="260" t="s">
        <v>308</v>
      </c>
      <c r="AU4"/>
      <c r="AV4" s="1"/>
      <c r="AW4"/>
      <c r="AX4"/>
      <c r="AY4"/>
      <c r="AZ4"/>
      <c r="BA4"/>
      <c r="BB4" s="260" t="s">
        <v>309</v>
      </c>
      <c r="BD4"/>
      <c r="BE4" s="1"/>
      <c r="BF4"/>
      <c r="BG4"/>
      <c r="BH4"/>
      <c r="BI4"/>
      <c r="BJ4"/>
      <c r="BK4" s="260" t="s">
        <v>304</v>
      </c>
    </row>
    <row r="5" spans="2:63" ht="12.75" customHeight="1">
      <c r="B5" s="170"/>
      <c r="C5" s="170"/>
      <c r="D5" s="170"/>
      <c r="E5" s="170"/>
      <c r="F5" s="170"/>
      <c r="I5" s="260"/>
      <c r="K5" s="170"/>
      <c r="L5" s="170"/>
      <c r="M5" s="170"/>
      <c r="N5" s="170"/>
      <c r="O5" s="170"/>
      <c r="R5" s="260"/>
      <c r="T5" s="170"/>
      <c r="U5" s="170"/>
      <c r="V5" s="170"/>
      <c r="W5" s="170"/>
      <c r="X5" s="170"/>
      <c r="AA5" s="260"/>
      <c r="AC5" s="170"/>
      <c r="AD5" s="170"/>
      <c r="AE5" s="170"/>
      <c r="AF5" s="170"/>
      <c r="AG5" s="170"/>
      <c r="AJ5" s="260"/>
      <c r="AL5" s="170"/>
      <c r="AM5" s="170"/>
      <c r="AN5" s="170"/>
      <c r="AO5" s="170"/>
      <c r="AP5" s="170"/>
      <c r="AS5" s="260"/>
      <c r="AU5" s="170"/>
      <c r="AV5" s="170"/>
      <c r="AW5" s="170"/>
      <c r="AX5" s="170"/>
      <c r="AY5" s="170"/>
      <c r="BB5" s="260"/>
      <c r="BD5" s="170"/>
      <c r="BE5" s="170"/>
      <c r="BF5" s="170"/>
      <c r="BG5" s="170"/>
      <c r="BH5" s="170"/>
      <c r="BK5" s="260"/>
    </row>
    <row r="7" spans="2:63" s="5" customFormat="1" ht="15" customHeight="1">
      <c r="B7"/>
      <c r="C7"/>
      <c r="D7"/>
      <c r="E7"/>
      <c r="F7"/>
      <c r="G7"/>
      <c r="H7"/>
      <c r="I7"/>
      <c r="K7"/>
      <c r="L7"/>
      <c r="M7"/>
      <c r="N7"/>
      <c r="O7"/>
      <c r="P7"/>
      <c r="Q7"/>
      <c r="R7"/>
      <c r="T7"/>
      <c r="U7"/>
      <c r="V7"/>
      <c r="W7"/>
      <c r="X7"/>
      <c r="Y7"/>
      <c r="Z7"/>
      <c r="AA7"/>
      <c r="AC7"/>
      <c r="AD7"/>
      <c r="AE7"/>
      <c r="AF7"/>
      <c r="AG7"/>
      <c r="AH7"/>
      <c r="AI7"/>
      <c r="AJ7"/>
      <c r="AL7"/>
      <c r="AM7"/>
      <c r="AN7"/>
      <c r="AO7"/>
      <c r="AP7"/>
      <c r="AQ7"/>
      <c r="AR7"/>
      <c r="AS7"/>
      <c r="AU7"/>
      <c r="AV7"/>
      <c r="AW7"/>
      <c r="AX7"/>
      <c r="AY7"/>
      <c r="AZ7"/>
      <c r="BA7"/>
      <c r="BB7"/>
      <c r="BD7"/>
      <c r="BE7"/>
      <c r="BF7"/>
      <c r="BG7"/>
      <c r="BH7"/>
      <c r="BI7"/>
      <c r="BJ7"/>
      <c r="BK7"/>
    </row>
    <row r="8" spans="2:63" ht="12.75" customHeight="1">
      <c r="B8" s="231" t="s">
        <v>311</v>
      </c>
      <c r="C8" s="231"/>
      <c r="D8" s="20" t="s">
        <v>206</v>
      </c>
      <c r="E8" s="20" t="s">
        <v>207</v>
      </c>
      <c r="F8" s="20" t="s">
        <v>208</v>
      </c>
      <c r="G8" s="20" t="s">
        <v>209</v>
      </c>
      <c r="H8" s="20" t="s">
        <v>210</v>
      </c>
      <c r="I8" s="20" t="s">
        <v>211</v>
      </c>
      <c r="K8" s="231" t="s">
        <v>311</v>
      </c>
      <c r="L8" s="231"/>
      <c r="M8" s="20" t="s">
        <v>212</v>
      </c>
      <c r="N8" s="20" t="s">
        <v>213</v>
      </c>
      <c r="O8" s="20" t="s">
        <v>214</v>
      </c>
      <c r="P8" s="20" t="s">
        <v>215</v>
      </c>
      <c r="Q8" s="20" t="s">
        <v>216</v>
      </c>
      <c r="R8" s="20" t="s">
        <v>217</v>
      </c>
      <c r="T8" s="231" t="s">
        <v>311</v>
      </c>
      <c r="U8" s="231"/>
      <c r="V8" s="20" t="s">
        <v>312</v>
      </c>
      <c r="W8" s="20" t="s">
        <v>313</v>
      </c>
      <c r="X8" s="20" t="s">
        <v>314</v>
      </c>
      <c r="Y8" s="20" t="s">
        <v>315</v>
      </c>
      <c r="Z8" s="20" t="s">
        <v>316</v>
      </c>
      <c r="AA8" s="20" t="s">
        <v>317</v>
      </c>
      <c r="AC8" s="231" t="s">
        <v>311</v>
      </c>
      <c r="AD8" s="231"/>
      <c r="AE8" s="20" t="s">
        <v>318</v>
      </c>
      <c r="AF8" s="20" t="s">
        <v>319</v>
      </c>
      <c r="AG8" s="20" t="s">
        <v>320</v>
      </c>
      <c r="AH8" s="20" t="s">
        <v>321</v>
      </c>
      <c r="AI8" s="20" t="s">
        <v>322</v>
      </c>
      <c r="AJ8" s="20" t="s">
        <v>323</v>
      </c>
      <c r="AL8" s="231" t="s">
        <v>311</v>
      </c>
      <c r="AM8" s="231"/>
      <c r="AN8" s="20" t="s">
        <v>324</v>
      </c>
      <c r="AO8" s="20" t="s">
        <v>325</v>
      </c>
      <c r="AP8" s="20" t="s">
        <v>326</v>
      </c>
      <c r="AQ8" s="20" t="s">
        <v>327</v>
      </c>
      <c r="AR8" s="20" t="s">
        <v>328</v>
      </c>
      <c r="AS8" s="20" t="s">
        <v>329</v>
      </c>
      <c r="AU8" s="231" t="s">
        <v>311</v>
      </c>
      <c r="AV8" s="231"/>
      <c r="AW8" s="20" t="s">
        <v>330</v>
      </c>
      <c r="AX8" s="20" t="s">
        <v>331</v>
      </c>
      <c r="AY8" s="20" t="s">
        <v>332</v>
      </c>
      <c r="AZ8" s="20" t="s">
        <v>333</v>
      </c>
      <c r="BA8" s="20" t="s">
        <v>334</v>
      </c>
      <c r="BB8" s="20" t="s">
        <v>335</v>
      </c>
      <c r="BD8" s="231" t="s">
        <v>311</v>
      </c>
      <c r="BE8" s="231"/>
      <c r="BF8" s="20" t="s">
        <v>336</v>
      </c>
      <c r="BG8" s="20" t="s">
        <v>337</v>
      </c>
      <c r="BH8" s="20" t="s">
        <v>338</v>
      </c>
      <c r="BI8" s="32"/>
      <c r="BJ8" s="32"/>
      <c r="BK8" s="32"/>
    </row>
    <row r="9" spans="2:63">
      <c r="C9" s="9"/>
      <c r="D9" s="32"/>
      <c r="E9" s="32"/>
      <c r="F9" s="32"/>
      <c r="G9" s="32"/>
      <c r="H9" s="32"/>
      <c r="I9" s="32"/>
      <c r="P9" s="9"/>
      <c r="Q9" s="9"/>
      <c r="R9" s="9"/>
      <c r="U9" s="9"/>
      <c r="V9" s="32"/>
      <c r="W9" s="32"/>
      <c r="X9" s="32"/>
      <c r="Y9" s="32"/>
      <c r="Z9" s="32"/>
      <c r="AA9" s="32"/>
      <c r="AH9" s="9"/>
      <c r="AI9" s="9"/>
      <c r="AJ9" s="9"/>
      <c r="AM9" s="9"/>
      <c r="AN9" s="32"/>
      <c r="AO9" s="32"/>
      <c r="AP9" s="32"/>
      <c r="AQ9" s="32"/>
      <c r="AR9" s="32"/>
      <c r="AS9" s="32"/>
      <c r="AZ9" s="9"/>
      <c r="BA9" s="9"/>
      <c r="BB9" s="9"/>
      <c r="BI9" s="9"/>
      <c r="BJ9" s="9"/>
      <c r="BK9" s="9"/>
    </row>
    <row r="10" spans="2:63" ht="12.75" customHeight="1">
      <c r="B10" s="230" t="s">
        <v>372</v>
      </c>
      <c r="C10" s="230"/>
      <c r="D10" s="17">
        <f>'6. PEF2-3. INVERS. Y FINANC.'!F39</f>
        <v>41071.42</v>
      </c>
      <c r="E10" s="17">
        <f>D17-D37</f>
        <v>59267.500485628749</v>
      </c>
      <c r="F10" s="17">
        <f>E17-E37</f>
        <v>65363.580971257506</v>
      </c>
      <c r="G10" s="17">
        <f>F17-F37</f>
        <v>67769.161456886242</v>
      </c>
      <c r="H10" s="17">
        <f>G17-G37</f>
        <v>59719.56404251499</v>
      </c>
      <c r="I10" s="17">
        <f>H17-H37</f>
        <v>59705.144528143741</v>
      </c>
      <c r="K10" s="230" t="s">
        <v>372</v>
      </c>
      <c r="L10" s="230"/>
      <c r="M10" s="17">
        <f>I17-I37</f>
        <v>57270.725013772499</v>
      </c>
      <c r="N10" s="17">
        <f>M17-M37</f>
        <v>48125.587599401246</v>
      </c>
      <c r="O10" s="17">
        <f>N17-N37</f>
        <v>43271.168085029996</v>
      </c>
      <c r="P10" s="17">
        <f>O17-O37</f>
        <v>49306.748570658747</v>
      </c>
      <c r="Q10" s="17">
        <f>P17-P37</f>
        <v>42186.611156287494</v>
      </c>
      <c r="R10" s="17">
        <f>Q17-Q37</f>
        <v>36122.191641916244</v>
      </c>
      <c r="T10" s="230" t="s">
        <v>372</v>
      </c>
      <c r="U10" s="230"/>
      <c r="V10" s="17">
        <f>R38</f>
        <v>31872.772127544995</v>
      </c>
      <c r="W10" s="17">
        <f>V17-V37</f>
        <v>52319.260179093901</v>
      </c>
      <c r="X10" s="17">
        <f>W17-W37</f>
        <v>61930.010963055975</v>
      </c>
      <c r="Y10" s="17">
        <f>X17-X37</f>
        <v>67302.736747018062</v>
      </c>
      <c r="Z10" s="17">
        <f>Y17-Y37</f>
        <v>58981.158735980149</v>
      </c>
      <c r="AA10" s="17">
        <f>Z17-Z37</f>
        <v>61570.884519942236</v>
      </c>
      <c r="AC10" s="230" t="s">
        <v>372</v>
      </c>
      <c r="AD10" s="230"/>
      <c r="AE10" s="17">
        <f>AA17-AA37</f>
        <v>61377.610303904323</v>
      </c>
      <c r="AF10" s="17">
        <f>AE17-AE37</f>
        <v>53308.082292866406</v>
      </c>
      <c r="AG10" s="17">
        <f>AF17-AF37</f>
        <v>50331.808076828485</v>
      </c>
      <c r="AH10" s="17">
        <f>AG17-AG37</f>
        <v>59879.033860790572</v>
      </c>
      <c r="AI10" s="17">
        <f>AH17-AH37</f>
        <v>54138.255849752655</v>
      </c>
      <c r="AJ10" s="17">
        <f>AI17-AI37</f>
        <v>49770.481633714735</v>
      </c>
      <c r="AL10" s="230" t="s">
        <v>372</v>
      </c>
      <c r="AM10" s="230"/>
      <c r="AN10" s="17">
        <f>AJ38</f>
        <v>47489.957417676822</v>
      </c>
      <c r="AO10" s="17">
        <f>AN17-AN37</f>
        <v>70010.452154020866</v>
      </c>
      <c r="AP10" s="17">
        <f>AO17-AO37</f>
        <v>82212.294251232946</v>
      </c>
      <c r="AQ10" s="17">
        <f>AP17-AP37</f>
        <v>89546.760098445026</v>
      </c>
      <c r="AR10" s="17">
        <f>AQ17-AQ37</f>
        <v>75609.540005208371</v>
      </c>
      <c r="AS10" s="17">
        <f>AR17-AR37</f>
        <v>79743.555852420453</v>
      </c>
      <c r="AU10" s="230" t="s">
        <v>372</v>
      </c>
      <c r="AV10" s="230"/>
      <c r="AW10" s="17">
        <f>AS17-AS37</f>
        <v>80677.121699632538</v>
      </c>
      <c r="AX10" s="17">
        <f>AW17-AW37</f>
        <v>71803.01403303878</v>
      </c>
      <c r="AY10" s="17">
        <f>AX17-AX37</f>
        <v>69536.129880250868</v>
      </c>
      <c r="AZ10" s="17">
        <f>AY17-AY37</f>
        <v>81671.27072746295</v>
      </c>
      <c r="BA10" s="17">
        <f>AZ17-AZ37</f>
        <v>75671.499527054606</v>
      </c>
      <c r="BB10" s="17">
        <f>BA17-BA37</f>
        <v>71804.390374266688</v>
      </c>
      <c r="BD10" s="230" t="s">
        <v>372</v>
      </c>
      <c r="BE10" s="230"/>
      <c r="BF10" s="17">
        <f>D10</f>
        <v>41071.42</v>
      </c>
      <c r="BG10" s="17">
        <f>BF17-BF37</f>
        <v>29472.054227544984</v>
      </c>
      <c r="BH10" s="17">
        <f>BG17-BG37</f>
        <v>44570.20362267681</v>
      </c>
      <c r="BI10" s="3"/>
      <c r="BJ10" s="3"/>
      <c r="BK10" s="3"/>
    </row>
    <row r="11" spans="2:63" ht="12.75" customHeight="1">
      <c r="B11" s="258" t="s">
        <v>70</v>
      </c>
      <c r="C11" s="259"/>
      <c r="D11" s="26">
        <f>'6. PEF1. PLAN COMERCIAL'!D10</f>
        <v>25000</v>
      </c>
      <c r="E11" s="26">
        <f>'6. PEF1. PLAN COMERCIAL'!E10</f>
        <v>15000</v>
      </c>
      <c r="F11" s="26">
        <f>'6. PEF1. PLAN COMERCIAL'!F10</f>
        <v>12000</v>
      </c>
      <c r="G11" s="26">
        <f>'6. PEF1. PLAN COMERCIAL'!G10</f>
        <v>10000</v>
      </c>
      <c r="H11" s="26">
        <f>'6. PEF1. PLAN COMERCIAL'!H10</f>
        <v>10000</v>
      </c>
      <c r="I11" s="26">
        <f>'6. PEF1. PLAN COMERCIAL'!I10</f>
        <v>8000</v>
      </c>
      <c r="K11" s="258" t="s">
        <v>70</v>
      </c>
      <c r="L11" s="259"/>
      <c r="M11" s="26">
        <f>'6. PEF1. PLAN COMERCIAL'!D12</f>
        <v>6000</v>
      </c>
      <c r="N11" s="26">
        <f>'6. PEF1. PLAN COMERCIAL'!E12</f>
        <v>6000</v>
      </c>
      <c r="O11" s="26">
        <f>'6. PEF1. PLAN COMERCIAL'!F12</f>
        <v>15000</v>
      </c>
      <c r="P11" s="26">
        <f>'6. PEF1. PLAN COMERCIAL'!G12</f>
        <v>7500</v>
      </c>
      <c r="Q11" s="26">
        <f>'6. PEF1. PLAN COMERCIAL'!H12</f>
        <v>5000</v>
      </c>
      <c r="R11" s="26">
        <f>'6. PEF1. PLAN COMERCIAL'!I12</f>
        <v>6500</v>
      </c>
      <c r="T11" s="258" t="s">
        <v>70</v>
      </c>
      <c r="U11" s="259"/>
      <c r="V11" s="26">
        <f>D11*(1+'6. PEF1. PLAN COMERCIAL'!$F$28)</f>
        <v>28749.999999999996</v>
      </c>
      <c r="W11" s="26">
        <f>E11*(1+'6. PEF1. PLAN COMERCIAL'!$F$28)</f>
        <v>17250</v>
      </c>
      <c r="X11" s="26">
        <f>F11*(1+'6. PEF1. PLAN COMERCIAL'!$F$28)</f>
        <v>13799.999999999998</v>
      </c>
      <c r="Y11" s="26">
        <f>G11*(1+'6. PEF1. PLAN COMERCIAL'!$F$28)</f>
        <v>11500</v>
      </c>
      <c r="Z11" s="26">
        <f>H11*(1+'6. PEF1. PLAN COMERCIAL'!$F$28)</f>
        <v>11500</v>
      </c>
      <c r="AA11" s="26">
        <f>I11*(1+'6. PEF1. PLAN COMERCIAL'!$F$28)</f>
        <v>9200</v>
      </c>
      <c r="AC11" s="258" t="s">
        <v>70</v>
      </c>
      <c r="AD11" s="259"/>
      <c r="AE11" s="26">
        <f>M11*(1+'6. PEF1. PLAN COMERCIAL'!$F$28)</f>
        <v>6899.9999999999991</v>
      </c>
      <c r="AF11" s="26">
        <f>N11*(1+'6. PEF1. PLAN COMERCIAL'!$F$28)</f>
        <v>6899.9999999999991</v>
      </c>
      <c r="AG11" s="26">
        <f>O11*(1+'6. PEF1. PLAN COMERCIAL'!$F$28)</f>
        <v>17250</v>
      </c>
      <c r="AH11" s="26">
        <f>P11*(1+'6. PEF1. PLAN COMERCIAL'!$F$28)</f>
        <v>8625</v>
      </c>
      <c r="AI11" s="26">
        <f>Q11*(1+'6. PEF1. PLAN COMERCIAL'!$F$28)</f>
        <v>5750</v>
      </c>
      <c r="AJ11" s="26">
        <f>R11*(1+'6. PEF1. PLAN COMERCIAL'!$F$28)</f>
        <v>7474.9999999999991</v>
      </c>
      <c r="AL11" s="258" t="s">
        <v>70</v>
      </c>
      <c r="AM11" s="259"/>
      <c r="AN11" s="26">
        <f>V11*(1+'6. PEF1. PLAN COMERCIAL'!$F$28)</f>
        <v>33062.499999999993</v>
      </c>
      <c r="AO11" s="26">
        <f>W11*(1+'6. PEF1. PLAN COMERCIAL'!$F$28)</f>
        <v>19837.5</v>
      </c>
      <c r="AP11" s="26">
        <f>X11*(1+'6. PEF1. PLAN COMERCIAL'!$F$28)</f>
        <v>15869.999999999996</v>
      </c>
      <c r="AQ11" s="26">
        <f>Y11*(1+'6. PEF1. PLAN COMERCIAL'!$F$28)</f>
        <v>13224.999999999998</v>
      </c>
      <c r="AR11" s="26">
        <f>Z11*(1+'6. PEF1. PLAN COMERCIAL'!$F$28)</f>
        <v>13224.999999999998</v>
      </c>
      <c r="AS11" s="26">
        <f>AA11*(1+'6. PEF1. PLAN COMERCIAL'!$F$28)</f>
        <v>10580</v>
      </c>
      <c r="AU11" s="258" t="s">
        <v>70</v>
      </c>
      <c r="AV11" s="259"/>
      <c r="AW11" s="26">
        <f>AE11*(1+'6. PEF1. PLAN COMERCIAL'!$F$28)</f>
        <v>7934.9999999999982</v>
      </c>
      <c r="AX11" s="26">
        <f>AF11*(1+'6. PEF1. PLAN COMERCIAL'!$F$28)</f>
        <v>7934.9999999999982</v>
      </c>
      <c r="AY11" s="26">
        <f>AG11*(1+'6. PEF1. PLAN COMERCIAL'!$F$28)</f>
        <v>19837.5</v>
      </c>
      <c r="AZ11" s="26">
        <f>AH11*(1+'6. PEF1. PLAN COMERCIAL'!$F$28)</f>
        <v>9918.75</v>
      </c>
      <c r="BA11" s="26">
        <f>AI11*(1+'6. PEF1. PLAN COMERCIAL'!$F$28)</f>
        <v>6612.4999999999991</v>
      </c>
      <c r="BB11" s="26">
        <f>AJ11*(1+'6. PEF1. PLAN COMERCIAL'!$F$28)</f>
        <v>8596.2499999999982</v>
      </c>
      <c r="BD11" s="258" t="s">
        <v>70</v>
      </c>
      <c r="BE11" s="259"/>
      <c r="BF11" s="26">
        <f>SUM(D11:I11)+SUM(M11:R11)</f>
        <v>126000</v>
      </c>
      <c r="BG11" s="26">
        <f>SUM(V11:AA11)+SUM(AE11:AJ11)</f>
        <v>144900</v>
      </c>
      <c r="BH11" s="26">
        <f>SUM(AN11:AS11)+SUM(AW11:BB11)</f>
        <v>166635</v>
      </c>
      <c r="BI11" s="2"/>
      <c r="BJ11" s="2"/>
      <c r="BK11" s="2"/>
    </row>
    <row r="12" spans="2:63" ht="12.75" customHeight="1">
      <c r="B12" s="295" t="s">
        <v>373</v>
      </c>
      <c r="C12" s="296"/>
      <c r="D12" s="55">
        <f>'6. PEF7. IVA'!D15</f>
        <v>0</v>
      </c>
      <c r="E12" s="55">
        <f>'6. PEF7. IVA'!F15</f>
        <v>0</v>
      </c>
      <c r="F12" s="55">
        <f>'6. PEF7. IVA'!H15</f>
        <v>0</v>
      </c>
      <c r="G12" s="55">
        <f>'6. PEF7. IVA'!J15</f>
        <v>0</v>
      </c>
      <c r="H12" s="55">
        <f>'6. PEF7. IVA'!L15</f>
        <v>0</v>
      </c>
      <c r="I12" s="55">
        <f>'6. PEF7. IVA'!N15</f>
        <v>0</v>
      </c>
      <c r="K12" s="295" t="s">
        <v>373</v>
      </c>
      <c r="L12" s="296"/>
      <c r="M12" s="55">
        <f>'6. PEF7. IVA'!D25</f>
        <v>0</v>
      </c>
      <c r="N12" s="55">
        <f>'6. PEF7. IVA'!F25</f>
        <v>0</v>
      </c>
      <c r="O12" s="55">
        <f>'6. PEF7. IVA'!H25</f>
        <v>0</v>
      </c>
      <c r="P12" s="55">
        <f>'6. PEF7. IVA'!J25</f>
        <v>0</v>
      </c>
      <c r="Q12" s="55">
        <f>'6. PEF7. IVA'!L25</f>
        <v>0</v>
      </c>
      <c r="R12" s="55">
        <f>'6. PEF7. IVA'!N25</f>
        <v>0</v>
      </c>
      <c r="T12" s="295" t="s">
        <v>373</v>
      </c>
      <c r="U12" s="296"/>
      <c r="V12" s="55">
        <f>'6. PEF7. IVA'!S15</f>
        <v>0</v>
      </c>
      <c r="W12" s="55">
        <f>'6. PEF7. IVA'!U15</f>
        <v>0</v>
      </c>
      <c r="X12" s="55">
        <f>'6. PEF7. IVA'!W15</f>
        <v>0</v>
      </c>
      <c r="Y12" s="55">
        <f>'6. PEF7. IVA'!Y15</f>
        <v>0</v>
      </c>
      <c r="Z12" s="55">
        <f>'6. PEF7. IVA'!AA15</f>
        <v>0</v>
      </c>
      <c r="AA12" s="55">
        <f>'6. PEF7. IVA'!AC15</f>
        <v>0</v>
      </c>
      <c r="AC12" s="295" t="s">
        <v>373</v>
      </c>
      <c r="AD12" s="296"/>
      <c r="AE12" s="55">
        <f>'6. PEF7. IVA'!S25</f>
        <v>0</v>
      </c>
      <c r="AF12" s="55">
        <f>'6. PEF7. IVA'!U25</f>
        <v>0</v>
      </c>
      <c r="AG12" s="55">
        <f>'6. PEF7. IVA'!W25</f>
        <v>0</v>
      </c>
      <c r="AH12" s="55">
        <f>'6. PEF7. IVA'!Y25</f>
        <v>0</v>
      </c>
      <c r="AI12" s="55">
        <f>'6. PEF7. IVA'!AA25</f>
        <v>0</v>
      </c>
      <c r="AJ12" s="55">
        <f>'6. PEF7. IVA'!AC25</f>
        <v>0</v>
      </c>
      <c r="AL12" s="295" t="s">
        <v>373</v>
      </c>
      <c r="AM12" s="296"/>
      <c r="AN12" s="55">
        <f>'6. PEF7. IVA'!AH15</f>
        <v>0</v>
      </c>
      <c r="AO12" s="55">
        <f>'6. PEF7. IVA'!AJ15</f>
        <v>0</v>
      </c>
      <c r="AP12" s="55">
        <f>'6. PEF7. IVA'!AL15</f>
        <v>0</v>
      </c>
      <c r="AQ12" s="55">
        <f>'6. PEF7. IVA'!AN15</f>
        <v>0</v>
      </c>
      <c r="AR12" s="55">
        <f>'6. PEF7. IVA'!AP15</f>
        <v>0</v>
      </c>
      <c r="AS12" s="55">
        <f>'6. PEF7. IVA'!AR15</f>
        <v>0</v>
      </c>
      <c r="AU12" s="295" t="s">
        <v>373</v>
      </c>
      <c r="AV12" s="296"/>
      <c r="AW12" s="55">
        <f>'6. PEF7. IVA'!AH25</f>
        <v>0</v>
      </c>
      <c r="AX12" s="55">
        <f>'6. PEF7. IVA'!AJ25</f>
        <v>0</v>
      </c>
      <c r="AY12" s="55">
        <f>'6. PEF7. IVA'!AL25</f>
        <v>0</v>
      </c>
      <c r="AZ12" s="55">
        <f>'6. PEF7. IVA'!AN25</f>
        <v>0</v>
      </c>
      <c r="BA12" s="55">
        <f>'6. PEF7. IVA'!AP25</f>
        <v>0</v>
      </c>
      <c r="BB12" s="55">
        <f>'6. PEF7. IVA'!AR25</f>
        <v>0</v>
      </c>
      <c r="BD12" s="295" t="s">
        <v>373</v>
      </c>
      <c r="BE12" s="296"/>
      <c r="BF12" s="55">
        <f>SUM(D12:I12)+SUM(M12:R12)</f>
        <v>0</v>
      </c>
      <c r="BG12" s="55">
        <f>SUM(V12:AA12)+SUM(AE12:AJ12)</f>
        <v>0</v>
      </c>
      <c r="BH12" s="55">
        <f>SUM(AN12:AS12)+SUM(AW12:BB12)</f>
        <v>0</v>
      </c>
      <c r="BI12" s="58"/>
      <c r="BJ12" s="58"/>
      <c r="BK12" s="58"/>
    </row>
    <row r="13" spans="2:63" ht="12.75" customHeight="1">
      <c r="B13" s="297" t="s">
        <v>374</v>
      </c>
      <c r="C13" s="298"/>
      <c r="D13" s="55">
        <f>'6. PEF7. IVA'!D17</f>
        <v>0</v>
      </c>
      <c r="E13" s="55">
        <f>'6. PEF7. IVA'!F17</f>
        <v>0</v>
      </c>
      <c r="F13" s="55">
        <f>'6. PEF7. IVA'!H17</f>
        <v>0</v>
      </c>
      <c r="G13" s="55">
        <f>'6. PEF7. IVA'!J17</f>
        <v>0</v>
      </c>
      <c r="H13" s="55">
        <f>'6. PEF7. IVA'!L17</f>
        <v>0</v>
      </c>
      <c r="I13" s="55">
        <f>'6. PEF7. IVA'!N17</f>
        <v>0</v>
      </c>
      <c r="K13" s="297" t="s">
        <v>374</v>
      </c>
      <c r="L13" s="298"/>
      <c r="M13" s="55">
        <f>'6. PEF7. IVA'!D26</f>
        <v>0</v>
      </c>
      <c r="N13" s="55">
        <f>'6. PEF7. IVA'!F26</f>
        <v>0</v>
      </c>
      <c r="O13" s="55">
        <f>'6. PEF7. IVA'!H26</f>
        <v>0</v>
      </c>
      <c r="P13" s="55">
        <f>'6. PEF7. IVA'!J26</f>
        <v>0</v>
      </c>
      <c r="Q13" s="55">
        <f>'6. PEF7. IVA'!L27</f>
        <v>0</v>
      </c>
      <c r="R13" s="55">
        <f>'6. PEF7. IVA'!N27</f>
        <v>0</v>
      </c>
      <c r="T13" s="297" t="s">
        <v>374</v>
      </c>
      <c r="U13" s="298"/>
      <c r="V13" s="55">
        <f>'6. PEF7. IVA'!S17</f>
        <v>0</v>
      </c>
      <c r="W13" s="55">
        <f>'6. PEF7. IVA'!U17</f>
        <v>0</v>
      </c>
      <c r="X13" s="55">
        <f>'6. PEF7. IVA'!W17</f>
        <v>0</v>
      </c>
      <c r="Y13" s="55">
        <f>'6. PEF7. IVA'!Y17</f>
        <v>0</v>
      </c>
      <c r="Z13" s="55">
        <f>'6. PEF7. IVA'!AA17</f>
        <v>0</v>
      </c>
      <c r="AA13" s="55">
        <f>'6. PEF7. IVA'!AC17</f>
        <v>0</v>
      </c>
      <c r="AC13" s="297" t="s">
        <v>374</v>
      </c>
      <c r="AD13" s="298"/>
      <c r="AE13" s="55">
        <f>'6. PEF7. IVA'!S27</f>
        <v>0</v>
      </c>
      <c r="AF13" s="55">
        <f>'6. PEF7. IVA'!U27</f>
        <v>0</v>
      </c>
      <c r="AG13" s="55">
        <f>'6. PEF7. IVA'!W27</f>
        <v>0</v>
      </c>
      <c r="AH13" s="55">
        <f>'6. PEF7. IVA'!Y27</f>
        <v>0</v>
      </c>
      <c r="AI13" s="55">
        <f>'6. PEF7. IVA'!AA27</f>
        <v>0</v>
      </c>
      <c r="AJ13" s="55">
        <f>'6. PEF7. IVA'!AC27</f>
        <v>0</v>
      </c>
      <c r="AL13" s="297" t="s">
        <v>374</v>
      </c>
      <c r="AM13" s="298"/>
      <c r="AN13" s="55">
        <f>'6. PEF7. IVA'!AH17</f>
        <v>0</v>
      </c>
      <c r="AO13" s="55">
        <f>'6. PEF7. IVA'!AJ17</f>
        <v>0</v>
      </c>
      <c r="AP13" s="55">
        <f>'6. PEF7. IVA'!AL17</f>
        <v>0</v>
      </c>
      <c r="AQ13" s="55">
        <f>'6. PEF7. IVA'!AN17</f>
        <v>0</v>
      </c>
      <c r="AR13" s="55">
        <f>'6. PEF7. IVA'!AP17</f>
        <v>0</v>
      </c>
      <c r="AS13" s="55">
        <f>'6. PEF7. IVA'!AR17</f>
        <v>0</v>
      </c>
      <c r="AU13" s="297" t="s">
        <v>374</v>
      </c>
      <c r="AV13" s="298"/>
      <c r="AW13" s="55">
        <f>'6. PEF7. IVA'!AH27</f>
        <v>0</v>
      </c>
      <c r="AX13" s="55">
        <f>'6. PEF7. IVA'!AJ27</f>
        <v>0</v>
      </c>
      <c r="AY13" s="55">
        <f>'6. PEF7. IVA'!AL27</f>
        <v>0</v>
      </c>
      <c r="AZ13" s="55">
        <f>'6. PEF7. IVA'!AN27</f>
        <v>0</v>
      </c>
      <c r="BA13" s="55">
        <f>'6. PEF7. IVA'!AP27</f>
        <v>0</v>
      </c>
      <c r="BB13" s="55">
        <f>'6. PEF7. IVA'!AR27</f>
        <v>0</v>
      </c>
      <c r="BD13" s="297" t="s">
        <v>374</v>
      </c>
      <c r="BE13" s="298"/>
      <c r="BF13" s="55">
        <f>SUM(D13:I13)+SUM(M13:R13)</f>
        <v>0</v>
      </c>
      <c r="BG13" s="55">
        <f>SUM(V13:AA13)+SUM(AE13:AJ13)</f>
        <v>0</v>
      </c>
      <c r="BH13" s="55">
        <f>SUM(AN13:AS13)+SUM(AW13:BB13)</f>
        <v>0</v>
      </c>
      <c r="BI13" s="58"/>
      <c r="BJ13" s="58"/>
      <c r="BK13" s="58"/>
    </row>
    <row r="14" spans="2:63" ht="12.75" customHeight="1">
      <c r="B14" s="299" t="s">
        <v>375</v>
      </c>
      <c r="C14" s="300"/>
      <c r="D14" s="55">
        <f>'6. PEF7. IVA'!D19</f>
        <v>5250</v>
      </c>
      <c r="E14" s="55">
        <f>'6. PEF7. IVA'!F19</f>
        <v>3150</v>
      </c>
      <c r="F14" s="55">
        <f>'6. PEF7. IVA'!H19</f>
        <v>2520</v>
      </c>
      <c r="G14" s="55">
        <f>'6. PEF7. IVA'!J19</f>
        <v>2100</v>
      </c>
      <c r="H14" s="55">
        <f>'6. PEF7. IVA'!L19</f>
        <v>2100</v>
      </c>
      <c r="I14" s="55">
        <f>'6. PEF7. IVA'!N19</f>
        <v>1680</v>
      </c>
      <c r="K14" s="299" t="s">
        <v>375</v>
      </c>
      <c r="L14" s="300"/>
      <c r="M14" s="55">
        <f>'6. PEF7. IVA'!D29</f>
        <v>1260</v>
      </c>
      <c r="N14" s="55">
        <f>'6. PEF7. IVA'!F29</f>
        <v>1260</v>
      </c>
      <c r="O14" s="55">
        <f>'6. PEF7. IVA'!H29</f>
        <v>3150</v>
      </c>
      <c r="P14" s="55">
        <f>'6. PEF7. IVA'!J29</f>
        <v>1575</v>
      </c>
      <c r="Q14" s="55">
        <f>'6. PEF7. IVA'!L29</f>
        <v>1050</v>
      </c>
      <c r="R14" s="55">
        <f>'6. PEF7. IVA'!N29</f>
        <v>1365</v>
      </c>
      <c r="T14" s="299" t="s">
        <v>375</v>
      </c>
      <c r="U14" s="300"/>
      <c r="V14" s="55">
        <f>'6. PEF7. IVA'!S19</f>
        <v>6037.4999999999991</v>
      </c>
      <c r="W14" s="55">
        <f>'6. PEF7. IVA'!U19</f>
        <v>3622.5</v>
      </c>
      <c r="X14" s="55">
        <f>'6. PEF7. IVA'!W19</f>
        <v>2897.9999999999995</v>
      </c>
      <c r="Y14" s="55">
        <f>'6. PEF7. IVA'!Y19</f>
        <v>2415</v>
      </c>
      <c r="Z14" s="55">
        <f>'6. PEF7. IVA'!AA19</f>
        <v>2415</v>
      </c>
      <c r="AA14" s="55">
        <f>'6. PEF7. IVA'!AC19</f>
        <v>1932</v>
      </c>
      <c r="AC14" s="299" t="s">
        <v>375</v>
      </c>
      <c r="AD14" s="300"/>
      <c r="AE14" s="55">
        <f>'6. PEF7. IVA'!S29</f>
        <v>1448.9999999999998</v>
      </c>
      <c r="AF14" s="55">
        <f>'6. PEF7. IVA'!U29</f>
        <v>1448.9999999999998</v>
      </c>
      <c r="AG14" s="55">
        <f>'6. PEF7. IVA'!W29</f>
        <v>3622.5</v>
      </c>
      <c r="AH14" s="55">
        <f>'6. PEF7. IVA'!Y29</f>
        <v>1811.25</v>
      </c>
      <c r="AI14" s="55">
        <f>'6. PEF7. IVA'!AA29</f>
        <v>1207.5</v>
      </c>
      <c r="AJ14" s="55">
        <f>'6. PEF7. IVA'!AC29</f>
        <v>1569.7499999999998</v>
      </c>
      <c r="AL14" s="299" t="s">
        <v>375</v>
      </c>
      <c r="AM14" s="300"/>
      <c r="AN14" s="55">
        <f>'6. PEF7. IVA'!AH19</f>
        <v>6943.1249999999982</v>
      </c>
      <c r="AO14" s="55">
        <f>'6. PEF7. IVA'!AJ19</f>
        <v>4165.875</v>
      </c>
      <c r="AP14" s="55">
        <f>'6. PEF7. IVA'!AL19</f>
        <v>3332.6999999999989</v>
      </c>
      <c r="AQ14" s="55">
        <f>'6. PEF7. IVA'!AN19</f>
        <v>2777.2499999999995</v>
      </c>
      <c r="AR14" s="55">
        <f>'6. PEF7. IVA'!AP19</f>
        <v>2777.2499999999995</v>
      </c>
      <c r="AS14" s="55">
        <f>'6. PEF7. IVA'!AR19</f>
        <v>2221.7999999999997</v>
      </c>
      <c r="AU14" s="299" t="s">
        <v>375</v>
      </c>
      <c r="AV14" s="300"/>
      <c r="AW14" s="55">
        <f>'6. PEF7. IVA'!AH29</f>
        <v>1666.3499999999995</v>
      </c>
      <c r="AX14" s="55">
        <f>'6. PEF7. IVA'!AJ29</f>
        <v>1666.3499999999995</v>
      </c>
      <c r="AY14" s="55">
        <f>'6. PEF7. IVA'!AL29</f>
        <v>4165.875</v>
      </c>
      <c r="AZ14" s="55">
        <f>'6. PEF7. IVA'!AN29</f>
        <v>2082.9375</v>
      </c>
      <c r="BA14" s="55">
        <f>'6. PEF7. IVA'!AP29</f>
        <v>1388.6249999999998</v>
      </c>
      <c r="BB14" s="55">
        <f>'6. PEF7. IVA'!AR29</f>
        <v>1805.2124999999996</v>
      </c>
      <c r="BD14" s="299" t="s">
        <v>375</v>
      </c>
      <c r="BE14" s="300"/>
      <c r="BF14" s="55">
        <f>SUM(D14:I14)+SUM(M14:R14)</f>
        <v>26460</v>
      </c>
      <c r="BG14" s="55">
        <f>SUM(V14:AA14)+SUM(AE14:AJ14)</f>
        <v>30429</v>
      </c>
      <c r="BH14" s="55">
        <f>SUM(AN14:AS14)+SUM(AW14:BB14)</f>
        <v>34993.349999999991</v>
      </c>
      <c r="BI14" s="58"/>
      <c r="BJ14" s="58"/>
      <c r="BK14" s="58"/>
    </row>
    <row r="15" spans="2:63" ht="12.75" customHeight="1">
      <c r="B15" s="258" t="s">
        <v>376</v>
      </c>
      <c r="C15" s="259"/>
      <c r="D15" s="26">
        <f t="shared" ref="D15:I15" si="0">SUM(D12:D14)</f>
        <v>5250</v>
      </c>
      <c r="E15" s="26">
        <f t="shared" si="0"/>
        <v>3150</v>
      </c>
      <c r="F15" s="26">
        <f t="shared" si="0"/>
        <v>2520</v>
      </c>
      <c r="G15" s="26">
        <f t="shared" si="0"/>
        <v>2100</v>
      </c>
      <c r="H15" s="26">
        <f t="shared" si="0"/>
        <v>2100</v>
      </c>
      <c r="I15" s="26">
        <f t="shared" si="0"/>
        <v>1680</v>
      </c>
      <c r="K15" s="258" t="s">
        <v>376</v>
      </c>
      <c r="L15" s="259"/>
      <c r="M15" s="26">
        <f t="shared" ref="M15:R15" si="1">SUM(M12:M14)</f>
        <v>1260</v>
      </c>
      <c r="N15" s="26">
        <f t="shared" si="1"/>
        <v>1260</v>
      </c>
      <c r="O15" s="26">
        <f t="shared" si="1"/>
        <v>3150</v>
      </c>
      <c r="P15" s="26">
        <f t="shared" si="1"/>
        <v>1575</v>
      </c>
      <c r="Q15" s="26">
        <f t="shared" si="1"/>
        <v>1050</v>
      </c>
      <c r="R15" s="26">
        <f t="shared" si="1"/>
        <v>1365</v>
      </c>
      <c r="T15" s="258" t="s">
        <v>376</v>
      </c>
      <c r="U15" s="259"/>
      <c r="V15" s="26">
        <f t="shared" ref="V15:AA15" si="2">SUM(V12:V14)</f>
        <v>6037.4999999999991</v>
      </c>
      <c r="W15" s="26">
        <f t="shared" si="2"/>
        <v>3622.5</v>
      </c>
      <c r="X15" s="26">
        <f t="shared" si="2"/>
        <v>2897.9999999999995</v>
      </c>
      <c r="Y15" s="26">
        <f t="shared" si="2"/>
        <v>2415</v>
      </c>
      <c r="Z15" s="26">
        <f t="shared" si="2"/>
        <v>2415</v>
      </c>
      <c r="AA15" s="26">
        <f t="shared" si="2"/>
        <v>1932</v>
      </c>
      <c r="AC15" s="258" t="s">
        <v>376</v>
      </c>
      <c r="AD15" s="259"/>
      <c r="AE15" s="26">
        <f t="shared" ref="AE15:AJ15" si="3">SUM(AE12:AE14)</f>
        <v>1448.9999999999998</v>
      </c>
      <c r="AF15" s="26">
        <f t="shared" si="3"/>
        <v>1448.9999999999998</v>
      </c>
      <c r="AG15" s="26">
        <f t="shared" si="3"/>
        <v>3622.5</v>
      </c>
      <c r="AH15" s="26">
        <f t="shared" si="3"/>
        <v>1811.25</v>
      </c>
      <c r="AI15" s="26">
        <f t="shared" si="3"/>
        <v>1207.5</v>
      </c>
      <c r="AJ15" s="26">
        <f t="shared" si="3"/>
        <v>1569.7499999999998</v>
      </c>
      <c r="AL15" s="258" t="s">
        <v>376</v>
      </c>
      <c r="AM15" s="259"/>
      <c r="AN15" s="26">
        <f t="shared" ref="AN15:AS15" si="4">SUM(AN12:AN14)</f>
        <v>6943.1249999999982</v>
      </c>
      <c r="AO15" s="26">
        <f t="shared" si="4"/>
        <v>4165.875</v>
      </c>
      <c r="AP15" s="26">
        <f t="shared" si="4"/>
        <v>3332.6999999999989</v>
      </c>
      <c r="AQ15" s="26">
        <f t="shared" si="4"/>
        <v>2777.2499999999995</v>
      </c>
      <c r="AR15" s="26">
        <f t="shared" si="4"/>
        <v>2777.2499999999995</v>
      </c>
      <c r="AS15" s="26">
        <f t="shared" si="4"/>
        <v>2221.7999999999997</v>
      </c>
      <c r="AU15" s="258" t="s">
        <v>376</v>
      </c>
      <c r="AV15" s="259"/>
      <c r="AW15" s="26">
        <f t="shared" ref="AW15:BB15" si="5">SUM(AW12:AW14)</f>
        <v>1666.3499999999995</v>
      </c>
      <c r="AX15" s="26">
        <f t="shared" si="5"/>
        <v>1666.3499999999995</v>
      </c>
      <c r="AY15" s="26">
        <f t="shared" si="5"/>
        <v>4165.875</v>
      </c>
      <c r="AZ15" s="26">
        <f t="shared" si="5"/>
        <v>2082.9375</v>
      </c>
      <c r="BA15" s="26">
        <f t="shared" si="5"/>
        <v>1388.6249999999998</v>
      </c>
      <c r="BB15" s="26">
        <f t="shared" si="5"/>
        <v>1805.2124999999996</v>
      </c>
      <c r="BD15" s="258" t="s">
        <v>376</v>
      </c>
      <c r="BE15" s="259"/>
      <c r="BF15" s="26">
        <f>SUM(BF12:BF14)</f>
        <v>26460</v>
      </c>
      <c r="BG15" s="26">
        <f>SUM(BG12:BG14)</f>
        <v>30429</v>
      </c>
      <c r="BH15" s="26">
        <f>SUM(BH12:BH14)</f>
        <v>34993.349999999991</v>
      </c>
      <c r="BI15" s="2"/>
      <c r="BJ15" s="2"/>
      <c r="BK15" s="2"/>
    </row>
    <row r="16" spans="2:63" s="5" customFormat="1" ht="12.75" customHeight="1">
      <c r="B16" s="256" t="s">
        <v>377</v>
      </c>
      <c r="C16" s="257"/>
      <c r="D16" s="24">
        <f t="shared" ref="D16:I16" si="6">D11+D15</f>
        <v>30250</v>
      </c>
      <c r="E16" s="24">
        <f t="shared" si="6"/>
        <v>18150</v>
      </c>
      <c r="F16" s="24">
        <f t="shared" si="6"/>
        <v>14520</v>
      </c>
      <c r="G16" s="24">
        <f t="shared" si="6"/>
        <v>12100</v>
      </c>
      <c r="H16" s="24">
        <f t="shared" si="6"/>
        <v>12100</v>
      </c>
      <c r="I16" s="24">
        <f t="shared" si="6"/>
        <v>9680</v>
      </c>
      <c r="K16" s="256" t="s">
        <v>377</v>
      </c>
      <c r="L16" s="257"/>
      <c r="M16" s="24">
        <f t="shared" ref="M16:R16" si="7">M11+M15</f>
        <v>7260</v>
      </c>
      <c r="N16" s="24">
        <f t="shared" si="7"/>
        <v>7260</v>
      </c>
      <c r="O16" s="24">
        <f t="shared" si="7"/>
        <v>18150</v>
      </c>
      <c r="P16" s="24">
        <f t="shared" si="7"/>
        <v>9075</v>
      </c>
      <c r="Q16" s="24">
        <f t="shared" si="7"/>
        <v>6050</v>
      </c>
      <c r="R16" s="24">
        <f t="shared" si="7"/>
        <v>7865</v>
      </c>
      <c r="T16" s="256" t="s">
        <v>377</v>
      </c>
      <c r="U16" s="257"/>
      <c r="V16" s="24">
        <f t="shared" ref="V16:AA16" si="8">V11+V15</f>
        <v>34787.499999999993</v>
      </c>
      <c r="W16" s="24">
        <f t="shared" si="8"/>
        <v>20872.5</v>
      </c>
      <c r="X16" s="24">
        <f t="shared" si="8"/>
        <v>16697.999999999996</v>
      </c>
      <c r="Y16" s="24">
        <f t="shared" si="8"/>
        <v>13915</v>
      </c>
      <c r="Z16" s="24">
        <f t="shared" si="8"/>
        <v>13915</v>
      </c>
      <c r="AA16" s="24">
        <f t="shared" si="8"/>
        <v>11132</v>
      </c>
      <c r="AC16" s="256" t="s">
        <v>377</v>
      </c>
      <c r="AD16" s="257"/>
      <c r="AE16" s="24">
        <f t="shared" ref="AE16:AJ16" si="9">AE11+AE15</f>
        <v>8348.9999999999982</v>
      </c>
      <c r="AF16" s="24">
        <f t="shared" si="9"/>
        <v>8348.9999999999982</v>
      </c>
      <c r="AG16" s="24">
        <f t="shared" si="9"/>
        <v>20872.5</v>
      </c>
      <c r="AH16" s="24">
        <f t="shared" si="9"/>
        <v>10436.25</v>
      </c>
      <c r="AI16" s="24">
        <f t="shared" si="9"/>
        <v>6957.5</v>
      </c>
      <c r="AJ16" s="24">
        <f t="shared" si="9"/>
        <v>9044.7499999999982</v>
      </c>
      <c r="AL16" s="256" t="s">
        <v>377</v>
      </c>
      <c r="AM16" s="257"/>
      <c r="AN16" s="24">
        <f t="shared" ref="AN16:AS16" si="10">AN11+AN15</f>
        <v>40005.624999999993</v>
      </c>
      <c r="AO16" s="24">
        <f t="shared" si="10"/>
        <v>24003.375</v>
      </c>
      <c r="AP16" s="24">
        <f t="shared" si="10"/>
        <v>19202.699999999997</v>
      </c>
      <c r="AQ16" s="24">
        <f t="shared" si="10"/>
        <v>16002.249999999998</v>
      </c>
      <c r="AR16" s="24">
        <f t="shared" si="10"/>
        <v>16002.249999999998</v>
      </c>
      <c r="AS16" s="24">
        <f t="shared" si="10"/>
        <v>12801.8</v>
      </c>
      <c r="AU16" s="256" t="s">
        <v>377</v>
      </c>
      <c r="AV16" s="257"/>
      <c r="AW16" s="24">
        <f t="shared" ref="AW16:BB16" si="11">AW11+AW15</f>
        <v>9601.3499999999985</v>
      </c>
      <c r="AX16" s="24">
        <f t="shared" si="11"/>
        <v>9601.3499999999985</v>
      </c>
      <c r="AY16" s="24">
        <f t="shared" si="11"/>
        <v>24003.375</v>
      </c>
      <c r="AZ16" s="24">
        <f t="shared" si="11"/>
        <v>12001.6875</v>
      </c>
      <c r="BA16" s="24">
        <f t="shared" si="11"/>
        <v>8001.1249999999991</v>
      </c>
      <c r="BB16" s="24">
        <f t="shared" si="11"/>
        <v>10401.462499999998</v>
      </c>
      <c r="BD16" s="256" t="s">
        <v>377</v>
      </c>
      <c r="BE16" s="257"/>
      <c r="BF16" s="24">
        <f>BF11+BF15</f>
        <v>152460</v>
      </c>
      <c r="BG16" s="24">
        <f>BG11+BG15</f>
        <v>175329</v>
      </c>
      <c r="BH16" s="24">
        <f>BH11+BH15</f>
        <v>201628.34999999998</v>
      </c>
      <c r="BI16" s="2"/>
      <c r="BJ16" s="2"/>
      <c r="BK16" s="2"/>
    </row>
    <row r="17" spans="2:63" s="5" customFormat="1" ht="12.75" customHeight="1">
      <c r="B17" s="301" t="s">
        <v>378</v>
      </c>
      <c r="C17" s="301"/>
      <c r="D17" s="17">
        <f t="shared" ref="D17:I17" si="12">D10+D11+D15</f>
        <v>71321.42</v>
      </c>
      <c r="E17" s="17">
        <f t="shared" si="12"/>
        <v>77417.500485628756</v>
      </c>
      <c r="F17" s="17">
        <f t="shared" si="12"/>
        <v>79883.580971257499</v>
      </c>
      <c r="G17" s="17">
        <f t="shared" si="12"/>
        <v>79869.161456886242</v>
      </c>
      <c r="H17" s="17">
        <f t="shared" si="12"/>
        <v>71819.56404251499</v>
      </c>
      <c r="I17" s="17">
        <f t="shared" si="12"/>
        <v>69385.144528143748</v>
      </c>
      <c r="K17" s="301" t="s">
        <v>378</v>
      </c>
      <c r="L17" s="301"/>
      <c r="M17" s="17">
        <f t="shared" ref="M17:R17" si="13">M10+M11+M15</f>
        <v>64530.725013772499</v>
      </c>
      <c r="N17" s="17">
        <f t="shared" si="13"/>
        <v>55385.587599401246</v>
      </c>
      <c r="O17" s="17">
        <f t="shared" si="13"/>
        <v>61421.168085029996</v>
      </c>
      <c r="P17" s="17">
        <f t="shared" si="13"/>
        <v>58381.748570658747</v>
      </c>
      <c r="Q17" s="17">
        <f t="shared" si="13"/>
        <v>48236.611156287494</v>
      </c>
      <c r="R17" s="17">
        <f t="shared" si="13"/>
        <v>43987.191641916244</v>
      </c>
      <c r="T17" s="301" t="s">
        <v>378</v>
      </c>
      <c r="U17" s="301"/>
      <c r="V17" s="17">
        <f t="shared" ref="V17:AA17" si="14">V10+V11+V15</f>
        <v>66660.272127544988</v>
      </c>
      <c r="W17" s="17">
        <f t="shared" si="14"/>
        <v>73191.760179093893</v>
      </c>
      <c r="X17" s="17">
        <f t="shared" si="14"/>
        <v>78628.010963055975</v>
      </c>
      <c r="Y17" s="17">
        <f t="shared" si="14"/>
        <v>81217.736747018062</v>
      </c>
      <c r="Z17" s="17">
        <f t="shared" si="14"/>
        <v>72896.158735980149</v>
      </c>
      <c r="AA17" s="17">
        <f t="shared" si="14"/>
        <v>72702.884519942236</v>
      </c>
      <c r="AC17" s="301" t="s">
        <v>378</v>
      </c>
      <c r="AD17" s="301"/>
      <c r="AE17" s="17">
        <f t="shared" ref="AE17:AJ17" si="15">AE10+AE11+AE15</f>
        <v>69726.610303904323</v>
      </c>
      <c r="AF17" s="17">
        <f t="shared" si="15"/>
        <v>61657.082292866406</v>
      </c>
      <c r="AG17" s="17">
        <f t="shared" si="15"/>
        <v>71204.308076828485</v>
      </c>
      <c r="AH17" s="17">
        <f t="shared" si="15"/>
        <v>70315.283860790572</v>
      </c>
      <c r="AI17" s="17">
        <f t="shared" si="15"/>
        <v>61095.755849752655</v>
      </c>
      <c r="AJ17" s="17">
        <f t="shared" si="15"/>
        <v>58815.231633714735</v>
      </c>
      <c r="AL17" s="301" t="s">
        <v>378</v>
      </c>
      <c r="AM17" s="301"/>
      <c r="AN17" s="17">
        <f t="shared" ref="AN17:AS17" si="16">AN10+AN11+AN15</f>
        <v>87495.582417676807</v>
      </c>
      <c r="AO17" s="17">
        <f t="shared" si="16"/>
        <v>94013.827154020866</v>
      </c>
      <c r="AP17" s="17">
        <f t="shared" si="16"/>
        <v>101414.99425123294</v>
      </c>
      <c r="AQ17" s="17">
        <f t="shared" si="16"/>
        <v>105549.01009844503</v>
      </c>
      <c r="AR17" s="17">
        <f t="shared" si="16"/>
        <v>91611.790005208371</v>
      </c>
      <c r="AS17" s="17">
        <f t="shared" si="16"/>
        <v>92545.355852420456</v>
      </c>
      <c r="AU17" s="301" t="s">
        <v>378</v>
      </c>
      <c r="AV17" s="301"/>
      <c r="AW17" s="17">
        <f t="shared" ref="AW17:BB17" si="17">AW10+AW11+AW15</f>
        <v>90278.471699632544</v>
      </c>
      <c r="AX17" s="17">
        <f t="shared" si="17"/>
        <v>81404.364033038786</v>
      </c>
      <c r="AY17" s="17">
        <f t="shared" si="17"/>
        <v>93539.504880250868</v>
      </c>
      <c r="AZ17" s="17">
        <f t="shared" si="17"/>
        <v>93672.95822746295</v>
      </c>
      <c r="BA17" s="17">
        <f t="shared" si="17"/>
        <v>83672.624527054606</v>
      </c>
      <c r="BB17" s="17">
        <f t="shared" si="17"/>
        <v>82205.852874266682</v>
      </c>
      <c r="BD17" s="301" t="s">
        <v>378</v>
      </c>
      <c r="BE17" s="301"/>
      <c r="BF17" s="17">
        <f>BF10+BF11+BF15</f>
        <v>193531.41999999998</v>
      </c>
      <c r="BG17" s="17">
        <f>BG10+BG11+BG15</f>
        <v>204801.05422754498</v>
      </c>
      <c r="BH17" s="17">
        <f>BH10+BH11+BH15</f>
        <v>246198.55362267682</v>
      </c>
      <c r="BI17" s="3"/>
      <c r="BJ17" s="3"/>
      <c r="BK17" s="3"/>
    </row>
    <row r="18" spans="2:63" s="5" customFormat="1" ht="12.75" customHeight="1">
      <c r="B18" s="22"/>
      <c r="C18" s="22"/>
      <c r="D18" s="3"/>
      <c r="E18" s="3"/>
      <c r="F18" s="3"/>
      <c r="G18" s="3"/>
      <c r="H18" s="3"/>
      <c r="I18" s="3"/>
      <c r="J18" s="3"/>
      <c r="K18" s="258"/>
      <c r="L18" s="258"/>
      <c r="M18" s="2"/>
      <c r="N18" s="2"/>
      <c r="O18" s="2"/>
      <c r="P18" s="2"/>
      <c r="Q18" s="2"/>
      <c r="R18" s="2"/>
      <c r="T18" s="22"/>
      <c r="U18" s="22"/>
      <c r="V18" s="3"/>
      <c r="W18" s="3"/>
      <c r="X18" s="3"/>
      <c r="Y18" s="3"/>
      <c r="Z18" s="3"/>
      <c r="AA18" s="3"/>
      <c r="AB18" s="3"/>
      <c r="AC18" s="258"/>
      <c r="AD18" s="258"/>
      <c r="AE18" s="2"/>
      <c r="AF18" s="2"/>
      <c r="AG18" s="2"/>
      <c r="AH18" s="2"/>
      <c r="AI18" s="2"/>
      <c r="AJ18" s="2"/>
      <c r="AL18" s="22"/>
      <c r="AM18" s="22"/>
      <c r="AN18" s="3"/>
      <c r="AO18" s="3"/>
      <c r="AP18" s="3"/>
      <c r="AQ18" s="3"/>
      <c r="AR18" s="3"/>
      <c r="AS18" s="3"/>
      <c r="AT18" s="3"/>
      <c r="AU18" s="258"/>
      <c r="AV18" s="258"/>
      <c r="AW18" s="2"/>
      <c r="AX18" s="2"/>
      <c r="AY18" s="2"/>
      <c r="AZ18" s="2"/>
      <c r="BA18" s="2"/>
      <c r="BB18" s="2"/>
      <c r="BC18" s="3"/>
      <c r="BD18" s="258"/>
      <c r="BE18" s="258"/>
      <c r="BF18" s="2"/>
      <c r="BG18" s="2"/>
      <c r="BH18" s="2"/>
      <c r="BI18" s="2"/>
      <c r="BJ18" s="2"/>
      <c r="BK18" s="2"/>
    </row>
    <row r="19" spans="2:63" s="5" customFormat="1" ht="12.75" customHeight="1">
      <c r="B19" s="47"/>
      <c r="C19" s="47"/>
      <c r="D19" s="20" t="s">
        <v>206</v>
      </c>
      <c r="E19" s="20" t="s">
        <v>207</v>
      </c>
      <c r="F19" s="20" t="s">
        <v>208</v>
      </c>
      <c r="G19" s="20" t="s">
        <v>209</v>
      </c>
      <c r="H19" s="20" t="s">
        <v>210</v>
      </c>
      <c r="I19" s="20" t="s">
        <v>211</v>
      </c>
      <c r="J19" s="3"/>
      <c r="K19" s="258"/>
      <c r="L19" s="258"/>
      <c r="M19" s="20" t="s">
        <v>212</v>
      </c>
      <c r="N19" s="20" t="s">
        <v>213</v>
      </c>
      <c r="O19" s="20" t="s">
        <v>214</v>
      </c>
      <c r="P19" s="20" t="s">
        <v>215</v>
      </c>
      <c r="Q19" s="20" t="s">
        <v>216</v>
      </c>
      <c r="R19" s="20" t="s">
        <v>217</v>
      </c>
      <c r="T19" s="47"/>
      <c r="U19" s="47"/>
      <c r="V19" s="20" t="s">
        <v>312</v>
      </c>
      <c r="W19" s="20" t="s">
        <v>313</v>
      </c>
      <c r="X19" s="20" t="s">
        <v>314</v>
      </c>
      <c r="Y19" s="20" t="s">
        <v>315</v>
      </c>
      <c r="Z19" s="20" t="s">
        <v>316</v>
      </c>
      <c r="AA19" s="20" t="s">
        <v>317</v>
      </c>
      <c r="AB19" s="3"/>
      <c r="AC19" s="258"/>
      <c r="AD19" s="258"/>
      <c r="AE19" s="20" t="s">
        <v>318</v>
      </c>
      <c r="AF19" s="20" t="s">
        <v>319</v>
      </c>
      <c r="AG19" s="20" t="s">
        <v>320</v>
      </c>
      <c r="AH19" s="20" t="s">
        <v>321</v>
      </c>
      <c r="AI19" s="20" t="s">
        <v>322</v>
      </c>
      <c r="AJ19" s="20" t="s">
        <v>323</v>
      </c>
      <c r="AL19" s="47"/>
      <c r="AM19" s="47"/>
      <c r="AN19" s="20" t="s">
        <v>324</v>
      </c>
      <c r="AO19" s="20" t="s">
        <v>325</v>
      </c>
      <c r="AP19" s="20" t="s">
        <v>326</v>
      </c>
      <c r="AQ19" s="20" t="s">
        <v>327</v>
      </c>
      <c r="AR19" s="20" t="s">
        <v>328</v>
      </c>
      <c r="AS19" s="20" t="s">
        <v>329</v>
      </c>
      <c r="AT19" s="3"/>
      <c r="AU19" s="258"/>
      <c r="AV19" s="258"/>
      <c r="AW19" s="20" t="s">
        <v>330</v>
      </c>
      <c r="AX19" s="20" t="s">
        <v>331</v>
      </c>
      <c r="AY19" s="20" t="s">
        <v>332</v>
      </c>
      <c r="AZ19" s="20" t="s">
        <v>333</v>
      </c>
      <c r="BA19" s="20" t="s">
        <v>334</v>
      </c>
      <c r="BB19" s="20" t="s">
        <v>335</v>
      </c>
      <c r="BC19" s="3"/>
      <c r="BD19" s="258"/>
      <c r="BE19" s="258"/>
      <c r="BF19" s="20" t="s">
        <v>336</v>
      </c>
      <c r="BG19" s="20" t="s">
        <v>337</v>
      </c>
      <c r="BH19" s="20" t="s">
        <v>338</v>
      </c>
      <c r="BI19" s="32"/>
      <c r="BJ19" s="32"/>
      <c r="BK19" s="32"/>
    </row>
    <row r="20" spans="2:63" s="5" customFormat="1" ht="12.75" customHeight="1">
      <c r="B20" s="302" t="s">
        <v>379</v>
      </c>
      <c r="C20" s="302"/>
      <c r="D20" s="31"/>
      <c r="E20" s="31"/>
      <c r="F20" s="31"/>
      <c r="G20" s="31"/>
      <c r="H20" s="31"/>
      <c r="I20" s="31"/>
      <c r="J20" s="3"/>
      <c r="K20" s="258"/>
      <c r="L20" s="258"/>
      <c r="M20" s="2"/>
      <c r="N20" s="2"/>
      <c r="O20" s="2"/>
      <c r="P20" s="2"/>
      <c r="Q20" s="2"/>
      <c r="R20" s="2"/>
      <c r="T20" s="302" t="s">
        <v>379</v>
      </c>
      <c r="U20" s="302"/>
      <c r="V20" s="31"/>
      <c r="W20" s="31"/>
      <c r="X20" s="31"/>
      <c r="Y20" s="31"/>
      <c r="Z20" s="31"/>
      <c r="AA20" s="31"/>
      <c r="AB20" s="3"/>
      <c r="AC20" s="258"/>
      <c r="AD20" s="258"/>
      <c r="AE20" s="2"/>
      <c r="AF20" s="2"/>
      <c r="AG20" s="2"/>
      <c r="AH20" s="2"/>
      <c r="AI20" s="2"/>
      <c r="AJ20" s="2"/>
      <c r="AL20" s="302" t="s">
        <v>379</v>
      </c>
      <c r="AM20" s="302"/>
      <c r="AN20" s="31"/>
      <c r="AO20" s="31"/>
      <c r="AP20" s="31"/>
      <c r="AQ20" s="31"/>
      <c r="AR20" s="31"/>
      <c r="AS20" s="31"/>
      <c r="AT20" s="3"/>
      <c r="AU20" s="258"/>
      <c r="AV20" s="258"/>
      <c r="AW20" s="2"/>
      <c r="AX20" s="2"/>
      <c r="AY20" s="2"/>
      <c r="AZ20" s="2"/>
      <c r="BA20" s="2"/>
      <c r="BB20" s="2"/>
      <c r="BC20" s="3"/>
      <c r="BD20" s="258"/>
      <c r="BE20" s="258"/>
      <c r="BF20" s="2"/>
      <c r="BG20" s="2"/>
      <c r="BH20" s="2"/>
      <c r="BI20" s="2"/>
      <c r="BJ20" s="2"/>
      <c r="BK20" s="2"/>
    </row>
    <row r="21" spans="2:63" s="5" customFormat="1" ht="12.75" customHeight="1">
      <c r="B21" s="258" t="s">
        <v>380</v>
      </c>
      <c r="C21" s="259"/>
      <c r="D21" s="33"/>
      <c r="E21" s="2"/>
      <c r="F21" s="2"/>
      <c r="G21" s="2"/>
      <c r="H21" s="2"/>
      <c r="I21" s="2"/>
      <c r="J21" s="3"/>
      <c r="K21" s="258"/>
      <c r="L21" s="258"/>
      <c r="M21" s="2"/>
      <c r="N21" s="2"/>
      <c r="O21" s="2"/>
      <c r="P21" s="2"/>
      <c r="Q21" s="2"/>
      <c r="R21" s="2"/>
      <c r="T21" s="258" t="s">
        <v>380</v>
      </c>
      <c r="U21" s="259"/>
      <c r="V21" s="33"/>
      <c r="W21" s="2"/>
      <c r="X21" s="2"/>
      <c r="Y21" s="2"/>
      <c r="Z21" s="2"/>
      <c r="AA21" s="2"/>
      <c r="AB21" s="3"/>
      <c r="AC21" s="258"/>
      <c r="AD21" s="258"/>
      <c r="AE21" s="2"/>
      <c r="AF21" s="2"/>
      <c r="AG21" s="2"/>
      <c r="AH21" s="2"/>
      <c r="AI21" s="2"/>
      <c r="AJ21" s="2"/>
      <c r="AL21" s="258" t="s">
        <v>380</v>
      </c>
      <c r="AM21" s="259"/>
      <c r="AN21" s="33"/>
      <c r="AO21" s="2"/>
      <c r="AP21" s="2"/>
      <c r="AQ21" s="2"/>
      <c r="AR21" s="2"/>
      <c r="AS21" s="2"/>
      <c r="AT21" s="3"/>
      <c r="AU21" s="258"/>
      <c r="AV21" s="258"/>
      <c r="AW21" s="2"/>
      <c r="AX21" s="2"/>
      <c r="AY21" s="2"/>
      <c r="AZ21" s="2"/>
      <c r="BA21" s="2"/>
      <c r="BB21" s="2"/>
      <c r="BC21" s="3"/>
      <c r="BD21" s="258"/>
      <c r="BE21" s="258"/>
      <c r="BF21" s="2"/>
      <c r="BG21" s="2"/>
      <c r="BH21" s="2"/>
      <c r="BI21" s="2"/>
      <c r="BJ21" s="2"/>
      <c r="BK21" s="2"/>
    </row>
    <row r="22" spans="2:63" s="5" customFormat="1" ht="12.75" customHeight="1">
      <c r="B22" s="254" t="s">
        <v>340</v>
      </c>
      <c r="C22" s="255"/>
      <c r="D22" s="26">
        <f>'6. PEF1. PLAN COMERCIAL'!D20</f>
        <v>200</v>
      </c>
      <c r="E22" s="26">
        <f>'6. PEF1. PLAN COMERCIAL'!E20</f>
        <v>200</v>
      </c>
      <c r="F22" s="26">
        <f>'6. PEF1. PLAN COMERCIAL'!F20</f>
        <v>250</v>
      </c>
      <c r="G22" s="26">
        <f>'6. PEF1. PLAN COMERCIAL'!G20</f>
        <v>250</v>
      </c>
      <c r="H22" s="26">
        <f>'6. PEF1. PLAN COMERCIAL'!H20</f>
        <v>250</v>
      </c>
      <c r="I22" s="26">
        <f>'6. PEF1. PLAN COMERCIAL'!I20</f>
        <v>250</v>
      </c>
      <c r="J22" s="3"/>
      <c r="K22" s="254" t="s">
        <v>340</v>
      </c>
      <c r="L22" s="255"/>
      <c r="M22" s="26">
        <f>'6. PEF1. PLAN COMERCIAL'!D22</f>
        <v>250</v>
      </c>
      <c r="N22" s="26">
        <f>'6. PEF1. PLAN COMERCIAL'!E22</f>
        <v>250</v>
      </c>
      <c r="O22" s="26">
        <f>'6. PEF1. PLAN COMERCIAL'!F22</f>
        <v>250</v>
      </c>
      <c r="P22" s="26">
        <f>'6. PEF1. PLAN COMERCIAL'!G22</f>
        <v>250</v>
      </c>
      <c r="Q22" s="26">
        <f>'6. PEF1. PLAN COMERCIAL'!H22</f>
        <v>250</v>
      </c>
      <c r="R22" s="26">
        <f>'6. PEF1. PLAN COMERCIAL'!I22</f>
        <v>250</v>
      </c>
      <c r="T22" s="254" t="s">
        <v>340</v>
      </c>
      <c r="U22" s="255"/>
      <c r="V22" s="26">
        <f>D22*(1+'6. PEF1. PLAN COMERCIAL'!$F$29)</f>
        <v>210</v>
      </c>
      <c r="W22" s="26">
        <f>E22*(1+'6. PEF1. PLAN COMERCIAL'!$F$29)</f>
        <v>210</v>
      </c>
      <c r="X22" s="26">
        <f>F22*(1+'6. PEF1. PLAN COMERCIAL'!$F$29)</f>
        <v>262.5</v>
      </c>
      <c r="Y22" s="26">
        <f>G22*(1+'6. PEF1. PLAN COMERCIAL'!$F$29)</f>
        <v>262.5</v>
      </c>
      <c r="Z22" s="26">
        <f>H22*(1+'6. PEF1. PLAN COMERCIAL'!$F$29)</f>
        <v>262.5</v>
      </c>
      <c r="AA22" s="26">
        <f>I22*(1+'6. PEF1. PLAN COMERCIAL'!$F$29)</f>
        <v>262.5</v>
      </c>
      <c r="AB22" s="3"/>
      <c r="AC22" s="254" t="s">
        <v>340</v>
      </c>
      <c r="AD22" s="255"/>
      <c r="AE22" s="26">
        <f>M22*(1+'6. PEF1. PLAN COMERCIAL'!$F$29)</f>
        <v>262.5</v>
      </c>
      <c r="AF22" s="26">
        <f>N22*(1+'6. PEF1. PLAN COMERCIAL'!$F$29)</f>
        <v>262.5</v>
      </c>
      <c r="AG22" s="26">
        <f>O22*(1+'6. PEF1. PLAN COMERCIAL'!$F$29)</f>
        <v>262.5</v>
      </c>
      <c r="AH22" s="26">
        <f>P22*(1+'6. PEF1. PLAN COMERCIAL'!$F$29)</f>
        <v>262.5</v>
      </c>
      <c r="AI22" s="26">
        <f>Q22*(1+'6. PEF1. PLAN COMERCIAL'!$F$29)</f>
        <v>262.5</v>
      </c>
      <c r="AJ22" s="26">
        <f>R22*(1+'6. PEF1. PLAN COMERCIAL'!$F$29)</f>
        <v>262.5</v>
      </c>
      <c r="AL22" s="254" t="s">
        <v>340</v>
      </c>
      <c r="AM22" s="255"/>
      <c r="AN22" s="26">
        <f>V22*(1+'6. PEF1. PLAN COMERCIAL'!$F$29)</f>
        <v>220.5</v>
      </c>
      <c r="AO22" s="26">
        <f>W22*(1+'6. PEF1. PLAN COMERCIAL'!$F$29)</f>
        <v>220.5</v>
      </c>
      <c r="AP22" s="26">
        <f>X22*(1+'6. PEF1. PLAN COMERCIAL'!$F$29)</f>
        <v>275.625</v>
      </c>
      <c r="AQ22" s="26">
        <f>Y22*(1+'6. PEF1. PLAN COMERCIAL'!$F$29)</f>
        <v>275.625</v>
      </c>
      <c r="AR22" s="26">
        <f>Z22*(1+'6. PEF1. PLAN COMERCIAL'!$F$29)</f>
        <v>275.625</v>
      </c>
      <c r="AS22" s="26">
        <f>AA22*(1+'6. PEF1. PLAN COMERCIAL'!$F$29)</f>
        <v>275.625</v>
      </c>
      <c r="AT22" s="3"/>
      <c r="AU22" s="254" t="s">
        <v>340</v>
      </c>
      <c r="AV22" s="255"/>
      <c r="AW22" s="26">
        <f>AE22*(1+'6. PEF1. PLAN COMERCIAL'!$F$29)</f>
        <v>275.625</v>
      </c>
      <c r="AX22" s="26">
        <f>AF22*(1+'6. PEF1. PLAN COMERCIAL'!$F$29)</f>
        <v>275.625</v>
      </c>
      <c r="AY22" s="26">
        <f>AG22*(1+'6. PEF1. PLAN COMERCIAL'!$F$29)</f>
        <v>275.625</v>
      </c>
      <c r="AZ22" s="26">
        <f>AH22*(1+'6. PEF1. PLAN COMERCIAL'!$F$29)</f>
        <v>275.625</v>
      </c>
      <c r="BA22" s="26">
        <f>AI22*(1+'6. PEF1. PLAN COMERCIAL'!$F$29)</f>
        <v>275.625</v>
      </c>
      <c r="BB22" s="26">
        <f>AJ22*(1+'6. PEF1. PLAN COMERCIAL'!$F$29)</f>
        <v>275.625</v>
      </c>
      <c r="BC22" s="3"/>
      <c r="BD22" s="254" t="s">
        <v>340</v>
      </c>
      <c r="BE22" s="255"/>
      <c r="BF22" s="26">
        <f>SUM(D22:I22)+SUM(M22:R22)</f>
        <v>2900</v>
      </c>
      <c r="BG22" s="26">
        <f>SUM(V22:AA22)+SUM(AE22:AJ22)</f>
        <v>3045</v>
      </c>
      <c r="BH22" s="26">
        <f>SUM(AN22:AS22)+SUM(AW22:BB22)</f>
        <v>3197.25</v>
      </c>
      <c r="BI22" s="2"/>
      <c r="BJ22" s="2"/>
      <c r="BK22" s="2"/>
    </row>
    <row r="23" spans="2:63" s="5" customFormat="1" ht="12.75" customHeight="1">
      <c r="B23" s="254" t="s">
        <v>286</v>
      </c>
      <c r="C23" s="255"/>
      <c r="D23" s="34">
        <f>(('6. PEF5. VENTAS Y COSTES'!$F$15+'6. PEF5. VENTAS Y COSTES'!$F$16)/12)</f>
        <v>4233.666666666667</v>
      </c>
      <c r="E23" s="26">
        <f>(('6. PEF5. VENTAS Y COSTES'!$F$15+'6. PEF5. VENTAS Y COSTES'!$F$16)/12)</f>
        <v>4233.666666666667</v>
      </c>
      <c r="F23" s="26">
        <f>(('6. PEF5. VENTAS Y COSTES'!$F$15+'6. PEF5. VENTAS Y COSTES'!$F$16)/12)</f>
        <v>4233.666666666667</v>
      </c>
      <c r="G23" s="26">
        <f>(('6. PEF5. VENTAS Y COSTES'!$F$15+'6. PEF5. VENTAS Y COSTES'!$F$16)/12)</f>
        <v>4233.666666666667</v>
      </c>
      <c r="H23" s="26">
        <f>(('6. PEF5. VENTAS Y COSTES'!$F$15+'6. PEF5. VENTAS Y COSTES'!$F$16)/12)</f>
        <v>4233.666666666667</v>
      </c>
      <c r="I23" s="26">
        <f>(('6. PEF5. VENTAS Y COSTES'!$F$15+'6. PEF5. VENTAS Y COSTES'!$F$16)/12)</f>
        <v>4233.666666666667</v>
      </c>
      <c r="J23" s="3"/>
      <c r="K23" s="254" t="s">
        <v>286</v>
      </c>
      <c r="L23" s="255"/>
      <c r="M23" s="26">
        <f>(('6. PEF5. VENTAS Y COSTES'!$F$15+'6. PEF5. VENTAS Y COSTES'!$F$16)/12)</f>
        <v>4233.666666666667</v>
      </c>
      <c r="N23" s="26">
        <f>(('6. PEF5. VENTAS Y COSTES'!$F$15+'6. PEF5. VENTAS Y COSTES'!$F$16)/12)</f>
        <v>4233.666666666667</v>
      </c>
      <c r="O23" s="26">
        <f>(('6. PEF5. VENTAS Y COSTES'!$F$15+'6. PEF5. VENTAS Y COSTES'!$F$16)/12)</f>
        <v>4233.666666666667</v>
      </c>
      <c r="P23" s="26">
        <f>(('6. PEF5. VENTAS Y COSTES'!$F$15+'6. PEF5. VENTAS Y COSTES'!$F$16)/12)</f>
        <v>4233.666666666667</v>
      </c>
      <c r="Q23" s="26">
        <f>(('6. PEF5. VENTAS Y COSTES'!$F$15+'6. PEF5. VENTAS Y COSTES'!$F$16)/12)</f>
        <v>4233.666666666667</v>
      </c>
      <c r="R23" s="26">
        <f>(('6. PEF5. VENTAS Y COSTES'!$F$15+'6. PEF5. VENTAS Y COSTES'!$F$16)/12)</f>
        <v>4233.666666666667</v>
      </c>
      <c r="T23" s="254" t="s">
        <v>286</v>
      </c>
      <c r="U23" s="255"/>
      <c r="V23" s="34">
        <f>(('6. PEF5. VENTAS Y COSTES'!$G$15+'6. PEF5. VENTAS Y COSTES'!$G$16)/12)</f>
        <v>4445.3500000000004</v>
      </c>
      <c r="W23" s="34">
        <f>(('6. PEF5. VENTAS Y COSTES'!$G$15+'6. PEF5. VENTAS Y COSTES'!$G$16)/12)</f>
        <v>4445.3500000000004</v>
      </c>
      <c r="X23" s="34">
        <f>(('6. PEF5. VENTAS Y COSTES'!$G$15+'6. PEF5. VENTAS Y COSTES'!$G$16)/12)</f>
        <v>4445.3500000000004</v>
      </c>
      <c r="Y23" s="34">
        <f>(('6. PEF5. VENTAS Y COSTES'!$G$15+'6. PEF5. VENTAS Y COSTES'!$G$16)/12)</f>
        <v>4445.3500000000004</v>
      </c>
      <c r="Z23" s="34">
        <f>(('6. PEF5. VENTAS Y COSTES'!$G$15+'6. PEF5. VENTAS Y COSTES'!$G$16)/12)</f>
        <v>4445.3500000000004</v>
      </c>
      <c r="AA23" s="34">
        <f>(('6. PEF5. VENTAS Y COSTES'!$G$15+'6. PEF5. VENTAS Y COSTES'!$G$16)/12)</f>
        <v>4445.3500000000004</v>
      </c>
      <c r="AB23" s="3"/>
      <c r="AC23" s="254" t="s">
        <v>286</v>
      </c>
      <c r="AD23" s="255"/>
      <c r="AE23" s="34">
        <f>(('6. PEF5. VENTAS Y COSTES'!$G$15+'6. PEF5. VENTAS Y COSTES'!$G$16)/12)</f>
        <v>4445.3500000000004</v>
      </c>
      <c r="AF23" s="34">
        <f>(('6. PEF5. VENTAS Y COSTES'!$G$15+'6. PEF5. VENTAS Y COSTES'!$G$16)/12)</f>
        <v>4445.3500000000004</v>
      </c>
      <c r="AG23" s="34">
        <f>(('6. PEF5. VENTAS Y COSTES'!$G$15+'6. PEF5. VENTAS Y COSTES'!$G$16)/12)</f>
        <v>4445.3500000000004</v>
      </c>
      <c r="AH23" s="34">
        <f>(('6. PEF5. VENTAS Y COSTES'!$G$15+'6. PEF5. VENTAS Y COSTES'!$G$16)/12)</f>
        <v>4445.3500000000004</v>
      </c>
      <c r="AI23" s="34">
        <f>(('6. PEF5. VENTAS Y COSTES'!$G$15+'6. PEF5. VENTAS Y COSTES'!$G$16)/12)</f>
        <v>4445.3500000000004</v>
      </c>
      <c r="AJ23" s="34">
        <f>(('6. PEF5. VENTAS Y COSTES'!$G$15+'6. PEF5. VENTAS Y COSTES'!$G$16)/12)</f>
        <v>4445.3500000000004</v>
      </c>
      <c r="AL23" s="254" t="s">
        <v>286</v>
      </c>
      <c r="AM23" s="255"/>
      <c r="AN23" s="34">
        <f>(('6. PEF5. VENTAS Y COSTES'!$H$15+'6. PEF5. VENTAS Y COSTES'!$H$16)/12)</f>
        <v>4667.6175000000003</v>
      </c>
      <c r="AO23" s="34">
        <f>(('6. PEF5. VENTAS Y COSTES'!$H$15+'6. PEF5. VENTAS Y COSTES'!$H$16)/12)</f>
        <v>4667.6175000000003</v>
      </c>
      <c r="AP23" s="34">
        <f>(('6. PEF5. VENTAS Y COSTES'!$H$15+'6. PEF5. VENTAS Y COSTES'!$H$16)/12)</f>
        <v>4667.6175000000003</v>
      </c>
      <c r="AQ23" s="34">
        <f>(('6. PEF5. VENTAS Y COSTES'!$H$15+'6. PEF5. VENTAS Y COSTES'!$H$16)/12)</f>
        <v>4667.6175000000003</v>
      </c>
      <c r="AR23" s="34">
        <f>(('6. PEF5. VENTAS Y COSTES'!$H$15+'6. PEF5. VENTAS Y COSTES'!$H$16)/12)</f>
        <v>4667.6175000000003</v>
      </c>
      <c r="AS23" s="34">
        <f>(('6. PEF5. VENTAS Y COSTES'!$H$15+'6. PEF5. VENTAS Y COSTES'!$H$16)/12)</f>
        <v>4667.6175000000003</v>
      </c>
      <c r="AT23" s="3"/>
      <c r="AU23" s="254" t="s">
        <v>286</v>
      </c>
      <c r="AV23" s="255"/>
      <c r="AW23" s="34">
        <f>(('6. PEF5. VENTAS Y COSTES'!$H$15+'6. PEF5. VENTAS Y COSTES'!$H$16)/12)</f>
        <v>4667.6175000000003</v>
      </c>
      <c r="AX23" s="34">
        <f>(('6. PEF5. VENTAS Y COSTES'!$H$15+'6. PEF5. VENTAS Y COSTES'!$H$16)/12)</f>
        <v>4667.6175000000003</v>
      </c>
      <c r="AY23" s="34">
        <f>(('6. PEF5. VENTAS Y COSTES'!$H$15+'6. PEF5. VENTAS Y COSTES'!$H$16)/12)</f>
        <v>4667.6175000000003</v>
      </c>
      <c r="AZ23" s="34">
        <f>(('6. PEF5. VENTAS Y COSTES'!$H$15+'6. PEF5. VENTAS Y COSTES'!$H$16)/12)</f>
        <v>4667.6175000000003</v>
      </c>
      <c r="BA23" s="34">
        <f>(('6. PEF5. VENTAS Y COSTES'!$H$15+'6. PEF5. VENTAS Y COSTES'!$H$16)/12)</f>
        <v>4667.6175000000003</v>
      </c>
      <c r="BB23" s="34">
        <f>(('6. PEF5. VENTAS Y COSTES'!$H$15+'6. PEF5. VENTAS Y COSTES'!$H$16)/12)</f>
        <v>4667.6175000000003</v>
      </c>
      <c r="BC23" s="3"/>
      <c r="BD23" s="254" t="s">
        <v>286</v>
      </c>
      <c r="BE23" s="255"/>
      <c r="BF23" s="26">
        <f>SUM(D23:I23)+SUM(M23:R23)</f>
        <v>50804.000000000007</v>
      </c>
      <c r="BG23" s="26">
        <f>SUM(V23:AA23)+SUM(AE23:AJ23)</f>
        <v>53344.2</v>
      </c>
      <c r="BH23" s="26">
        <f>SUM(AN23:AS23)+SUM(AW23:BB23)</f>
        <v>56011.41</v>
      </c>
      <c r="BI23" s="2"/>
      <c r="BJ23" s="2"/>
      <c r="BK23" s="2"/>
    </row>
    <row r="24" spans="2:63" s="5" customFormat="1" ht="12.75" customHeight="1">
      <c r="B24" s="254" t="s">
        <v>381</v>
      </c>
      <c r="C24" s="255"/>
      <c r="D24" s="26">
        <f>'6.PEF6. EXPLOTACION'!D23</f>
        <v>2272.5833333333339</v>
      </c>
      <c r="E24" s="26">
        <f>'6.PEF6. EXPLOTACION'!E23</f>
        <v>2272.5833333333339</v>
      </c>
      <c r="F24" s="26">
        <f>'6.PEF6. EXPLOTACION'!F23</f>
        <v>2272.5833333333339</v>
      </c>
      <c r="G24" s="26">
        <f>'6.PEF6. EXPLOTACION'!G23</f>
        <v>2272.5833333333339</v>
      </c>
      <c r="H24" s="26">
        <f>'6.PEF6. EXPLOTACION'!H23</f>
        <v>2272.5833333333339</v>
      </c>
      <c r="I24" s="26">
        <f>'6.PEF6. EXPLOTACION'!I23</f>
        <v>2272.5833333333339</v>
      </c>
      <c r="J24" s="3"/>
      <c r="K24" s="254" t="s">
        <v>381</v>
      </c>
      <c r="L24" s="255"/>
      <c r="M24" s="26">
        <f>'6.PEF6. EXPLOTACION'!M23</f>
        <v>2272.5833333333339</v>
      </c>
      <c r="N24" s="26">
        <f>'6.PEF6. EXPLOTACION'!N23</f>
        <v>2272.5833333333339</v>
      </c>
      <c r="O24" s="26">
        <f>'6.PEF6. EXPLOTACION'!O23</f>
        <v>2272.5833333333339</v>
      </c>
      <c r="P24" s="26">
        <f>'6.PEF6. EXPLOTACION'!P23</f>
        <v>2272.5833333333339</v>
      </c>
      <c r="Q24" s="26">
        <f>'6.PEF6. EXPLOTACION'!Q23</f>
        <v>2272.5833333333339</v>
      </c>
      <c r="R24" s="26">
        <f>'6.PEF6. EXPLOTACION'!R23</f>
        <v>2272.5833333333339</v>
      </c>
      <c r="T24" s="254" t="s">
        <v>381</v>
      </c>
      <c r="U24" s="255"/>
      <c r="V24" s="26">
        <f>'6.PEF6. EXPLOTACION'!V23</f>
        <v>2386.2125000000001</v>
      </c>
      <c r="W24" s="26">
        <f>'6.PEF6. EXPLOTACION'!W23</f>
        <v>2386.2125000000001</v>
      </c>
      <c r="X24" s="26">
        <f>'6.PEF6. EXPLOTACION'!X23</f>
        <v>2386.2125000000001</v>
      </c>
      <c r="Y24" s="26">
        <f>'6.PEF6. EXPLOTACION'!Y23</f>
        <v>2386.2125000000001</v>
      </c>
      <c r="Z24" s="26">
        <f>'6.PEF6. EXPLOTACION'!Z23</f>
        <v>2386.2125000000001</v>
      </c>
      <c r="AA24" s="26">
        <f>'6.PEF6. EXPLOTACION'!AA23</f>
        <v>2386.2125000000001</v>
      </c>
      <c r="AB24" s="3"/>
      <c r="AC24" s="254" t="s">
        <v>381</v>
      </c>
      <c r="AD24" s="255"/>
      <c r="AE24" s="26">
        <f>'6.PEF6. EXPLOTACION'!AE23</f>
        <v>2386.2125000000001</v>
      </c>
      <c r="AF24" s="26">
        <f>'6.PEF6. EXPLOTACION'!AF23</f>
        <v>2386.2125000000001</v>
      </c>
      <c r="AG24" s="26">
        <f>'6.PEF6. EXPLOTACION'!AG23</f>
        <v>2386.2125000000001</v>
      </c>
      <c r="AH24" s="26">
        <f>'6.PEF6. EXPLOTACION'!AH23</f>
        <v>2386.2125000000001</v>
      </c>
      <c r="AI24" s="26">
        <f>'6.PEF6. EXPLOTACION'!AI23</f>
        <v>2386.2125000000001</v>
      </c>
      <c r="AJ24" s="26">
        <f>'6.PEF6. EXPLOTACION'!AJ23</f>
        <v>2386.2125000000001</v>
      </c>
      <c r="AL24" s="254" t="s">
        <v>381</v>
      </c>
      <c r="AM24" s="255"/>
      <c r="AN24" s="26">
        <f>'6.PEF6. EXPLOTACION'!AN23</f>
        <v>2505.5231250000002</v>
      </c>
      <c r="AO24" s="26">
        <f>'6.PEF6. EXPLOTACION'!AO23</f>
        <v>2505.5231250000002</v>
      </c>
      <c r="AP24" s="26">
        <f>'6.PEF6. EXPLOTACION'!AP23</f>
        <v>2505.5231250000002</v>
      </c>
      <c r="AQ24" s="26">
        <f>'6.PEF6. EXPLOTACION'!AQ23</f>
        <v>2505.5231250000002</v>
      </c>
      <c r="AR24" s="26">
        <f>'6.PEF6. EXPLOTACION'!AR23</f>
        <v>2505.5231250000002</v>
      </c>
      <c r="AS24" s="26">
        <f>'6.PEF6. EXPLOTACION'!AS23</f>
        <v>2505.5231250000002</v>
      </c>
      <c r="AT24" s="3"/>
      <c r="AU24" s="254" t="s">
        <v>381</v>
      </c>
      <c r="AV24" s="255"/>
      <c r="AW24" s="26">
        <f>'6.PEF6. EXPLOTACION'!AW23</f>
        <v>2505.5231250000002</v>
      </c>
      <c r="AX24" s="26">
        <f>'6.PEF6. EXPLOTACION'!AX23</f>
        <v>2505.5231250000002</v>
      </c>
      <c r="AY24" s="26">
        <f>'6.PEF6. EXPLOTACION'!AY23</f>
        <v>2505.5231250000002</v>
      </c>
      <c r="AZ24" s="26">
        <f>'6.PEF6. EXPLOTACION'!AZ23</f>
        <v>2505.5231250000002</v>
      </c>
      <c r="BA24" s="26">
        <f>'6.PEF6. EXPLOTACION'!BA23</f>
        <v>2505.5231250000002</v>
      </c>
      <c r="BB24" s="26">
        <f>'6.PEF6. EXPLOTACION'!BB23</f>
        <v>2505.5231250000002</v>
      </c>
      <c r="BC24" s="3"/>
      <c r="BD24" s="254" t="s">
        <v>381</v>
      </c>
      <c r="BE24" s="255"/>
      <c r="BF24" s="26">
        <f>SUM(D24:I24)+SUM(M24:R24)</f>
        <v>27271.000000000007</v>
      </c>
      <c r="BG24" s="26">
        <f>SUM(V24:AA24)+SUM(AE24:AJ24)</f>
        <v>28634.55</v>
      </c>
      <c r="BH24" s="26">
        <f>SUM(AN24:AS24)+SUM(AW24:BB24)</f>
        <v>30066.2775</v>
      </c>
      <c r="BI24" s="2"/>
      <c r="BJ24" s="2"/>
      <c r="BK24" s="2"/>
    </row>
    <row r="25" spans="2:63" s="5" customFormat="1" ht="12.75" customHeight="1">
      <c r="B25" s="254" t="s">
        <v>382</v>
      </c>
      <c r="C25" s="255"/>
      <c r="D25" s="34">
        <f>'6.PEF6. EXPLOTACION'!D14</f>
        <v>3056.0833333333335</v>
      </c>
      <c r="E25" s="34">
        <f>'6.PEF6. EXPLOTACION'!E14</f>
        <v>3056.0833333333335</v>
      </c>
      <c r="F25" s="34">
        <f>'6.PEF6. EXPLOTACION'!F14</f>
        <v>3056.0833333333335</v>
      </c>
      <c r="G25" s="34">
        <f>'6.PEF6. EXPLOTACION'!G14</f>
        <v>3056.0833333333335</v>
      </c>
      <c r="H25" s="34">
        <f>'6.PEF6. EXPLOTACION'!H14</f>
        <v>3056.0833333333335</v>
      </c>
      <c r="I25" s="34">
        <f>'6.PEF6. EXPLOTACION'!I14</f>
        <v>3056.0833333333335</v>
      </c>
      <c r="J25" s="3"/>
      <c r="K25" s="254" t="s">
        <v>382</v>
      </c>
      <c r="L25" s="255"/>
      <c r="M25" s="34">
        <f>'6.PEF6. EXPLOTACION'!M14</f>
        <v>3056.0833333333335</v>
      </c>
      <c r="N25" s="34">
        <f>'6.PEF6. EXPLOTACION'!N14</f>
        <v>3056.0833333333335</v>
      </c>
      <c r="O25" s="34">
        <f>'6.PEF6. EXPLOTACION'!O14</f>
        <v>3056.0833333333335</v>
      </c>
      <c r="P25" s="34">
        <f>'6.PEF6. EXPLOTACION'!P14</f>
        <v>3056.0833333333335</v>
      </c>
      <c r="Q25" s="34">
        <f>'6.PEF6. EXPLOTACION'!Q14</f>
        <v>3056.0833333333335</v>
      </c>
      <c r="R25" s="34">
        <f>'6.PEF6. EXPLOTACION'!R14</f>
        <v>3056.0833333333335</v>
      </c>
      <c r="T25" s="254" t="s">
        <v>382</v>
      </c>
      <c r="U25" s="255"/>
      <c r="V25" s="34">
        <f>'6.PEF6. EXPLOTACION'!V14</f>
        <v>3208.8875000000003</v>
      </c>
      <c r="W25" s="34">
        <f>'6.PEF6. EXPLOTACION'!W14</f>
        <v>3208.8875000000003</v>
      </c>
      <c r="X25" s="34">
        <f>'6.PEF6. EXPLOTACION'!X14</f>
        <v>3208.8875000000003</v>
      </c>
      <c r="Y25" s="34">
        <f>'6.PEF6. EXPLOTACION'!Y14</f>
        <v>3208.8875000000003</v>
      </c>
      <c r="Z25" s="34">
        <f>'6.PEF6. EXPLOTACION'!Z14</f>
        <v>3208.8875000000003</v>
      </c>
      <c r="AA25" s="34">
        <f>'6.PEF6. EXPLOTACION'!AA14</f>
        <v>3208.8875000000003</v>
      </c>
      <c r="AB25" s="3"/>
      <c r="AC25" s="254" t="s">
        <v>382</v>
      </c>
      <c r="AD25" s="255"/>
      <c r="AE25" s="34">
        <f>'6.PEF6. EXPLOTACION'!AE14</f>
        <v>3208.8875000000003</v>
      </c>
      <c r="AF25" s="34">
        <f>'6.PEF6. EXPLOTACION'!AF14</f>
        <v>3208.8875000000003</v>
      </c>
      <c r="AG25" s="34">
        <f>'6.PEF6. EXPLOTACION'!AG14</f>
        <v>3208.8875000000003</v>
      </c>
      <c r="AH25" s="34">
        <f>'6.PEF6. EXPLOTACION'!AH14</f>
        <v>3208.8875000000003</v>
      </c>
      <c r="AI25" s="34">
        <f>'6.PEF6. EXPLOTACION'!AI14</f>
        <v>3208.8875000000003</v>
      </c>
      <c r="AJ25" s="34">
        <f>'6.PEF6. EXPLOTACION'!AJ14</f>
        <v>3208.8875000000003</v>
      </c>
      <c r="AL25" s="254" t="s">
        <v>382</v>
      </c>
      <c r="AM25" s="255"/>
      <c r="AN25" s="34">
        <f>'6.PEF6. EXPLOTACION'!AN14</f>
        <v>3369.3318750000003</v>
      </c>
      <c r="AO25" s="34">
        <f>'6.PEF6. EXPLOTACION'!AO14</f>
        <v>3369.3318750000003</v>
      </c>
      <c r="AP25" s="34">
        <f>'6.PEF6. EXPLOTACION'!AP14</f>
        <v>3369.3318750000003</v>
      </c>
      <c r="AQ25" s="34">
        <f>'6.PEF6. EXPLOTACION'!AQ14</f>
        <v>3369.3318750000003</v>
      </c>
      <c r="AR25" s="34">
        <f>'6.PEF6. EXPLOTACION'!AR14</f>
        <v>3369.3318750000003</v>
      </c>
      <c r="AS25" s="34">
        <f>'6.PEF6. EXPLOTACION'!AS14</f>
        <v>3369.3318750000003</v>
      </c>
      <c r="AT25" s="3"/>
      <c r="AU25" s="254" t="s">
        <v>382</v>
      </c>
      <c r="AV25" s="255"/>
      <c r="AW25" s="34">
        <f>'6.PEF6. EXPLOTACION'!AW14</f>
        <v>3369.3318750000003</v>
      </c>
      <c r="AX25" s="34">
        <f>'6.PEF6. EXPLOTACION'!AX14</f>
        <v>3369.3318750000003</v>
      </c>
      <c r="AY25" s="34">
        <f>'6.PEF6. EXPLOTACION'!AY14</f>
        <v>3369.3318750000003</v>
      </c>
      <c r="AZ25" s="34">
        <f>'6.PEF6. EXPLOTACION'!AZ14</f>
        <v>3369.3318750000003</v>
      </c>
      <c r="BA25" s="34">
        <f>'6.PEF6. EXPLOTACION'!BA14</f>
        <v>3369.3318750000003</v>
      </c>
      <c r="BB25" s="34">
        <f>'6.PEF6. EXPLOTACION'!BB14</f>
        <v>3369.3318750000003</v>
      </c>
      <c r="BC25" s="3"/>
      <c r="BD25" s="254" t="s">
        <v>382</v>
      </c>
      <c r="BE25" s="255"/>
      <c r="BF25" s="26">
        <f>SUM(D25:I25)+SUM(M25:R25)</f>
        <v>36673</v>
      </c>
      <c r="BG25" s="26">
        <f>SUM(V25:AA25)+SUM(AE25:AJ25)</f>
        <v>38506.65</v>
      </c>
      <c r="BH25" s="26">
        <f>SUM(AN25:AS25)+SUM(AW25:BB25)</f>
        <v>40431.982500000006</v>
      </c>
      <c r="BI25" s="2"/>
      <c r="BJ25" s="2"/>
      <c r="BK25" s="2"/>
    </row>
    <row r="26" spans="2:63" s="5" customFormat="1">
      <c r="B26" s="254" t="s">
        <v>383</v>
      </c>
      <c r="C26" s="255"/>
      <c r="D26" s="26"/>
      <c r="E26" s="26"/>
      <c r="F26" s="26"/>
      <c r="G26" s="26"/>
      <c r="H26" s="26"/>
      <c r="I26" s="26"/>
      <c r="J26" s="3"/>
      <c r="K26" s="254" t="s">
        <v>383</v>
      </c>
      <c r="L26" s="255"/>
      <c r="M26" s="26"/>
      <c r="N26" s="26"/>
      <c r="O26" s="26"/>
      <c r="P26" s="26"/>
      <c r="Q26" s="26"/>
      <c r="R26" s="26"/>
      <c r="T26" s="254" t="s">
        <v>383</v>
      </c>
      <c r="U26" s="255"/>
      <c r="V26" s="26"/>
      <c r="W26" s="26"/>
      <c r="X26" s="26"/>
      <c r="Y26" s="26"/>
      <c r="Z26" s="26"/>
      <c r="AA26" s="26"/>
      <c r="AB26" s="3"/>
      <c r="AC26" s="254" t="s">
        <v>383</v>
      </c>
      <c r="AD26" s="255"/>
      <c r="AE26" s="26"/>
      <c r="AF26" s="26"/>
      <c r="AG26" s="26"/>
      <c r="AH26" s="26"/>
      <c r="AI26" s="26"/>
      <c r="AJ26" s="26"/>
      <c r="AL26" s="254" t="s">
        <v>383</v>
      </c>
      <c r="AM26" s="255"/>
      <c r="AN26" s="26"/>
      <c r="AO26" s="26"/>
      <c r="AP26" s="26"/>
      <c r="AQ26" s="26"/>
      <c r="AR26" s="26"/>
      <c r="AS26" s="26"/>
      <c r="AT26" s="3"/>
      <c r="AU26" s="254" t="s">
        <v>383</v>
      </c>
      <c r="AV26" s="255"/>
      <c r="AW26" s="26"/>
      <c r="AX26" s="26"/>
      <c r="AY26" s="26"/>
      <c r="AZ26" s="26"/>
      <c r="BA26" s="26"/>
      <c r="BB26" s="26"/>
      <c r="BC26" s="3"/>
      <c r="BD26" s="254" t="s">
        <v>383</v>
      </c>
      <c r="BE26" s="255"/>
      <c r="BF26" s="26"/>
      <c r="BG26" s="26"/>
      <c r="BH26" s="26"/>
      <c r="BI26" s="2"/>
      <c r="BJ26" s="2"/>
      <c r="BK26" s="2"/>
    </row>
    <row r="27" spans="2:63" s="5" customFormat="1" ht="12.75" customHeight="1">
      <c r="B27" s="254" t="s">
        <v>384</v>
      </c>
      <c r="C27" s="255"/>
      <c r="D27" s="26">
        <f>'6.PEF4. AMORTIZACIÓN'!G14</f>
        <v>1306.25</v>
      </c>
      <c r="E27" s="26">
        <f>D27</f>
        <v>1306.25</v>
      </c>
      <c r="F27" s="26">
        <f t="shared" ref="F27:I28" si="18">E27</f>
        <v>1306.25</v>
      </c>
      <c r="G27" s="26">
        <f t="shared" si="18"/>
        <v>1306.25</v>
      </c>
      <c r="H27" s="26">
        <f t="shared" si="18"/>
        <v>1306.25</v>
      </c>
      <c r="I27" s="26">
        <f t="shared" si="18"/>
        <v>1306.25</v>
      </c>
      <c r="J27" s="3"/>
      <c r="K27" s="254" t="s">
        <v>384</v>
      </c>
      <c r="L27" s="255"/>
      <c r="M27" s="26">
        <f>I27</f>
        <v>1306.25</v>
      </c>
      <c r="N27" s="26">
        <f>M27</f>
        <v>1306.25</v>
      </c>
      <c r="O27" s="26">
        <f t="shared" ref="O27:R28" si="19">N27</f>
        <v>1306.25</v>
      </c>
      <c r="P27" s="26">
        <f t="shared" si="19"/>
        <v>1306.25</v>
      </c>
      <c r="Q27" s="26">
        <f t="shared" si="19"/>
        <v>1306.25</v>
      </c>
      <c r="R27" s="26">
        <f t="shared" si="19"/>
        <v>1306.25</v>
      </c>
      <c r="T27" s="254" t="s">
        <v>384</v>
      </c>
      <c r="U27" s="255"/>
      <c r="V27" s="26">
        <f>'6.PEF4. AMORTIZACIÓN'!H14</f>
        <v>0</v>
      </c>
      <c r="W27" s="26">
        <f t="shared" ref="W27:AA28" si="20">V27</f>
        <v>0</v>
      </c>
      <c r="X27" s="26">
        <f t="shared" si="20"/>
        <v>0</v>
      </c>
      <c r="Y27" s="26">
        <f t="shared" si="20"/>
        <v>0</v>
      </c>
      <c r="Z27" s="26">
        <f t="shared" si="20"/>
        <v>0</v>
      </c>
      <c r="AA27" s="26">
        <f t="shared" si="20"/>
        <v>0</v>
      </c>
      <c r="AB27" s="3"/>
      <c r="AC27" s="254" t="s">
        <v>384</v>
      </c>
      <c r="AD27" s="255"/>
      <c r="AE27" s="26">
        <f>AA27</f>
        <v>0</v>
      </c>
      <c r="AF27" s="26">
        <f t="shared" ref="AF27:AJ28" si="21">AE27</f>
        <v>0</v>
      </c>
      <c r="AG27" s="26">
        <f t="shared" si="21"/>
        <v>0</v>
      </c>
      <c r="AH27" s="26">
        <f t="shared" si="21"/>
        <v>0</v>
      </c>
      <c r="AI27" s="26">
        <f t="shared" si="21"/>
        <v>0</v>
      </c>
      <c r="AJ27" s="26">
        <f t="shared" si="21"/>
        <v>0</v>
      </c>
      <c r="AL27" s="254" t="s">
        <v>384</v>
      </c>
      <c r="AM27" s="255"/>
      <c r="AN27" s="26">
        <f>'6.PEF4. AMORTIZACIÓN'!I14</f>
        <v>0</v>
      </c>
      <c r="AO27" s="26">
        <f t="shared" ref="AO27:AS28" si="22">AN27</f>
        <v>0</v>
      </c>
      <c r="AP27" s="26">
        <f t="shared" si="22"/>
        <v>0</v>
      </c>
      <c r="AQ27" s="26">
        <f t="shared" si="22"/>
        <v>0</v>
      </c>
      <c r="AR27" s="26">
        <f t="shared" si="22"/>
        <v>0</v>
      </c>
      <c r="AS27" s="26">
        <f t="shared" si="22"/>
        <v>0</v>
      </c>
      <c r="AT27" s="3"/>
      <c r="AU27" s="254" t="s">
        <v>384</v>
      </c>
      <c r="AV27" s="255"/>
      <c r="AW27" s="26">
        <f>AS27</f>
        <v>0</v>
      </c>
      <c r="AX27" s="26">
        <f t="shared" ref="AX27:BB28" si="23">AW27</f>
        <v>0</v>
      </c>
      <c r="AY27" s="26">
        <f t="shared" si="23"/>
        <v>0</v>
      </c>
      <c r="AZ27" s="26">
        <f t="shared" si="23"/>
        <v>0</v>
      </c>
      <c r="BA27" s="26">
        <f t="shared" si="23"/>
        <v>0</v>
      </c>
      <c r="BB27" s="26">
        <f t="shared" si="23"/>
        <v>0</v>
      </c>
      <c r="BC27" s="3"/>
      <c r="BD27" s="254" t="s">
        <v>384</v>
      </c>
      <c r="BE27" s="255"/>
      <c r="BF27" s="26">
        <f>SUM(D27:I27)+SUM(M27:R27)</f>
        <v>15675</v>
      </c>
      <c r="BG27" s="26">
        <f>SUM(V27:AA27)+SUM(AE27:AJ27)</f>
        <v>0</v>
      </c>
      <c r="BH27" s="26">
        <f>SUM(AN27:AS27)+SUM(AW27:BB27)</f>
        <v>0</v>
      </c>
      <c r="BI27" s="2"/>
      <c r="BJ27" s="2"/>
      <c r="BK27" s="2"/>
    </row>
    <row r="28" spans="2:63" s="5" customFormat="1" ht="12.75" customHeight="1">
      <c r="B28" s="254" t="s">
        <v>385</v>
      </c>
      <c r="C28" s="255"/>
      <c r="D28" s="26">
        <f>'6.PEF4. AMORTIZACIÓN'!G10</f>
        <v>466.07548103791618</v>
      </c>
      <c r="E28" s="26">
        <f>D28</f>
        <v>466.07548103791618</v>
      </c>
      <c r="F28" s="26">
        <f t="shared" si="18"/>
        <v>466.07548103791618</v>
      </c>
      <c r="G28" s="26">
        <f t="shared" si="18"/>
        <v>466.07548103791618</v>
      </c>
      <c r="H28" s="26">
        <f t="shared" si="18"/>
        <v>466.07548103791618</v>
      </c>
      <c r="I28" s="26">
        <f t="shared" si="18"/>
        <v>466.07548103791618</v>
      </c>
      <c r="J28" s="3"/>
      <c r="K28" s="254" t="s">
        <v>385</v>
      </c>
      <c r="L28" s="255"/>
      <c r="M28" s="26">
        <f>I28</f>
        <v>466.07548103791618</v>
      </c>
      <c r="N28" s="26">
        <f>M28</f>
        <v>466.07548103791618</v>
      </c>
      <c r="O28" s="26">
        <f t="shared" si="19"/>
        <v>466.07548103791618</v>
      </c>
      <c r="P28" s="26">
        <f t="shared" si="19"/>
        <v>466.07548103791618</v>
      </c>
      <c r="Q28" s="26">
        <f t="shared" si="19"/>
        <v>466.07548103791618</v>
      </c>
      <c r="R28" s="26">
        <f t="shared" si="19"/>
        <v>466.07548103791618</v>
      </c>
      <c r="T28" s="254" t="s">
        <v>385</v>
      </c>
      <c r="U28" s="255"/>
      <c r="V28" s="26">
        <f>'6.PEF4. AMORTIZACIÓN'!H10</f>
        <v>466.07548103791618</v>
      </c>
      <c r="W28" s="26">
        <f t="shared" si="20"/>
        <v>466.07548103791618</v>
      </c>
      <c r="X28" s="26">
        <f t="shared" si="20"/>
        <v>466.07548103791618</v>
      </c>
      <c r="Y28" s="26">
        <f t="shared" si="20"/>
        <v>466.07548103791618</v>
      </c>
      <c r="Z28" s="26">
        <f t="shared" si="20"/>
        <v>466.07548103791618</v>
      </c>
      <c r="AA28" s="26">
        <f t="shared" si="20"/>
        <v>466.07548103791618</v>
      </c>
      <c r="AB28" s="3"/>
      <c r="AC28" s="254" t="s">
        <v>385</v>
      </c>
      <c r="AD28" s="255"/>
      <c r="AE28" s="26">
        <f>AA28</f>
        <v>466.07548103791618</v>
      </c>
      <c r="AF28" s="26">
        <f t="shared" si="21"/>
        <v>466.07548103791618</v>
      </c>
      <c r="AG28" s="26">
        <f t="shared" si="21"/>
        <v>466.07548103791618</v>
      </c>
      <c r="AH28" s="26">
        <f t="shared" si="21"/>
        <v>466.07548103791618</v>
      </c>
      <c r="AI28" s="26">
        <f t="shared" si="21"/>
        <v>466.07548103791618</v>
      </c>
      <c r="AJ28" s="26">
        <f t="shared" si="21"/>
        <v>466.07548103791618</v>
      </c>
      <c r="AL28" s="254" t="s">
        <v>385</v>
      </c>
      <c r="AM28" s="255"/>
      <c r="AN28" s="26">
        <f>'6.PEF4. AMORTIZACIÓN'!I10</f>
        <v>466.07548103791618</v>
      </c>
      <c r="AO28" s="26">
        <f t="shared" si="22"/>
        <v>466.07548103791618</v>
      </c>
      <c r="AP28" s="26">
        <f t="shared" si="22"/>
        <v>466.07548103791618</v>
      </c>
      <c r="AQ28" s="26">
        <f t="shared" si="22"/>
        <v>466.07548103791618</v>
      </c>
      <c r="AR28" s="26">
        <f t="shared" si="22"/>
        <v>466.07548103791618</v>
      </c>
      <c r="AS28" s="26">
        <f t="shared" si="22"/>
        <v>466.07548103791618</v>
      </c>
      <c r="AT28" s="3"/>
      <c r="AU28" s="254" t="s">
        <v>385</v>
      </c>
      <c r="AV28" s="255"/>
      <c r="AW28" s="26">
        <f>AS28</f>
        <v>466.07548103791618</v>
      </c>
      <c r="AX28" s="26">
        <f t="shared" si="23"/>
        <v>466.07548103791618</v>
      </c>
      <c r="AY28" s="26">
        <f t="shared" si="23"/>
        <v>466.07548103791618</v>
      </c>
      <c r="AZ28" s="26">
        <f t="shared" si="23"/>
        <v>466.07548103791618</v>
      </c>
      <c r="BA28" s="26">
        <f t="shared" si="23"/>
        <v>466.07548103791618</v>
      </c>
      <c r="BB28" s="26">
        <f t="shared" si="23"/>
        <v>466.07548103791618</v>
      </c>
      <c r="BC28" s="3"/>
      <c r="BD28" s="254" t="s">
        <v>385</v>
      </c>
      <c r="BE28" s="255"/>
      <c r="BF28" s="26">
        <f>SUM(D28:I28)+SUM(M28:R28)</f>
        <v>5592.9057724549939</v>
      </c>
      <c r="BG28" s="26">
        <f>SUM(V28:AA28)+SUM(AE28:AJ28)</f>
        <v>5592.9057724549939</v>
      </c>
      <c r="BH28" s="26">
        <f>SUM(AN28:AS28)+SUM(AW28:BB28)</f>
        <v>5592.9057724549939</v>
      </c>
      <c r="BI28" s="2"/>
      <c r="BJ28" s="2"/>
      <c r="BK28" s="2"/>
    </row>
    <row r="29" spans="2:63" s="5" customFormat="1" ht="12.75" customHeight="1">
      <c r="B29" s="258" t="s">
        <v>386</v>
      </c>
      <c r="C29" s="259"/>
      <c r="D29" s="26"/>
      <c r="E29" s="26"/>
      <c r="F29" s="26"/>
      <c r="G29" s="26"/>
      <c r="H29" s="26"/>
      <c r="I29" s="26"/>
      <c r="J29" s="3"/>
      <c r="K29" s="258" t="s">
        <v>386</v>
      </c>
      <c r="L29" s="259"/>
      <c r="M29" s="26"/>
      <c r="N29" s="26"/>
      <c r="O29" s="26"/>
      <c r="P29" s="26"/>
      <c r="Q29" s="26"/>
      <c r="R29" s="26"/>
      <c r="T29" s="258" t="s">
        <v>386</v>
      </c>
      <c r="U29" s="259"/>
      <c r="V29" s="26">
        <f>'6.PEF6. EXPLOTACION'!BF29</f>
        <v>678.54483241317166</v>
      </c>
      <c r="W29" s="26"/>
      <c r="X29" s="26"/>
      <c r="Y29" s="26"/>
      <c r="Z29" s="26"/>
      <c r="AA29" s="26"/>
      <c r="AB29" s="3"/>
      <c r="AC29" s="258" t="s">
        <v>386</v>
      </c>
      <c r="AD29" s="259"/>
      <c r="AE29" s="26"/>
      <c r="AF29" s="26"/>
      <c r="AG29" s="26"/>
      <c r="AH29" s="26"/>
      <c r="AI29" s="26"/>
      <c r="AJ29" s="26"/>
      <c r="AL29" s="258" t="s">
        <v>386</v>
      </c>
      <c r="AM29" s="259"/>
      <c r="AN29" s="26">
        <f>'6.PEF6. EXPLOTACION'!BG29</f>
        <v>2763.8435658680201</v>
      </c>
      <c r="AO29" s="26"/>
      <c r="AP29" s="26"/>
      <c r="AQ29" s="26">
        <f>SUM('6.PEF6. EXPLOTACION'!AN29:AP29)</f>
        <v>5358.5669556987405</v>
      </c>
      <c r="AR29" s="26"/>
      <c r="AS29" s="26"/>
      <c r="AT29" s="3"/>
      <c r="AU29" s="258" t="s">
        <v>386</v>
      </c>
      <c r="AV29" s="259"/>
      <c r="AW29" s="26">
        <f>SUM('6.PEF6. EXPLOTACION'!AQ29:AS29)</f>
        <v>583.1070290558564</v>
      </c>
      <c r="AX29" s="26"/>
      <c r="AY29" s="26"/>
      <c r="AZ29" s="26">
        <f>SUM('6.PEF6. EXPLOTACION'!AW29:AY29)</f>
        <v>386.83306287042569</v>
      </c>
      <c r="BA29" s="26"/>
      <c r="BB29" s="26"/>
      <c r="BC29" s="3"/>
      <c r="BD29" s="258" t="s">
        <v>386</v>
      </c>
      <c r="BE29" s="259"/>
      <c r="BF29" s="26">
        <v>0</v>
      </c>
      <c r="BG29" s="26">
        <f>V29</f>
        <v>678.54483241317166</v>
      </c>
      <c r="BH29" s="26">
        <f>AN29</f>
        <v>2763.8435658680201</v>
      </c>
      <c r="BI29" s="2"/>
      <c r="BJ29" s="2"/>
      <c r="BK29" s="2"/>
    </row>
    <row r="30" spans="2:63" s="5" customFormat="1">
      <c r="B30" s="258" t="s">
        <v>387</v>
      </c>
      <c r="C30" s="259"/>
      <c r="D30" s="55">
        <f>'6. PEF2-3. INVERS. Y FINANC.'!F38</f>
        <v>1316.54</v>
      </c>
      <c r="E30" s="26"/>
      <c r="F30" s="26"/>
      <c r="G30" s="55">
        <f>IF(D30-SUM(D35:F35)&gt;0,D30-SUM(D35:F35),0)</f>
        <v>0</v>
      </c>
      <c r="H30" s="26"/>
      <c r="I30" s="26"/>
      <c r="J30" s="3"/>
      <c r="K30" s="258" t="s">
        <v>387</v>
      </c>
      <c r="L30" s="259"/>
      <c r="M30" s="55">
        <f>IF(G30-SUM(G35:I35)&gt;0,G30-SUM(G35:I35),0)</f>
        <v>0</v>
      </c>
      <c r="N30" s="26"/>
      <c r="O30" s="26"/>
      <c r="P30" s="55">
        <f>IF(M30-SUM(M35:O35)&gt;0,M30-SUM(M35:O35),0)</f>
        <v>0</v>
      </c>
      <c r="Q30" s="26"/>
      <c r="R30" s="26"/>
      <c r="T30" s="258" t="s">
        <v>387</v>
      </c>
      <c r="U30" s="259"/>
      <c r="V30" s="55">
        <f>IF(P30-SUM(P35:R35)&gt;0,P30-SUM(P35:R35),0)</f>
        <v>0</v>
      </c>
      <c r="W30" s="26"/>
      <c r="X30" s="26"/>
      <c r="Y30" s="55">
        <f>IF(V30-SUM(V35:X35)&gt;0,V30-SUM(V35:X35),0)</f>
        <v>0</v>
      </c>
      <c r="Z30" s="26"/>
      <c r="AA30" s="26"/>
      <c r="AB30" s="3"/>
      <c r="AC30" s="258" t="s">
        <v>387</v>
      </c>
      <c r="AD30" s="259"/>
      <c r="AE30" s="55">
        <f>IF(Y30-SUM(Y35:AA35)&gt;0,Y30-SUM(Y35:AA35),0)</f>
        <v>0</v>
      </c>
      <c r="AF30" s="26"/>
      <c r="AG30" s="26"/>
      <c r="AH30" s="55">
        <f>IF(AE30-SUM(AE35:AG35)&gt;0,AE30-SUM(AE35:AG35),0)</f>
        <v>0</v>
      </c>
      <c r="AI30" s="26"/>
      <c r="AJ30" s="26"/>
      <c r="AL30" s="258" t="s">
        <v>387</v>
      </c>
      <c r="AM30" s="259"/>
      <c r="AN30" s="55">
        <f>IF(AH30-SUM(AH35:AJ35)&gt;0,AH30-SUM(AH35:AJ35),0)</f>
        <v>0</v>
      </c>
      <c r="AO30" s="26"/>
      <c r="AP30" s="26"/>
      <c r="AQ30" s="55">
        <f>IF(AN30-SUM(AN35:AP35)&gt;0,AN30-SUM(AN35:AP35),0)</f>
        <v>0</v>
      </c>
      <c r="AR30" s="26"/>
      <c r="AS30" s="26"/>
      <c r="AT30" s="3"/>
      <c r="AU30" s="258" t="s">
        <v>387</v>
      </c>
      <c r="AV30" s="259"/>
      <c r="AW30" s="55">
        <f>IF(AQ30-SUM(AQ35:AS35)&gt;0,AQ30-SUM(AQ35:AS35),0)</f>
        <v>0</v>
      </c>
      <c r="AX30" s="26"/>
      <c r="AY30" s="26"/>
      <c r="AZ30" s="55">
        <f>IF(AW30-SUM(AW35:AY35)&gt;0,AW30-SUM(AW35:AY35),0)</f>
        <v>0</v>
      </c>
      <c r="BA30" s="26"/>
      <c r="BB30" s="26"/>
      <c r="BC30" s="3"/>
      <c r="BD30" s="258" t="s">
        <v>387</v>
      </c>
      <c r="BE30" s="259"/>
      <c r="BF30" s="55">
        <f>V30</f>
        <v>0</v>
      </c>
      <c r="BG30" s="55">
        <f>W30</f>
        <v>0</v>
      </c>
      <c r="BH30" s="55">
        <f>X30</f>
        <v>0</v>
      </c>
      <c r="BI30" s="58"/>
      <c r="BJ30" s="2"/>
      <c r="BK30" s="2"/>
    </row>
    <row r="31" spans="2:63" s="5" customFormat="1" ht="12.75" customHeight="1">
      <c r="B31" s="295" t="s">
        <v>388</v>
      </c>
      <c r="C31" s="296"/>
      <c r="D31" s="55">
        <f>'6. PEF7. IVA'!D38</f>
        <v>0</v>
      </c>
      <c r="E31" s="55">
        <f>'6. PEF7. IVA'!F38</f>
        <v>0</v>
      </c>
      <c r="F31" s="55">
        <f>'6. PEF7. IVA'!H38</f>
        <v>0</v>
      </c>
      <c r="G31" s="55">
        <f>'6. PEF7. IVA'!J38</f>
        <v>0</v>
      </c>
      <c r="H31" s="55">
        <f>'6. PEF7. IVA'!L38</f>
        <v>0</v>
      </c>
      <c r="I31" s="55">
        <f>'6. PEF7. IVA'!N38</f>
        <v>0</v>
      </c>
      <c r="J31" s="3"/>
      <c r="K31" s="295" t="s">
        <v>388</v>
      </c>
      <c r="L31" s="296"/>
      <c r="M31" s="55">
        <f>'6. PEF7. IVA'!D49</f>
        <v>0</v>
      </c>
      <c r="N31" s="55">
        <f>'6. PEF7. IVA'!F49</f>
        <v>0</v>
      </c>
      <c r="O31" s="55">
        <f>'6. PEF7. IVA'!H49</f>
        <v>0</v>
      </c>
      <c r="P31" s="55">
        <f>'6. PEF7. IVA'!J49</f>
        <v>0</v>
      </c>
      <c r="Q31" s="55">
        <f>'6. PEF7. IVA'!L49</f>
        <v>0</v>
      </c>
      <c r="R31" s="55">
        <f>'6. PEF7. IVA'!N49</f>
        <v>0</v>
      </c>
      <c r="T31" s="295" t="s">
        <v>388</v>
      </c>
      <c r="U31" s="296"/>
      <c r="V31" s="55">
        <f>'6. PEF7. IVA'!S38</f>
        <v>0</v>
      </c>
      <c r="W31" s="55">
        <f>'6. PEF7. IVA'!U38</f>
        <v>0</v>
      </c>
      <c r="X31" s="55">
        <f>'6. PEF7. IVA'!W38</f>
        <v>0</v>
      </c>
      <c r="Y31" s="55">
        <f>'6. PEF7. IVA'!Y38</f>
        <v>0</v>
      </c>
      <c r="Z31" s="55">
        <f>'6. PEF7. IVA'!AA38</f>
        <v>0</v>
      </c>
      <c r="AA31" s="55">
        <f>'6. PEF7. IVA'!AC38</f>
        <v>0</v>
      </c>
      <c r="AB31" s="3"/>
      <c r="AC31" s="295" t="s">
        <v>388</v>
      </c>
      <c r="AD31" s="296"/>
      <c r="AE31" s="55">
        <f>'6. PEF7. IVA'!S49</f>
        <v>0</v>
      </c>
      <c r="AF31" s="55">
        <f>'6. PEF7. IVA'!U49</f>
        <v>0</v>
      </c>
      <c r="AG31" s="55">
        <f>'6. PEF7. IVA'!W49</f>
        <v>0</v>
      </c>
      <c r="AH31" s="55">
        <f>'6. PEF7. IVA'!Y49</f>
        <v>0</v>
      </c>
      <c r="AI31" s="55">
        <f>'6. PEF7. IVA'!AA49</f>
        <v>0</v>
      </c>
      <c r="AJ31" s="55">
        <f>'6. PEF7. IVA'!AC49</f>
        <v>0</v>
      </c>
      <c r="AL31" s="295" t="s">
        <v>388</v>
      </c>
      <c r="AM31" s="296"/>
      <c r="AN31" s="55">
        <f>'6. PEF7. IVA'!AH38</f>
        <v>0</v>
      </c>
      <c r="AO31" s="55">
        <f>'6. PEF7. IVA'!AJ38</f>
        <v>0</v>
      </c>
      <c r="AP31" s="55">
        <f>'6. PEF7. IVA'!AL38</f>
        <v>0</v>
      </c>
      <c r="AQ31" s="55">
        <f>'6. PEF7. IVA'!AN38</f>
        <v>0</v>
      </c>
      <c r="AR31" s="55">
        <f>'6. PEF7. IVA'!AP38</f>
        <v>0</v>
      </c>
      <c r="AS31" s="55">
        <f>'6. PEF7. IVA'!AR38</f>
        <v>0</v>
      </c>
      <c r="AT31" s="3"/>
      <c r="AU31" s="295" t="s">
        <v>388</v>
      </c>
      <c r="AV31" s="296"/>
      <c r="AW31" s="55">
        <f>'6. PEF7. IVA'!AH49</f>
        <v>0</v>
      </c>
      <c r="AX31" s="55">
        <f>'6. PEF7. IVA'!AJ49</f>
        <v>0</v>
      </c>
      <c r="AY31" s="55">
        <f>'6. PEF7. IVA'!AL49</f>
        <v>0</v>
      </c>
      <c r="AZ31" s="55">
        <f>'6. PEF7. IVA'!AN49</f>
        <v>0</v>
      </c>
      <c r="BA31" s="55">
        <f>'6. PEF7. IVA'!AP49</f>
        <v>0</v>
      </c>
      <c r="BB31" s="55">
        <f>'6. PEF7. IVA'!AR49</f>
        <v>0</v>
      </c>
      <c r="BC31" s="3"/>
      <c r="BD31" s="295" t="s">
        <v>388</v>
      </c>
      <c r="BE31" s="296"/>
      <c r="BF31" s="26">
        <f>SUM(D31:I31)+SUM(M31:R31)</f>
        <v>0</v>
      </c>
      <c r="BG31" s="26">
        <f>SUM(V31:AA31)+SUM(AE31:AJ31)</f>
        <v>0</v>
      </c>
      <c r="BH31" s="26">
        <f>SUM(AN31:AS31)+SUM(AW31:BB31)</f>
        <v>0</v>
      </c>
      <c r="BI31" s="58"/>
      <c r="BJ31" s="58"/>
      <c r="BK31" s="58"/>
    </row>
    <row r="32" spans="2:63" s="5" customFormat="1" ht="12.75" customHeight="1">
      <c r="B32" s="297" t="s">
        <v>389</v>
      </c>
      <c r="C32" s="298"/>
      <c r="D32" s="55">
        <f>'6. PEF7. IVA'!D40</f>
        <v>0</v>
      </c>
      <c r="E32" s="55">
        <f>'6. PEF7. IVA'!F40</f>
        <v>0</v>
      </c>
      <c r="F32" s="55">
        <f>'6. PEF7. IVA'!H40</f>
        <v>0</v>
      </c>
      <c r="G32" s="55">
        <f>'6. PEF7. IVA'!J40</f>
        <v>0</v>
      </c>
      <c r="H32" s="55">
        <f>'6. PEF7. IVA'!L40</f>
        <v>0</v>
      </c>
      <c r="I32" s="55">
        <f>'6. PEF7. IVA'!N40</f>
        <v>0</v>
      </c>
      <c r="J32" s="3"/>
      <c r="K32" s="297" t="s">
        <v>389</v>
      </c>
      <c r="L32" s="298"/>
      <c r="M32" s="55">
        <f>'6. PEF7. IVA'!D51</f>
        <v>0</v>
      </c>
      <c r="N32" s="55">
        <f>'6. PEF7. IVA'!F51</f>
        <v>0</v>
      </c>
      <c r="O32" s="55">
        <f>'6. PEF7. IVA'!H51</f>
        <v>0</v>
      </c>
      <c r="P32" s="55">
        <f>'6. PEF7. IVA'!J51</f>
        <v>0</v>
      </c>
      <c r="Q32" s="55">
        <f>'6. PEF7. IVA'!L51</f>
        <v>0</v>
      </c>
      <c r="R32" s="55">
        <f>'6. PEF7. IVA'!N51</f>
        <v>0</v>
      </c>
      <c r="T32" s="297" t="s">
        <v>389</v>
      </c>
      <c r="U32" s="298"/>
      <c r="V32" s="55">
        <f>'6. PEF7. IVA'!S40</f>
        <v>0</v>
      </c>
      <c r="W32" s="55">
        <f>'6. PEF7. IVA'!U40</f>
        <v>0</v>
      </c>
      <c r="X32" s="55">
        <f>'6. PEF7. IVA'!W40</f>
        <v>0</v>
      </c>
      <c r="Y32" s="55">
        <f>'6. PEF7. IVA'!Y40</f>
        <v>0</v>
      </c>
      <c r="Z32" s="55">
        <f>'6. PEF7. IVA'!AA40</f>
        <v>0</v>
      </c>
      <c r="AA32" s="55">
        <f>'6. PEF7. IVA'!AC40</f>
        <v>0</v>
      </c>
      <c r="AB32" s="3"/>
      <c r="AC32" s="297" t="s">
        <v>389</v>
      </c>
      <c r="AD32" s="298"/>
      <c r="AE32" s="55">
        <f>'6. PEF7. IVA'!S51</f>
        <v>0</v>
      </c>
      <c r="AF32" s="55">
        <f>'6. PEF7. IVA'!U51</f>
        <v>0</v>
      </c>
      <c r="AG32" s="55">
        <f>'6. PEF7. IVA'!W51</f>
        <v>0</v>
      </c>
      <c r="AH32" s="55">
        <f>'6. PEF7. IVA'!Y51</f>
        <v>0</v>
      </c>
      <c r="AI32" s="55">
        <f>'6. PEF7. IVA'!AA51</f>
        <v>0</v>
      </c>
      <c r="AJ32" s="55">
        <f>'6. PEF7. IVA'!AC51</f>
        <v>0</v>
      </c>
      <c r="AL32" s="297" t="s">
        <v>389</v>
      </c>
      <c r="AM32" s="298"/>
      <c r="AN32" s="55">
        <f>'6. PEF7. IVA'!AH40</f>
        <v>0</v>
      </c>
      <c r="AO32" s="55">
        <f>'6. PEF7. IVA'!AJ40</f>
        <v>0</v>
      </c>
      <c r="AP32" s="55">
        <f>'6. PEF7. IVA'!AL40</f>
        <v>0</v>
      </c>
      <c r="AQ32" s="55">
        <f>'6. PEF7. IVA'!AN40</f>
        <v>0</v>
      </c>
      <c r="AR32" s="55">
        <f>'6. PEF7. IVA'!AP40</f>
        <v>0</v>
      </c>
      <c r="AS32" s="55">
        <f>'6. PEF7. IVA'!AR40</f>
        <v>0</v>
      </c>
      <c r="AT32" s="3"/>
      <c r="AU32" s="297" t="s">
        <v>389</v>
      </c>
      <c r="AV32" s="298"/>
      <c r="AW32" s="55">
        <f>'6. PEF7. IVA'!AH51</f>
        <v>0</v>
      </c>
      <c r="AX32" s="55">
        <f>'6. PEF7. IVA'!AJ51</f>
        <v>0</v>
      </c>
      <c r="AY32" s="55">
        <f>'6. PEF7. IVA'!AL51</f>
        <v>0</v>
      </c>
      <c r="AZ32" s="55">
        <f>'6. PEF7. IVA'!AN51</f>
        <v>0</v>
      </c>
      <c r="BA32" s="55">
        <f>'6. PEF7. IVA'!AP51</f>
        <v>0</v>
      </c>
      <c r="BB32" s="55">
        <f>'6. PEF7. IVA'!AR51</f>
        <v>0</v>
      </c>
      <c r="BC32" s="3"/>
      <c r="BD32" s="297" t="s">
        <v>389</v>
      </c>
      <c r="BE32" s="298"/>
      <c r="BF32" s="26">
        <f>SUM(D32:I32)+SUM(M32:R32)</f>
        <v>0</v>
      </c>
      <c r="BG32" s="26">
        <f>SUM(V32:AA32)+SUM(AE32:AJ32)</f>
        <v>0</v>
      </c>
      <c r="BH32" s="26">
        <f>SUM(AN32:AS32)+SUM(AW32:BB32)</f>
        <v>0</v>
      </c>
      <c r="BI32" s="58"/>
      <c r="BJ32" s="58"/>
      <c r="BK32" s="58"/>
    </row>
    <row r="33" spans="2:63" s="5" customFormat="1" ht="12.75" customHeight="1">
      <c r="B33" s="299" t="s">
        <v>390</v>
      </c>
      <c r="C33" s="300"/>
      <c r="D33" s="55">
        <f>'6. PEF7. IVA'!D42</f>
        <v>519.26070000000004</v>
      </c>
      <c r="E33" s="55">
        <f>'6. PEF7. IVA'!F42</f>
        <v>519.26070000000004</v>
      </c>
      <c r="F33" s="55">
        <f>'6. PEF7. IVA'!H42</f>
        <v>529.76070000000004</v>
      </c>
      <c r="G33" s="55">
        <f>'6. PEF7. IVA'!J42</f>
        <v>529.76070000000004</v>
      </c>
      <c r="H33" s="55">
        <f>'6. PEF7. IVA'!L42</f>
        <v>529.76070000000004</v>
      </c>
      <c r="I33" s="55">
        <f>'6. PEF7. IVA'!N42</f>
        <v>529.76070000000004</v>
      </c>
      <c r="J33" s="2"/>
      <c r="K33" s="299" t="s">
        <v>390</v>
      </c>
      <c r="L33" s="300"/>
      <c r="M33" s="55">
        <f>'6. PEF7. IVA'!D53</f>
        <v>529.76070000000004</v>
      </c>
      <c r="N33" s="55">
        <f>'6. PEF7. IVA'!F53</f>
        <v>529.76070000000004</v>
      </c>
      <c r="O33" s="55">
        <f>'6. PEF7. IVA'!H53</f>
        <v>529.76070000000004</v>
      </c>
      <c r="P33" s="55">
        <f>'6. PEF7. IVA'!J53</f>
        <v>529.76070000000004</v>
      </c>
      <c r="Q33" s="55">
        <f>'6. PEF7. IVA'!L53</f>
        <v>529.76070000000004</v>
      </c>
      <c r="R33" s="55">
        <f>'6. PEF7. IVA'!N53</f>
        <v>529.76070000000004</v>
      </c>
      <c r="T33" s="299" t="s">
        <v>390</v>
      </c>
      <c r="U33" s="300"/>
      <c r="V33" s="55">
        <f>'6. PEF7. IVA'!S42</f>
        <v>545.22373500000003</v>
      </c>
      <c r="W33" s="55">
        <f>'6. PEF7. IVA'!U42</f>
        <v>545.22373500000003</v>
      </c>
      <c r="X33" s="55">
        <f>'6. PEF7. IVA'!W42</f>
        <v>556.24873500000001</v>
      </c>
      <c r="Y33" s="55">
        <f>'6. PEF7. IVA'!Y42</f>
        <v>556.24873500000001</v>
      </c>
      <c r="Z33" s="55">
        <f>'6. PEF7. IVA'!AA42</f>
        <v>556.24873500000001</v>
      </c>
      <c r="AA33" s="55">
        <f>'6. PEF7. IVA'!AC42</f>
        <v>556.24873500000001</v>
      </c>
      <c r="AB33" s="2"/>
      <c r="AC33" s="299" t="s">
        <v>390</v>
      </c>
      <c r="AD33" s="300"/>
      <c r="AE33" s="55">
        <f>'6. PEF7. IVA'!S53</f>
        <v>556.24873500000001</v>
      </c>
      <c r="AF33" s="55">
        <f>'6. PEF7. IVA'!U53</f>
        <v>556.24873500000001</v>
      </c>
      <c r="AG33" s="55">
        <f>'6. PEF7. IVA'!W53</f>
        <v>556.24873500000001</v>
      </c>
      <c r="AH33" s="55">
        <f>'6. PEF7. IVA'!Y53</f>
        <v>556.24873500000001</v>
      </c>
      <c r="AI33" s="55">
        <f>'6. PEF7. IVA'!AA53</f>
        <v>556.24873500000001</v>
      </c>
      <c r="AJ33" s="55">
        <f>'6. PEF7. IVA'!AC53</f>
        <v>556.24873500000001</v>
      </c>
      <c r="AL33" s="299" t="s">
        <v>390</v>
      </c>
      <c r="AM33" s="300"/>
      <c r="AN33" s="55">
        <f>'6. PEF7. IVA'!AH42</f>
        <v>572.48492175000001</v>
      </c>
      <c r="AO33" s="55">
        <f>'6. PEF7. IVA'!AJ42</f>
        <v>572.48492175000001</v>
      </c>
      <c r="AP33" s="55">
        <f>'6. PEF7. IVA'!AL42</f>
        <v>584.06117174999997</v>
      </c>
      <c r="AQ33" s="55">
        <f>'6. PEF7. IVA'!AN42</f>
        <v>584.06117174999997</v>
      </c>
      <c r="AR33" s="55">
        <f>'6. PEF7. IVA'!AP42</f>
        <v>584.06117174999997</v>
      </c>
      <c r="AS33" s="55">
        <f>'6. PEF7. IVA'!AR42</f>
        <v>584.06117174999997</v>
      </c>
      <c r="AT33" s="2"/>
      <c r="AU33" s="299" t="s">
        <v>390</v>
      </c>
      <c r="AV33" s="300"/>
      <c r="AW33" s="55">
        <f>'6. PEF7. IVA'!AH53</f>
        <v>584.06117174999997</v>
      </c>
      <c r="AX33" s="55">
        <f>'6. PEF7. IVA'!AJ53</f>
        <v>584.06117174999997</v>
      </c>
      <c r="AY33" s="55">
        <f>'6. PEF7. IVA'!AL53</f>
        <v>584.06117174999997</v>
      </c>
      <c r="AZ33" s="55">
        <f>'6. PEF7. IVA'!AN53</f>
        <v>584.06117174999997</v>
      </c>
      <c r="BA33" s="55">
        <f>'6. PEF7. IVA'!AP53</f>
        <v>584.06117174999997</v>
      </c>
      <c r="BB33" s="55">
        <f>'6. PEF7. IVA'!AR53</f>
        <v>584.06117174999997</v>
      </c>
      <c r="BC33" s="2"/>
      <c r="BD33" s="299" t="s">
        <v>390</v>
      </c>
      <c r="BE33" s="300"/>
      <c r="BF33" s="26">
        <f>SUM(D33:I33)+SUM(M33:R33)</f>
        <v>6336.1283999999996</v>
      </c>
      <c r="BG33" s="26">
        <f>SUM(V33:AA33)+SUM(AE33:AJ33)</f>
        <v>6652.9348200000004</v>
      </c>
      <c r="BH33" s="26">
        <f>SUM(AN33:AS33)+SUM(AW33:BB33)</f>
        <v>6985.5815610000009</v>
      </c>
      <c r="BI33" s="58"/>
      <c r="BJ33" s="58"/>
      <c r="BK33" s="58"/>
    </row>
    <row r="34" spans="2:63" s="5" customFormat="1" ht="12.75" customHeight="1">
      <c r="B34" s="258" t="s">
        <v>391</v>
      </c>
      <c r="C34" s="259"/>
      <c r="D34" s="60">
        <f t="shared" ref="D34:I34" si="24">SUM(D31:D33)</f>
        <v>519.26070000000004</v>
      </c>
      <c r="E34" s="60">
        <f t="shared" si="24"/>
        <v>519.26070000000004</v>
      </c>
      <c r="F34" s="60">
        <f t="shared" si="24"/>
        <v>529.76070000000004</v>
      </c>
      <c r="G34" s="60">
        <f t="shared" si="24"/>
        <v>529.76070000000004</v>
      </c>
      <c r="H34" s="60">
        <f t="shared" si="24"/>
        <v>529.76070000000004</v>
      </c>
      <c r="I34" s="60">
        <f t="shared" si="24"/>
        <v>529.76070000000004</v>
      </c>
      <c r="J34" s="2"/>
      <c r="K34" s="258" t="s">
        <v>391</v>
      </c>
      <c r="L34" s="259"/>
      <c r="M34" s="60">
        <f t="shared" ref="M34:R34" si="25">SUM(M31:M33)</f>
        <v>529.76070000000004</v>
      </c>
      <c r="N34" s="60">
        <f t="shared" si="25"/>
        <v>529.76070000000004</v>
      </c>
      <c r="O34" s="60">
        <f t="shared" si="25"/>
        <v>529.76070000000004</v>
      </c>
      <c r="P34" s="60">
        <f t="shared" si="25"/>
        <v>529.76070000000004</v>
      </c>
      <c r="Q34" s="60">
        <f t="shared" si="25"/>
        <v>529.76070000000004</v>
      </c>
      <c r="R34" s="60">
        <f t="shared" si="25"/>
        <v>529.76070000000004</v>
      </c>
      <c r="T34" s="258" t="s">
        <v>391</v>
      </c>
      <c r="U34" s="259"/>
      <c r="V34" s="60">
        <f t="shared" ref="V34:AA34" si="26">SUM(V31:V33)</f>
        <v>545.22373500000003</v>
      </c>
      <c r="W34" s="60">
        <f t="shared" si="26"/>
        <v>545.22373500000003</v>
      </c>
      <c r="X34" s="60">
        <f t="shared" si="26"/>
        <v>556.24873500000001</v>
      </c>
      <c r="Y34" s="60">
        <f t="shared" si="26"/>
        <v>556.24873500000001</v>
      </c>
      <c r="Z34" s="60">
        <f t="shared" si="26"/>
        <v>556.24873500000001</v>
      </c>
      <c r="AA34" s="60">
        <f t="shared" si="26"/>
        <v>556.24873500000001</v>
      </c>
      <c r="AB34" s="2"/>
      <c r="AC34" s="258" t="s">
        <v>391</v>
      </c>
      <c r="AD34" s="259"/>
      <c r="AE34" s="60">
        <f t="shared" ref="AE34:AJ34" si="27">SUM(AE31:AE33)</f>
        <v>556.24873500000001</v>
      </c>
      <c r="AF34" s="60">
        <f t="shared" si="27"/>
        <v>556.24873500000001</v>
      </c>
      <c r="AG34" s="60">
        <f t="shared" si="27"/>
        <v>556.24873500000001</v>
      </c>
      <c r="AH34" s="60">
        <f t="shared" si="27"/>
        <v>556.24873500000001</v>
      </c>
      <c r="AI34" s="60">
        <f t="shared" si="27"/>
        <v>556.24873500000001</v>
      </c>
      <c r="AJ34" s="60">
        <f t="shared" si="27"/>
        <v>556.24873500000001</v>
      </c>
      <c r="AL34" s="258" t="s">
        <v>391</v>
      </c>
      <c r="AM34" s="259"/>
      <c r="AN34" s="60">
        <f t="shared" ref="AN34:AS34" si="28">SUM(AN31:AN33)</f>
        <v>572.48492175000001</v>
      </c>
      <c r="AO34" s="60">
        <f t="shared" si="28"/>
        <v>572.48492175000001</v>
      </c>
      <c r="AP34" s="60">
        <f t="shared" si="28"/>
        <v>584.06117174999997</v>
      </c>
      <c r="AQ34" s="60">
        <f t="shared" si="28"/>
        <v>584.06117174999997</v>
      </c>
      <c r="AR34" s="60">
        <f t="shared" si="28"/>
        <v>584.06117174999997</v>
      </c>
      <c r="AS34" s="60">
        <f t="shared" si="28"/>
        <v>584.06117174999997</v>
      </c>
      <c r="AT34" s="2"/>
      <c r="AU34" s="258" t="s">
        <v>391</v>
      </c>
      <c r="AV34" s="259"/>
      <c r="AW34" s="60">
        <f t="shared" ref="AW34:BB34" si="29">SUM(AW31:AW33)</f>
        <v>584.06117174999997</v>
      </c>
      <c r="AX34" s="60">
        <f t="shared" si="29"/>
        <v>584.06117174999997</v>
      </c>
      <c r="AY34" s="60">
        <f t="shared" si="29"/>
        <v>584.06117174999997</v>
      </c>
      <c r="AZ34" s="60">
        <f t="shared" si="29"/>
        <v>584.06117174999997</v>
      </c>
      <c r="BA34" s="60">
        <f t="shared" si="29"/>
        <v>584.06117174999997</v>
      </c>
      <c r="BB34" s="60">
        <f t="shared" si="29"/>
        <v>584.06117174999997</v>
      </c>
      <c r="BC34" s="2"/>
      <c r="BD34" s="258" t="s">
        <v>391</v>
      </c>
      <c r="BE34" s="259"/>
      <c r="BF34" s="60">
        <f>SUM(BF31:BF33)</f>
        <v>6336.1283999999996</v>
      </c>
      <c r="BG34" s="60">
        <f>SUM(BG31:BG33)</f>
        <v>6652.9348200000004</v>
      </c>
      <c r="BH34" s="60">
        <f>SUM(BH31:BH33)</f>
        <v>6985.5815610000009</v>
      </c>
      <c r="BI34" s="58"/>
      <c r="BJ34" s="58"/>
      <c r="BK34" s="58"/>
    </row>
    <row r="35" spans="2:63" s="5" customFormat="1" ht="12.75" customHeight="1">
      <c r="B35" s="258" t="s">
        <v>392</v>
      </c>
      <c r="C35" s="259"/>
      <c r="D35" s="55">
        <f t="shared" ref="D35:I35" si="30">D15-D34</f>
        <v>4730.7393000000002</v>
      </c>
      <c r="E35" s="55">
        <f t="shared" si="30"/>
        <v>2630.7393000000002</v>
      </c>
      <c r="F35" s="55">
        <f t="shared" si="30"/>
        <v>1990.2393</v>
      </c>
      <c r="G35" s="55">
        <f t="shared" si="30"/>
        <v>1570.2393</v>
      </c>
      <c r="H35" s="55">
        <f t="shared" si="30"/>
        <v>1570.2393</v>
      </c>
      <c r="I35" s="55">
        <f t="shared" si="30"/>
        <v>1150.2393</v>
      </c>
      <c r="J35" s="2"/>
      <c r="K35" s="258" t="s">
        <v>392</v>
      </c>
      <c r="L35" s="259"/>
      <c r="M35" s="55">
        <f t="shared" ref="M35:R35" si="31">M15-M34</f>
        <v>730.23929999999996</v>
      </c>
      <c r="N35" s="55">
        <f t="shared" si="31"/>
        <v>730.23929999999996</v>
      </c>
      <c r="O35" s="55">
        <f t="shared" si="31"/>
        <v>2620.2393000000002</v>
      </c>
      <c r="P35" s="55">
        <f t="shared" si="31"/>
        <v>1045.2393</v>
      </c>
      <c r="Q35" s="55">
        <f t="shared" si="31"/>
        <v>520.23929999999996</v>
      </c>
      <c r="R35" s="55">
        <f t="shared" si="31"/>
        <v>835.23929999999996</v>
      </c>
      <c r="T35" s="258" t="s">
        <v>392</v>
      </c>
      <c r="U35" s="259"/>
      <c r="V35" s="55">
        <f t="shared" ref="V35:AA35" si="32">V15-V34</f>
        <v>5492.2762649999986</v>
      </c>
      <c r="W35" s="55">
        <f t="shared" si="32"/>
        <v>3077.276265</v>
      </c>
      <c r="X35" s="55">
        <f t="shared" si="32"/>
        <v>2341.7512649999994</v>
      </c>
      <c r="Y35" s="55">
        <f t="shared" si="32"/>
        <v>1858.7512649999999</v>
      </c>
      <c r="Z35" s="55">
        <f t="shared" si="32"/>
        <v>1858.7512649999999</v>
      </c>
      <c r="AA35" s="55">
        <f t="shared" si="32"/>
        <v>1375.7512649999999</v>
      </c>
      <c r="AB35" s="2"/>
      <c r="AC35" s="258" t="s">
        <v>392</v>
      </c>
      <c r="AD35" s="259"/>
      <c r="AE35" s="55">
        <f t="shared" ref="AE35:AJ35" si="33">AE15-AE34</f>
        <v>892.75126499999976</v>
      </c>
      <c r="AF35" s="55">
        <f t="shared" si="33"/>
        <v>892.75126499999976</v>
      </c>
      <c r="AG35" s="55">
        <f t="shared" si="33"/>
        <v>3066.2512649999999</v>
      </c>
      <c r="AH35" s="55">
        <f t="shared" si="33"/>
        <v>1255.0012649999999</v>
      </c>
      <c r="AI35" s="55">
        <f t="shared" si="33"/>
        <v>651.25126499999999</v>
      </c>
      <c r="AJ35" s="55">
        <f t="shared" si="33"/>
        <v>1013.5012649999998</v>
      </c>
      <c r="AL35" s="258" t="s">
        <v>392</v>
      </c>
      <c r="AM35" s="259"/>
      <c r="AN35" s="55">
        <f t="shared" ref="AN35:AS35" si="34">AN15-AN34</f>
        <v>6370.6400782499986</v>
      </c>
      <c r="AO35" s="55">
        <f t="shared" si="34"/>
        <v>3593.39007825</v>
      </c>
      <c r="AP35" s="55">
        <f t="shared" si="34"/>
        <v>2748.6388282499988</v>
      </c>
      <c r="AQ35" s="55">
        <f t="shared" si="34"/>
        <v>2193.1888282499995</v>
      </c>
      <c r="AR35" s="55">
        <f t="shared" si="34"/>
        <v>2193.1888282499995</v>
      </c>
      <c r="AS35" s="55">
        <f t="shared" si="34"/>
        <v>1637.7388282499996</v>
      </c>
      <c r="AT35" s="2"/>
      <c r="AU35" s="258" t="s">
        <v>392</v>
      </c>
      <c r="AV35" s="259"/>
      <c r="AW35" s="55">
        <f t="shared" ref="AW35:BB35" si="35">AW15-AW34</f>
        <v>1082.2888282499994</v>
      </c>
      <c r="AX35" s="55">
        <f t="shared" si="35"/>
        <v>1082.2888282499994</v>
      </c>
      <c r="AY35" s="55">
        <f t="shared" si="35"/>
        <v>3581.8138282499999</v>
      </c>
      <c r="AZ35" s="55">
        <f t="shared" si="35"/>
        <v>1498.8763282499999</v>
      </c>
      <c r="BA35" s="55">
        <f t="shared" si="35"/>
        <v>804.5638282499998</v>
      </c>
      <c r="BB35" s="55">
        <f t="shared" si="35"/>
        <v>1221.1513282499996</v>
      </c>
      <c r="BC35" s="2"/>
      <c r="BD35" s="258" t="s">
        <v>392</v>
      </c>
      <c r="BE35" s="259"/>
      <c r="BF35" s="55">
        <f>SUM(D35:I35)+SUM(M35:R35)</f>
        <v>20123.871599999999</v>
      </c>
      <c r="BG35" s="55">
        <f>BG15-BG34</f>
        <v>23776.065179999998</v>
      </c>
      <c r="BH35" s="55">
        <f>BH15-BH34</f>
        <v>28007.768438999992</v>
      </c>
      <c r="BI35" s="58"/>
      <c r="BJ35" s="58"/>
      <c r="BK35" s="58"/>
    </row>
    <row r="36" spans="2:63" s="5" customFormat="1" ht="12.75" customHeight="1">
      <c r="B36" s="258" t="s">
        <v>393</v>
      </c>
      <c r="C36" s="259"/>
      <c r="D36" s="26"/>
      <c r="E36" s="26"/>
      <c r="F36" s="26"/>
      <c r="G36" s="26">
        <f>IF(SUM(D35:F35)&gt;D30,SUM(D35:F35)-D30,0)</f>
        <v>8035.1778999999997</v>
      </c>
      <c r="H36" s="26"/>
      <c r="I36" s="26"/>
      <c r="J36" s="31"/>
      <c r="K36" s="258" t="s">
        <v>393</v>
      </c>
      <c r="L36" s="259"/>
      <c r="M36" s="26">
        <f>IF(SUM(G35:I35)&gt;G30,SUM(G35:I35)-(G30),0)</f>
        <v>4290.7178999999996</v>
      </c>
      <c r="N36" s="26"/>
      <c r="O36" s="26"/>
      <c r="P36" s="26">
        <f>IF(SUM(M35:O35)&gt;M30,SUM(M35:O35)-(M30),0)</f>
        <v>4080.7179000000001</v>
      </c>
      <c r="Q36" s="26"/>
      <c r="R36" s="26"/>
      <c r="T36" s="258" t="s">
        <v>393</v>
      </c>
      <c r="U36" s="259"/>
      <c r="V36" s="26">
        <f>IF(SUM(P35:R35)&gt;P30,SUM(P35:R35)-(P30),0)</f>
        <v>2400.7178999999996</v>
      </c>
      <c r="W36" s="26"/>
      <c r="X36" s="26"/>
      <c r="Y36" s="26">
        <f>IF(SUM(V35:X35)&gt;V30,SUM(V35:X35)-(V30),0)</f>
        <v>10911.303794999998</v>
      </c>
      <c r="Z36" s="26"/>
      <c r="AA36" s="26"/>
      <c r="AB36" s="31"/>
      <c r="AC36" s="258" t="s">
        <v>393</v>
      </c>
      <c r="AD36" s="259"/>
      <c r="AE36" s="26">
        <f>IF(SUM(Y35:AA35)&gt;Y30,SUM(Y35:AA35)-(Y30),0)</f>
        <v>5093.2537949999996</v>
      </c>
      <c r="AF36" s="26"/>
      <c r="AG36" s="26"/>
      <c r="AH36" s="26">
        <f>IF(SUM(AE35:AG35)&gt;AE30,SUM(AE35:AG35)-(AE30),0)</f>
        <v>4851.7537949999996</v>
      </c>
      <c r="AI36" s="26"/>
      <c r="AJ36" s="26"/>
      <c r="AL36" s="258" t="s">
        <v>393</v>
      </c>
      <c r="AM36" s="259"/>
      <c r="AN36" s="26">
        <f>IF(SUM(AH35:AJ35)&gt;AH30,SUM(AH35:AJ35)-(AH30),0)</f>
        <v>2919.7537949999996</v>
      </c>
      <c r="AO36" s="26"/>
      <c r="AP36" s="26"/>
      <c r="AQ36" s="26">
        <f>IF(SUM(AN35:AP35)&gt;AN30,SUM(AN35:AP35)-AN30,0)</f>
        <v>12712.668984749998</v>
      </c>
      <c r="AR36" s="26"/>
      <c r="AS36" s="26"/>
      <c r="AT36" s="31"/>
      <c r="AU36" s="258" t="s">
        <v>393</v>
      </c>
      <c r="AV36" s="259"/>
      <c r="AW36" s="26">
        <f>IF(SUM(AQ35:AS35)&gt;AQ30,SUM(AQ35:AS35)-AQ30,0)</f>
        <v>6024.1164847499986</v>
      </c>
      <c r="AX36" s="26"/>
      <c r="AY36" s="26"/>
      <c r="AZ36" s="26">
        <f>IF(SUM(AW35:AY35)&gt;AW30,SUM(AW35:AY35)-AW30,0)</f>
        <v>5746.3914847499982</v>
      </c>
      <c r="BA36" s="26"/>
      <c r="BB36" s="26"/>
      <c r="BC36" s="31"/>
      <c r="BD36" s="258" t="s">
        <v>393</v>
      </c>
      <c r="BE36" s="259"/>
      <c r="BF36" s="26">
        <f>SUM(D36:I36)+SUM(M36:R36)+V36</f>
        <v>18807.331599999998</v>
      </c>
      <c r="BG36" s="26">
        <f>SUM(W36:AA36)+SUM(AE36:AJ36)+AN36</f>
        <v>23776.065179999998</v>
      </c>
      <c r="BH36" s="26">
        <f>SUM(AO36:AS36)+SUM(AW36:BB36)+SUM(AZ35:BB35)</f>
        <v>28007.768438999996</v>
      </c>
      <c r="BI36" s="2"/>
      <c r="BJ36" s="2"/>
      <c r="BK36" s="2"/>
    </row>
    <row r="37" spans="2:63" ht="12.75" customHeight="1">
      <c r="B37" s="252" t="s">
        <v>394</v>
      </c>
      <c r="C37" s="252"/>
      <c r="D37" s="24">
        <f t="shared" ref="D37:I37" si="36">SUM(D21:D29)+D34+D36</f>
        <v>12053.919514371251</v>
      </c>
      <c r="E37" s="24">
        <f t="shared" si="36"/>
        <v>12053.919514371251</v>
      </c>
      <c r="F37" s="24">
        <f t="shared" si="36"/>
        <v>12114.419514371251</v>
      </c>
      <c r="G37" s="24">
        <f t="shared" si="36"/>
        <v>20149.597414371252</v>
      </c>
      <c r="H37" s="24">
        <f t="shared" si="36"/>
        <v>12114.419514371251</v>
      </c>
      <c r="I37" s="24">
        <f t="shared" si="36"/>
        <v>12114.419514371251</v>
      </c>
      <c r="K37" s="252" t="s">
        <v>394</v>
      </c>
      <c r="L37" s="252"/>
      <c r="M37" s="24">
        <f t="shared" ref="M37:R37" si="37">SUM(M21:M29)+M34+M36</f>
        <v>16405.137414371253</v>
      </c>
      <c r="N37" s="24">
        <f t="shared" si="37"/>
        <v>12114.419514371251</v>
      </c>
      <c r="O37" s="24">
        <f t="shared" si="37"/>
        <v>12114.419514371251</v>
      </c>
      <c r="P37" s="24">
        <f t="shared" si="37"/>
        <v>16195.137414371251</v>
      </c>
      <c r="Q37" s="24">
        <f t="shared" si="37"/>
        <v>12114.419514371251</v>
      </c>
      <c r="R37" s="24">
        <f t="shared" si="37"/>
        <v>12114.419514371251</v>
      </c>
      <c r="T37" s="252" t="s">
        <v>394</v>
      </c>
      <c r="U37" s="252"/>
      <c r="V37" s="24">
        <f t="shared" ref="V37:AA37" si="38">SUM(V21:V29)+V34+V36</f>
        <v>14341.011948451089</v>
      </c>
      <c r="W37" s="24">
        <f t="shared" si="38"/>
        <v>11261.749216037917</v>
      </c>
      <c r="X37" s="24">
        <f t="shared" si="38"/>
        <v>11325.274216037917</v>
      </c>
      <c r="Y37" s="24">
        <f t="shared" si="38"/>
        <v>22236.578011037913</v>
      </c>
      <c r="Z37" s="24">
        <f t="shared" si="38"/>
        <v>11325.274216037917</v>
      </c>
      <c r="AA37" s="24">
        <f t="shared" si="38"/>
        <v>11325.274216037917</v>
      </c>
      <c r="AC37" s="252" t="s">
        <v>394</v>
      </c>
      <c r="AD37" s="252"/>
      <c r="AE37" s="24">
        <f t="shared" ref="AE37:AJ37" si="39">SUM(AE21:AE29)+AE34+AE36</f>
        <v>16418.528011037917</v>
      </c>
      <c r="AF37" s="24">
        <f t="shared" si="39"/>
        <v>11325.274216037917</v>
      </c>
      <c r="AG37" s="24">
        <f t="shared" si="39"/>
        <v>11325.274216037917</v>
      </c>
      <c r="AH37" s="24">
        <f t="shared" si="39"/>
        <v>16177.028011037917</v>
      </c>
      <c r="AI37" s="24">
        <f t="shared" si="39"/>
        <v>11325.274216037917</v>
      </c>
      <c r="AJ37" s="24">
        <f t="shared" si="39"/>
        <v>11325.274216037917</v>
      </c>
      <c r="AL37" s="252" t="s">
        <v>394</v>
      </c>
      <c r="AM37" s="252"/>
      <c r="AN37" s="24">
        <f t="shared" ref="AN37:AS37" si="40">SUM(AN21:AN29)+AN34+AN36</f>
        <v>17485.130263655934</v>
      </c>
      <c r="AO37" s="24">
        <f t="shared" si="40"/>
        <v>11801.532902787916</v>
      </c>
      <c r="AP37" s="24">
        <f t="shared" si="40"/>
        <v>11868.234152787916</v>
      </c>
      <c r="AQ37" s="24">
        <f t="shared" si="40"/>
        <v>29939.470093236654</v>
      </c>
      <c r="AR37" s="24">
        <f t="shared" si="40"/>
        <v>11868.234152787916</v>
      </c>
      <c r="AS37" s="24">
        <f t="shared" si="40"/>
        <v>11868.234152787916</v>
      </c>
      <c r="AU37" s="252" t="s">
        <v>394</v>
      </c>
      <c r="AV37" s="252"/>
      <c r="AW37" s="24">
        <f t="shared" ref="AW37:BB37" si="41">SUM(AW21:AW29)+AW34+AW36</f>
        <v>18475.457666593771</v>
      </c>
      <c r="AX37" s="24">
        <f t="shared" si="41"/>
        <v>11868.234152787916</v>
      </c>
      <c r="AY37" s="24">
        <f t="shared" si="41"/>
        <v>11868.234152787916</v>
      </c>
      <c r="AZ37" s="24">
        <f t="shared" si="41"/>
        <v>18001.458700408341</v>
      </c>
      <c r="BA37" s="24">
        <f t="shared" si="41"/>
        <v>11868.234152787916</v>
      </c>
      <c r="BB37" s="24">
        <f t="shared" si="41"/>
        <v>11868.234152787916</v>
      </c>
      <c r="BD37" s="252" t="s">
        <v>394</v>
      </c>
      <c r="BE37" s="252"/>
      <c r="BF37" s="24">
        <f>SUM(BF22:BF29)+BF34+BF36</f>
        <v>164059.365772455</v>
      </c>
      <c r="BG37" s="24">
        <f>SUM(BG22:BG29)+BG34+BG36</f>
        <v>160230.85060486817</v>
      </c>
      <c r="BH37" s="24">
        <f>SUM(BH22:BH29)+BH34+BH36</f>
        <v>173057.01933832304</v>
      </c>
      <c r="BI37" s="38"/>
      <c r="BJ37" s="38"/>
      <c r="BK37" s="38"/>
    </row>
    <row r="38" spans="2:63" ht="12" customHeight="1">
      <c r="B38" s="230" t="s">
        <v>395</v>
      </c>
      <c r="C38" s="230"/>
      <c r="D38" s="17">
        <f t="shared" ref="D38:I38" si="42">D17-D37</f>
        <v>59267.500485628749</v>
      </c>
      <c r="E38" s="17">
        <f t="shared" si="42"/>
        <v>65363.580971257506</v>
      </c>
      <c r="F38" s="17">
        <f t="shared" si="42"/>
        <v>67769.161456886242</v>
      </c>
      <c r="G38" s="17">
        <f t="shared" si="42"/>
        <v>59719.56404251499</v>
      </c>
      <c r="H38" s="17">
        <f t="shared" si="42"/>
        <v>59705.144528143741</v>
      </c>
      <c r="I38" s="17">
        <f t="shared" si="42"/>
        <v>57270.725013772499</v>
      </c>
      <c r="K38" s="230" t="s">
        <v>395</v>
      </c>
      <c r="L38" s="230"/>
      <c r="M38" s="17">
        <f t="shared" ref="M38:R38" si="43">M17-M37</f>
        <v>48125.587599401246</v>
      </c>
      <c r="N38" s="17">
        <f t="shared" si="43"/>
        <v>43271.168085029996</v>
      </c>
      <c r="O38" s="17">
        <f t="shared" si="43"/>
        <v>49306.748570658747</v>
      </c>
      <c r="P38" s="17">
        <f t="shared" si="43"/>
        <v>42186.611156287494</v>
      </c>
      <c r="Q38" s="17">
        <f t="shared" si="43"/>
        <v>36122.191641916244</v>
      </c>
      <c r="R38" s="17">
        <f t="shared" si="43"/>
        <v>31872.772127544995</v>
      </c>
      <c r="T38" s="230" t="s">
        <v>395</v>
      </c>
      <c r="U38" s="230"/>
      <c r="V38" s="17">
        <f t="shared" ref="V38:AA38" si="44">V17-V37</f>
        <v>52319.260179093901</v>
      </c>
      <c r="W38" s="17">
        <f t="shared" si="44"/>
        <v>61930.010963055975</v>
      </c>
      <c r="X38" s="17">
        <f t="shared" si="44"/>
        <v>67302.736747018062</v>
      </c>
      <c r="Y38" s="17">
        <f t="shared" si="44"/>
        <v>58981.158735980149</v>
      </c>
      <c r="Z38" s="17">
        <f t="shared" si="44"/>
        <v>61570.884519942236</v>
      </c>
      <c r="AA38" s="17">
        <f t="shared" si="44"/>
        <v>61377.610303904323</v>
      </c>
      <c r="AC38" s="230" t="s">
        <v>395</v>
      </c>
      <c r="AD38" s="230"/>
      <c r="AE38" s="17">
        <f t="shared" ref="AE38:AJ38" si="45">AE17-AE37</f>
        <v>53308.082292866406</v>
      </c>
      <c r="AF38" s="17">
        <f t="shared" si="45"/>
        <v>50331.808076828485</v>
      </c>
      <c r="AG38" s="17">
        <f t="shared" si="45"/>
        <v>59879.033860790572</v>
      </c>
      <c r="AH38" s="17">
        <f t="shared" si="45"/>
        <v>54138.255849752655</v>
      </c>
      <c r="AI38" s="17">
        <f t="shared" si="45"/>
        <v>49770.481633714735</v>
      </c>
      <c r="AJ38" s="17">
        <f t="shared" si="45"/>
        <v>47489.957417676822</v>
      </c>
      <c r="AL38" s="230" t="s">
        <v>395</v>
      </c>
      <c r="AM38" s="230"/>
      <c r="AN38" s="17">
        <f t="shared" ref="AN38:AS38" si="46">AN17-AN37</f>
        <v>70010.452154020866</v>
      </c>
      <c r="AO38" s="17">
        <f t="shared" si="46"/>
        <v>82212.294251232946</v>
      </c>
      <c r="AP38" s="17">
        <f t="shared" si="46"/>
        <v>89546.760098445026</v>
      </c>
      <c r="AQ38" s="17">
        <f t="shared" si="46"/>
        <v>75609.540005208371</v>
      </c>
      <c r="AR38" s="17">
        <f t="shared" si="46"/>
        <v>79743.555852420453</v>
      </c>
      <c r="AS38" s="17">
        <f t="shared" si="46"/>
        <v>80677.121699632538</v>
      </c>
      <c r="AU38" s="230" t="s">
        <v>395</v>
      </c>
      <c r="AV38" s="230"/>
      <c r="AW38" s="17">
        <f t="shared" ref="AW38:BB38" si="47">AW17-AW37</f>
        <v>71803.01403303878</v>
      </c>
      <c r="AX38" s="17">
        <f t="shared" si="47"/>
        <v>69536.129880250868</v>
      </c>
      <c r="AY38" s="17">
        <f t="shared" si="47"/>
        <v>81671.27072746295</v>
      </c>
      <c r="AZ38" s="17">
        <f t="shared" si="47"/>
        <v>75671.499527054606</v>
      </c>
      <c r="BA38" s="17">
        <f t="shared" si="47"/>
        <v>71804.390374266688</v>
      </c>
      <c r="BB38" s="17">
        <f t="shared" si="47"/>
        <v>70337.618721478764</v>
      </c>
      <c r="BD38" s="230" t="s">
        <v>395</v>
      </c>
      <c r="BE38" s="230"/>
      <c r="BF38" s="17">
        <f>BF17-BF37</f>
        <v>29472.054227544984</v>
      </c>
      <c r="BG38" s="17">
        <f>BG17-BG37</f>
        <v>44570.20362267681</v>
      </c>
      <c r="BH38" s="17">
        <f>BH17-BH37</f>
        <v>73141.53428435378</v>
      </c>
      <c r="BI38" s="3"/>
      <c r="BJ38" s="3"/>
      <c r="BK38" s="3"/>
    </row>
    <row r="39" spans="2:63" s="5" customFormat="1" ht="12.75" customHeight="1">
      <c r="K39" s="48"/>
      <c r="L39" s="48"/>
      <c r="M39" s="2"/>
      <c r="N39" s="2"/>
      <c r="O39" s="2"/>
      <c r="P39" s="2"/>
      <c r="Q39" s="2"/>
      <c r="R39" s="2"/>
      <c r="AC39" s="48"/>
      <c r="AD39" s="48"/>
      <c r="AE39" s="2"/>
      <c r="AF39" s="2"/>
      <c r="AG39" s="2"/>
      <c r="AH39" s="2"/>
      <c r="AI39" s="2"/>
      <c r="AJ39" s="2"/>
      <c r="AU39" s="48"/>
      <c r="AV39" s="48"/>
      <c r="AW39" s="2"/>
      <c r="AX39" s="2"/>
      <c r="AY39" s="2"/>
      <c r="AZ39" s="2"/>
      <c r="BA39" s="2"/>
      <c r="BB39" s="2"/>
      <c r="BD39" s="48"/>
      <c r="BE39" s="48"/>
      <c r="BF39" s="2"/>
      <c r="BG39" s="2"/>
      <c r="BH39" s="2"/>
      <c r="BI39" s="2"/>
      <c r="BJ39" s="2"/>
      <c r="BK39" s="2"/>
    </row>
    <row r="40" spans="2:63" s="5" customFormat="1" ht="12.75" customHeight="1">
      <c r="K40" s="48"/>
      <c r="L40" s="48"/>
      <c r="M40" s="2"/>
      <c r="N40" s="2"/>
      <c r="O40" s="2"/>
      <c r="P40" s="2"/>
      <c r="Q40" s="2"/>
      <c r="R40" s="2"/>
      <c r="AC40" s="48"/>
      <c r="AD40" s="48"/>
      <c r="AE40" s="2"/>
      <c r="AF40" s="2"/>
      <c r="AG40" s="2"/>
      <c r="AH40" s="2"/>
      <c r="AI40" s="2"/>
      <c r="AJ40" s="2"/>
      <c r="AU40" s="48"/>
      <c r="AV40" s="48"/>
      <c r="AW40" s="2"/>
      <c r="AX40" s="2"/>
      <c r="AY40" s="2"/>
      <c r="AZ40" s="2"/>
      <c r="BA40" s="2"/>
      <c r="BB40" s="2"/>
      <c r="BD40" s="48"/>
      <c r="BE40" s="48"/>
      <c r="BF40" s="2"/>
      <c r="BG40" s="2"/>
      <c r="BH40" s="2"/>
      <c r="BI40" s="2"/>
      <c r="BJ40" s="2"/>
      <c r="BK40" s="2"/>
    </row>
    <row r="41" spans="2:63" s="5" customFormat="1" ht="12.75" customHeight="1">
      <c r="K41" s="48"/>
      <c r="L41" s="48"/>
      <c r="M41" s="2"/>
      <c r="N41" s="2"/>
      <c r="O41" s="2"/>
      <c r="P41" s="2"/>
      <c r="Q41" s="2"/>
      <c r="R41" s="2"/>
      <c r="AC41" s="48"/>
      <c r="AD41" s="48"/>
      <c r="AE41" s="2"/>
      <c r="AF41" s="2"/>
      <c r="AG41" s="2"/>
      <c r="AH41" s="2"/>
      <c r="AI41" s="2"/>
      <c r="AJ41" s="2"/>
      <c r="AU41" s="48"/>
      <c r="AV41" s="48"/>
      <c r="AW41" s="2"/>
      <c r="AX41" s="2"/>
      <c r="AY41" s="2"/>
      <c r="AZ41" s="2"/>
      <c r="BA41" s="2"/>
      <c r="BB41" s="2"/>
      <c r="BD41" s="48"/>
      <c r="BE41" s="48"/>
      <c r="BF41" s="2"/>
      <c r="BG41" s="2"/>
      <c r="BH41" s="2"/>
      <c r="BI41" s="2"/>
      <c r="BJ41" s="2"/>
      <c r="BK41" s="2"/>
    </row>
    <row r="42" spans="2:63" ht="12.75" customHeight="1">
      <c r="K42" s="48"/>
      <c r="L42" s="48"/>
      <c r="M42" s="2"/>
      <c r="N42" s="2"/>
      <c r="O42" s="2"/>
      <c r="P42" s="2"/>
      <c r="Q42" s="2"/>
      <c r="R42" s="2"/>
      <c r="AC42" s="48"/>
      <c r="AD42" s="48"/>
      <c r="AE42" s="2"/>
      <c r="AF42" s="2"/>
      <c r="AG42" s="2"/>
      <c r="AH42" s="2"/>
      <c r="AI42" s="2"/>
      <c r="AJ42" s="2"/>
      <c r="AU42" s="48"/>
      <c r="AV42" s="48"/>
      <c r="AW42" s="2"/>
      <c r="AX42" s="2"/>
      <c r="AY42" s="2"/>
      <c r="AZ42" s="2"/>
      <c r="BA42" s="2"/>
      <c r="BB42" s="2"/>
      <c r="BD42" s="48"/>
      <c r="BE42" s="48"/>
      <c r="BF42" s="2"/>
      <c r="BG42" s="2"/>
      <c r="BH42" s="2"/>
      <c r="BI42" s="2"/>
      <c r="BJ42" s="2"/>
      <c r="BK42" s="2"/>
    </row>
    <row r="43" spans="2:63" ht="12.75" customHeight="1">
      <c r="K43" s="49"/>
      <c r="L43" s="49"/>
      <c r="M43" s="2"/>
      <c r="N43" s="2"/>
      <c r="O43" s="2"/>
      <c r="P43" s="2"/>
      <c r="Q43" s="2"/>
      <c r="R43" s="2"/>
      <c r="AC43" s="49"/>
      <c r="AD43" s="49"/>
      <c r="AE43" s="2"/>
      <c r="AF43" s="2"/>
      <c r="AG43" s="2"/>
      <c r="AH43" s="2"/>
      <c r="AI43" s="2"/>
      <c r="AJ43" s="2"/>
      <c r="AU43" s="49"/>
      <c r="AV43" s="49"/>
      <c r="AW43" s="2"/>
      <c r="AX43" s="2"/>
      <c r="AY43" s="2"/>
      <c r="AZ43" s="2"/>
      <c r="BA43" s="2"/>
      <c r="BB43" s="2"/>
      <c r="BD43" s="49"/>
      <c r="BE43" s="49"/>
      <c r="BF43" s="2"/>
      <c r="BG43" s="2"/>
      <c r="BH43" s="2"/>
      <c r="BI43" s="2"/>
      <c r="BJ43" s="2"/>
      <c r="BK43" s="2"/>
    </row>
    <row r="44" spans="2:63" ht="12.75" customHeight="1">
      <c r="K44" s="50"/>
      <c r="L44" s="50"/>
      <c r="M44" s="38"/>
      <c r="N44" s="38"/>
      <c r="O44" s="38"/>
      <c r="P44" s="38"/>
      <c r="Q44" s="38"/>
      <c r="R44" s="38"/>
      <c r="AC44" s="50"/>
      <c r="AD44" s="50"/>
      <c r="AE44" s="38"/>
      <c r="AF44" s="38"/>
      <c r="AG44" s="38"/>
      <c r="AH44" s="38"/>
      <c r="AI44" s="38"/>
      <c r="AJ44" s="38"/>
      <c r="AU44" s="50"/>
      <c r="AV44" s="50"/>
      <c r="AW44" s="38"/>
      <c r="AX44" s="38"/>
      <c r="AY44" s="38"/>
      <c r="AZ44" s="38"/>
      <c r="BA44" s="38"/>
      <c r="BB44" s="38"/>
      <c r="BD44" s="50"/>
      <c r="BE44" s="50"/>
      <c r="BF44" s="38"/>
      <c r="BG44" s="38"/>
      <c r="BH44" s="38"/>
      <c r="BI44" s="38"/>
      <c r="BJ44" s="38"/>
      <c r="BK44" s="38"/>
    </row>
    <row r="45" spans="2:63" ht="12.75" customHeight="1">
      <c r="M45" s="3"/>
      <c r="N45" s="3"/>
      <c r="O45" s="3"/>
      <c r="P45" s="3"/>
      <c r="Q45" s="3"/>
      <c r="R45" s="3"/>
      <c r="AE45" s="3"/>
      <c r="AF45" s="3"/>
      <c r="AG45" s="3"/>
      <c r="AH45" s="3"/>
      <c r="AI45" s="3"/>
      <c r="AJ45" s="3"/>
      <c r="AW45" s="3"/>
      <c r="AX45" s="3"/>
      <c r="AY45" s="3"/>
      <c r="AZ45" s="3"/>
      <c r="BA45" s="3"/>
      <c r="BB45" s="3"/>
      <c r="BF45" s="3"/>
      <c r="BG45" s="3"/>
      <c r="BH45" s="3"/>
      <c r="BI45" s="3"/>
      <c r="BJ45" s="3"/>
      <c r="BK45" s="3"/>
    </row>
    <row r="46" spans="2:63" ht="12.75" customHeight="1">
      <c r="P46" s="2"/>
      <c r="Q46" s="2"/>
      <c r="R46" s="42"/>
      <c r="AH46" s="2"/>
      <c r="AI46" s="2"/>
      <c r="AJ46" s="42"/>
      <c r="AZ46" s="2"/>
      <c r="BA46" s="2"/>
      <c r="BB46" s="42"/>
      <c r="BI46" s="2"/>
      <c r="BJ46" s="2"/>
      <c r="BK46" s="42"/>
    </row>
    <row r="47" spans="2:63" ht="12.75" customHeight="1">
      <c r="P47" s="2"/>
      <c r="Q47" s="2"/>
      <c r="R47" s="43"/>
      <c r="AH47" s="2"/>
      <c r="AI47" s="2"/>
      <c r="AJ47" s="43"/>
      <c r="AZ47" s="2"/>
      <c r="BA47" s="2"/>
      <c r="BB47" s="43"/>
      <c r="BI47" s="2"/>
      <c r="BJ47" s="2"/>
      <c r="BK47" s="43"/>
    </row>
    <row r="48" spans="2:63">
      <c r="P48" s="2"/>
      <c r="Q48" s="2"/>
      <c r="R48" s="43"/>
      <c r="AH48" s="2"/>
      <c r="AI48" s="2"/>
      <c r="AJ48" s="43"/>
      <c r="AZ48" s="2"/>
      <c r="BA48" s="2"/>
      <c r="BB48" s="43"/>
      <c r="BI48" s="2"/>
      <c r="BJ48" s="2"/>
      <c r="BK48" s="43"/>
    </row>
    <row r="49" spans="1:63">
      <c r="P49" s="2"/>
      <c r="Q49" s="3"/>
      <c r="R49" s="44"/>
      <c r="AH49" s="2"/>
      <c r="AI49" s="3"/>
      <c r="AJ49" s="44"/>
      <c r="AZ49" s="2"/>
      <c r="BA49" s="3"/>
      <c r="BB49" s="44"/>
      <c r="BI49" s="2"/>
      <c r="BJ49" s="3"/>
      <c r="BK49" s="44"/>
    </row>
    <row r="50" spans="1:63">
      <c r="L50" s="45"/>
      <c r="M50" s="45"/>
      <c r="N50" s="45"/>
      <c r="O50" s="38"/>
      <c r="P50" s="2"/>
      <c r="R50" s="8"/>
      <c r="AD50" s="45"/>
      <c r="AE50" s="45"/>
      <c r="AF50" s="45"/>
      <c r="AG50" s="38"/>
      <c r="AH50" s="2"/>
      <c r="AJ50" s="8"/>
      <c r="AV50" s="45"/>
      <c r="AW50" s="45"/>
      <c r="AX50" s="45"/>
      <c r="AY50" s="38"/>
      <c r="AZ50" s="2"/>
      <c r="BB50" s="8"/>
      <c r="BE50" s="45"/>
      <c r="BF50" s="45"/>
      <c r="BG50" s="45"/>
      <c r="BH50" s="38"/>
      <c r="BI50" s="2"/>
      <c r="BK50" s="8"/>
    </row>
    <row r="51" spans="1:63">
      <c r="D51" s="32"/>
      <c r="E51" s="32"/>
      <c r="F51" s="32"/>
      <c r="G51" s="32"/>
      <c r="H51" s="32"/>
      <c r="I51" s="32"/>
      <c r="L51" s="45"/>
      <c r="M51" s="45"/>
      <c r="N51" s="45"/>
      <c r="O51" s="38"/>
      <c r="P51" s="2"/>
      <c r="R51" s="8"/>
      <c r="V51" s="32"/>
      <c r="W51" s="32"/>
      <c r="X51" s="32"/>
      <c r="Y51" s="32"/>
      <c r="Z51" s="32"/>
      <c r="AA51" s="32"/>
      <c r="AD51" s="45"/>
      <c r="AE51" s="45"/>
      <c r="AF51" s="45"/>
      <c r="AG51" s="38"/>
      <c r="AH51" s="2"/>
      <c r="AJ51" s="8"/>
      <c r="AN51" s="32"/>
      <c r="AO51" s="32"/>
      <c r="AP51" s="32"/>
      <c r="AQ51" s="32"/>
      <c r="AR51" s="32"/>
      <c r="AS51" s="32"/>
      <c r="AV51" s="45"/>
      <c r="AW51" s="45"/>
      <c r="AX51" s="45"/>
      <c r="AY51" s="38"/>
      <c r="AZ51" s="2"/>
      <c r="BB51" s="8"/>
      <c r="BE51" s="45"/>
      <c r="BF51" s="45"/>
      <c r="BG51" s="45"/>
      <c r="BH51" s="38"/>
      <c r="BI51" s="2"/>
      <c r="BK51" s="8"/>
    </row>
    <row r="52" spans="1:63">
      <c r="C52" s="8"/>
      <c r="D52" s="8"/>
      <c r="E52" s="8"/>
      <c r="F52" s="8"/>
      <c r="G52" s="8"/>
      <c r="H52" s="8"/>
      <c r="I52" s="8"/>
      <c r="J52" s="8"/>
      <c r="K52" s="8"/>
      <c r="L52" s="8"/>
      <c r="M52" s="8"/>
      <c r="N52" s="8"/>
      <c r="O52" s="8"/>
      <c r="P52" s="46"/>
      <c r="Q52" s="8"/>
      <c r="R52" s="8"/>
      <c r="U52" s="8"/>
      <c r="V52" s="8"/>
      <c r="W52" s="8"/>
      <c r="X52" s="8"/>
      <c r="Y52" s="8"/>
      <c r="Z52" s="8"/>
      <c r="AA52" s="8"/>
      <c r="AB52" s="8"/>
      <c r="AC52" s="8"/>
      <c r="AD52" s="8"/>
      <c r="AE52" s="8"/>
      <c r="AF52" s="8"/>
      <c r="AG52" s="8"/>
      <c r="AH52" s="46"/>
      <c r="AI52" s="8"/>
      <c r="AJ52" s="8"/>
      <c r="AM52" s="8"/>
      <c r="AN52" s="8"/>
      <c r="AO52" s="8"/>
      <c r="AP52" s="8"/>
      <c r="AQ52" s="8"/>
      <c r="AR52" s="8"/>
      <c r="AS52" s="8"/>
      <c r="AT52" s="8"/>
      <c r="AU52" s="8"/>
      <c r="AV52" s="8"/>
      <c r="AW52" s="8"/>
      <c r="AX52" s="8"/>
      <c r="AY52" s="8"/>
      <c r="AZ52" s="46"/>
      <c r="BA52" s="8"/>
      <c r="BB52" s="8"/>
      <c r="BC52" s="8"/>
      <c r="BD52" s="8"/>
      <c r="BE52" s="8"/>
      <c r="BF52" s="8"/>
      <c r="BG52" s="8"/>
      <c r="BH52" s="8"/>
      <c r="BI52" s="46"/>
      <c r="BJ52" s="8"/>
      <c r="BK52" s="8"/>
    </row>
    <row r="53" spans="1:63">
      <c r="J53" s="8"/>
      <c r="K53" s="8"/>
      <c r="L53" s="8"/>
      <c r="M53" s="8"/>
      <c r="N53" s="8"/>
      <c r="O53" s="8"/>
      <c r="P53" s="8"/>
      <c r="Q53" s="8"/>
      <c r="R53" s="8"/>
      <c r="AB53" s="8"/>
      <c r="AC53" s="8"/>
      <c r="AD53" s="8"/>
      <c r="AE53" s="8"/>
      <c r="AF53" s="8"/>
      <c r="AG53" s="8"/>
      <c r="AH53" s="8"/>
      <c r="AI53" s="8"/>
      <c r="AJ53" s="8"/>
      <c r="AT53" s="8"/>
      <c r="AU53" s="8"/>
      <c r="AV53" s="8"/>
      <c r="AW53" s="8"/>
      <c r="AX53" s="8"/>
      <c r="AY53" s="8"/>
      <c r="AZ53" s="8"/>
      <c r="BA53" s="8"/>
      <c r="BB53" s="8"/>
      <c r="BC53" s="8"/>
      <c r="BD53" s="8"/>
      <c r="BE53" s="8"/>
      <c r="BF53" s="8"/>
      <c r="BG53" s="8"/>
      <c r="BH53" s="8"/>
      <c r="BI53" s="8"/>
      <c r="BJ53" s="8"/>
      <c r="BK53" s="8"/>
    </row>
    <row r="56" spans="1:63">
      <c r="B56" s="73"/>
      <c r="C56" s="73"/>
      <c r="D56" s="73"/>
      <c r="E56" s="73"/>
      <c r="F56" s="73"/>
      <c r="G56" s="73"/>
      <c r="H56" s="73"/>
      <c r="I56" s="73"/>
      <c r="K56" s="73"/>
      <c r="L56" s="73"/>
      <c r="M56" s="73"/>
      <c r="N56" s="73"/>
      <c r="O56" s="73"/>
      <c r="P56" s="73"/>
      <c r="Q56" s="73"/>
      <c r="R56" s="73"/>
      <c r="T56" s="73"/>
      <c r="U56" s="73"/>
      <c r="V56" s="73"/>
      <c r="W56" s="73"/>
      <c r="X56" s="73"/>
      <c r="Y56" s="73"/>
      <c r="Z56" s="73"/>
      <c r="AA56" s="73"/>
      <c r="AC56" s="73"/>
      <c r="AD56" s="73"/>
      <c r="AE56" s="73"/>
      <c r="AF56" s="73"/>
      <c r="AG56" s="73"/>
      <c r="AH56" s="73"/>
      <c r="AI56" s="73"/>
      <c r="AJ56" s="73"/>
      <c r="AL56" s="73"/>
      <c r="AM56" s="73"/>
      <c r="AN56" s="73"/>
      <c r="AO56" s="73"/>
      <c r="AP56" s="73"/>
      <c r="AQ56" s="73"/>
      <c r="AR56" s="73"/>
      <c r="AS56" s="73"/>
      <c r="AU56" s="73"/>
      <c r="AV56" s="73"/>
      <c r="AW56" s="73"/>
      <c r="AX56" s="73"/>
      <c r="AY56" s="73"/>
      <c r="AZ56" s="73"/>
      <c r="BA56" s="73"/>
      <c r="BB56" s="73"/>
      <c r="BD56" s="73"/>
      <c r="BE56" s="73"/>
      <c r="BF56" s="73"/>
      <c r="BG56" s="73"/>
      <c r="BH56" s="73"/>
      <c r="BI56" s="73"/>
      <c r="BJ56" s="73"/>
      <c r="BK56" s="73"/>
    </row>
    <row r="57" spans="1:63">
      <c r="A57" s="80"/>
      <c r="B57" s="166"/>
      <c r="C57" s="166"/>
      <c r="D57" s="166"/>
      <c r="E57" s="166"/>
      <c r="F57" s="166"/>
      <c r="G57" s="166"/>
      <c r="H57" s="166"/>
      <c r="I57" s="166"/>
      <c r="J57" s="80"/>
      <c r="K57" s="166"/>
      <c r="L57" s="166"/>
      <c r="M57" s="166"/>
      <c r="N57" s="166"/>
      <c r="O57" s="166"/>
      <c r="P57" s="166"/>
      <c r="Q57" s="166"/>
      <c r="R57" s="166"/>
      <c r="S57" s="80"/>
      <c r="T57" s="166"/>
      <c r="U57" s="166"/>
      <c r="V57" s="166"/>
      <c r="W57" s="166"/>
      <c r="X57" s="166"/>
      <c r="Y57" s="166"/>
      <c r="Z57" s="166"/>
      <c r="AA57" s="166"/>
      <c r="AB57" s="80"/>
      <c r="AC57" s="166"/>
      <c r="AD57" s="166"/>
      <c r="AE57" s="166"/>
      <c r="AF57" s="166"/>
      <c r="AG57" s="166"/>
      <c r="AH57" s="166"/>
      <c r="AI57" s="166"/>
      <c r="AJ57" s="166"/>
      <c r="AK57" s="80"/>
      <c r="AL57" s="166"/>
      <c r="AM57" s="166"/>
      <c r="AN57" s="166"/>
      <c r="AO57" s="166"/>
      <c r="AP57" s="166"/>
      <c r="AQ57" s="166"/>
      <c r="AR57" s="166"/>
      <c r="AS57" s="166"/>
      <c r="AT57" s="80"/>
      <c r="AU57" s="166"/>
      <c r="AV57" s="166"/>
      <c r="AW57" s="166"/>
      <c r="AX57" s="166"/>
      <c r="AY57" s="166"/>
      <c r="AZ57" s="166"/>
      <c r="BA57" s="166"/>
      <c r="BB57" s="166"/>
      <c r="BC57" s="80"/>
      <c r="BD57" s="166"/>
      <c r="BE57" s="166"/>
      <c r="BF57" s="166"/>
      <c r="BG57" s="166"/>
      <c r="BH57" s="166"/>
      <c r="BI57" s="166"/>
      <c r="BJ57" s="166"/>
      <c r="BK57" s="166"/>
    </row>
    <row r="59" spans="1:63" ht="17.45">
      <c r="B59" s="72"/>
      <c r="K59" s="72"/>
      <c r="T59" s="72"/>
      <c r="AC59" s="72"/>
      <c r="AL59" s="72"/>
      <c r="AU59" s="72"/>
      <c r="BD59" s="72"/>
    </row>
    <row r="63" spans="1:63">
      <c r="J63" s="6"/>
      <c r="K63" s="6"/>
      <c r="L63" s="6"/>
      <c r="M63" s="6"/>
      <c r="N63" s="6"/>
      <c r="O63" s="6"/>
      <c r="P63" s="6"/>
      <c r="Q63" s="6"/>
      <c r="R63" s="6"/>
      <c r="AB63" s="6"/>
      <c r="AC63" s="6"/>
      <c r="AD63" s="6"/>
      <c r="AE63" s="6"/>
      <c r="AF63" s="6"/>
      <c r="AG63" s="6"/>
      <c r="AH63" s="6"/>
      <c r="AI63" s="6"/>
      <c r="AJ63" s="6"/>
      <c r="AT63" s="6"/>
      <c r="AU63" s="6"/>
      <c r="AV63" s="6"/>
      <c r="AW63" s="6"/>
      <c r="AX63" s="6"/>
      <c r="AY63" s="6"/>
      <c r="AZ63" s="6"/>
      <c r="BA63" s="6"/>
      <c r="BB63" s="6"/>
      <c r="BC63" s="6"/>
      <c r="BD63" s="6"/>
      <c r="BE63" s="6"/>
      <c r="BF63" s="6"/>
      <c r="BG63" s="6"/>
      <c r="BH63" s="6"/>
      <c r="BI63" s="6"/>
      <c r="BJ63" s="6"/>
      <c r="BK63" s="6"/>
    </row>
    <row r="64" spans="1:63">
      <c r="C64" s="6"/>
      <c r="D64" s="6"/>
      <c r="E64" s="6"/>
      <c r="F64" s="6"/>
      <c r="G64" s="6"/>
      <c r="H64" s="6"/>
      <c r="I64" s="6"/>
      <c r="J64" s="6"/>
      <c r="K64" s="6"/>
      <c r="L64" s="6"/>
      <c r="M64" s="6"/>
      <c r="N64" s="6"/>
      <c r="O64" s="6"/>
      <c r="P64" s="6"/>
      <c r="Q64" s="6"/>
      <c r="R64" s="6"/>
      <c r="U64" s="6"/>
      <c r="V64" s="6"/>
      <c r="W64" s="6"/>
      <c r="X64" s="6"/>
      <c r="Y64" s="6"/>
      <c r="Z64" s="6"/>
      <c r="AA64" s="6"/>
      <c r="AB64" s="6"/>
      <c r="AC64" s="6"/>
      <c r="AD64" s="6"/>
      <c r="AE64" s="6"/>
      <c r="AF64" s="6"/>
      <c r="AG64" s="6"/>
      <c r="AH64" s="6"/>
      <c r="AI64" s="6"/>
      <c r="AJ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row>
    <row r="65" spans="3:63">
      <c r="C65" s="6"/>
      <c r="D65" s="6"/>
      <c r="E65" s="6"/>
      <c r="F65" s="6"/>
      <c r="G65" s="6"/>
      <c r="H65" s="6"/>
      <c r="I65" s="6"/>
      <c r="J65" s="6"/>
      <c r="K65" s="6"/>
      <c r="L65" s="6"/>
      <c r="M65" s="6"/>
      <c r="N65" s="6"/>
      <c r="O65" s="6"/>
      <c r="P65" s="6"/>
      <c r="Q65" s="6"/>
      <c r="R65" s="6"/>
      <c r="U65" s="6"/>
      <c r="V65" s="6"/>
      <c r="W65" s="6"/>
      <c r="X65" s="6"/>
      <c r="Y65" s="6"/>
      <c r="Z65" s="6"/>
      <c r="AA65" s="6"/>
      <c r="AB65" s="6"/>
      <c r="AC65" s="6"/>
      <c r="AD65" s="6"/>
      <c r="AE65" s="6"/>
      <c r="AF65" s="6"/>
      <c r="AG65" s="6"/>
      <c r="AH65" s="6"/>
      <c r="AI65" s="6"/>
      <c r="AJ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row>
    <row r="66" spans="3:63">
      <c r="C66" s="6"/>
      <c r="D66" s="6"/>
      <c r="E66" s="6"/>
      <c r="F66" s="6"/>
      <c r="G66" s="6"/>
      <c r="H66" s="6"/>
      <c r="I66" s="6"/>
      <c r="J66" s="6"/>
      <c r="K66" s="6"/>
      <c r="L66" s="6"/>
      <c r="M66" s="6"/>
      <c r="N66" s="6"/>
      <c r="O66" s="6"/>
      <c r="P66" s="6"/>
      <c r="Q66" s="6"/>
      <c r="R66" s="6"/>
      <c r="U66" s="6"/>
      <c r="V66" s="6"/>
      <c r="W66" s="6"/>
      <c r="X66" s="6"/>
      <c r="Y66" s="6"/>
      <c r="Z66" s="6"/>
      <c r="AA66" s="6"/>
      <c r="AB66" s="6"/>
      <c r="AC66" s="6"/>
      <c r="AD66" s="6"/>
      <c r="AE66" s="6"/>
      <c r="AF66" s="6"/>
      <c r="AG66" s="6"/>
      <c r="AH66" s="6"/>
      <c r="AI66" s="6"/>
      <c r="AJ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row>
    <row r="67" spans="3:63">
      <c r="C67" s="6"/>
      <c r="D67" s="6"/>
      <c r="E67" s="6"/>
      <c r="F67" s="6"/>
      <c r="G67" s="6"/>
      <c r="H67" s="6"/>
      <c r="I67" s="6"/>
      <c r="J67" s="6"/>
      <c r="K67" s="6"/>
      <c r="L67" s="6"/>
      <c r="M67" s="6"/>
      <c r="N67" s="6"/>
      <c r="O67" s="6"/>
      <c r="P67" s="6"/>
      <c r="Q67" s="6"/>
      <c r="R67" s="6"/>
      <c r="U67" s="6"/>
      <c r="V67" s="6"/>
      <c r="W67" s="6"/>
      <c r="X67" s="6"/>
      <c r="Y67" s="6"/>
      <c r="Z67" s="6"/>
      <c r="AA67" s="6"/>
      <c r="AB67" s="6"/>
      <c r="AC67" s="6"/>
      <c r="AD67" s="6"/>
      <c r="AE67" s="6"/>
      <c r="AF67" s="6"/>
      <c r="AG67" s="6"/>
      <c r="AH67" s="6"/>
      <c r="AI67" s="6"/>
      <c r="AJ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row>
    <row r="68" spans="3:63">
      <c r="C68" s="6"/>
      <c r="D68" s="6"/>
      <c r="E68" s="6"/>
      <c r="F68" s="6"/>
      <c r="G68" s="6"/>
      <c r="H68" s="6"/>
      <c r="I68" s="6"/>
      <c r="J68" s="6"/>
      <c r="K68" s="6"/>
      <c r="L68" s="6"/>
      <c r="M68" s="6"/>
      <c r="N68" s="6"/>
      <c r="O68" s="6"/>
      <c r="P68" s="6"/>
      <c r="Q68" s="6"/>
      <c r="R68" s="6"/>
      <c r="U68" s="6"/>
      <c r="V68" s="6"/>
      <c r="W68" s="6"/>
      <c r="X68" s="6"/>
      <c r="Y68" s="6"/>
      <c r="Z68" s="6"/>
      <c r="AA68" s="6"/>
      <c r="AB68" s="6"/>
      <c r="AC68" s="6"/>
      <c r="AD68" s="6"/>
      <c r="AE68" s="6"/>
      <c r="AF68" s="6"/>
      <c r="AG68" s="6"/>
      <c r="AH68" s="6"/>
      <c r="AI68" s="6"/>
      <c r="AJ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row>
    <row r="69" spans="3:63">
      <c r="C69" s="6"/>
      <c r="D69" s="6"/>
      <c r="E69" s="6"/>
      <c r="F69" s="6"/>
      <c r="G69" s="6"/>
      <c r="H69" s="6"/>
      <c r="I69" s="6"/>
      <c r="J69" s="6"/>
      <c r="K69" s="6"/>
      <c r="L69" s="6"/>
      <c r="M69" s="6"/>
      <c r="N69" s="6"/>
      <c r="O69" s="6"/>
      <c r="P69" s="6"/>
      <c r="Q69" s="6"/>
      <c r="R69" s="6"/>
      <c r="U69" s="6"/>
      <c r="V69" s="6"/>
      <c r="W69" s="6"/>
      <c r="X69" s="6"/>
      <c r="Y69" s="6"/>
      <c r="Z69" s="6"/>
      <c r="AA69" s="6"/>
      <c r="AB69" s="6"/>
      <c r="AC69" s="6"/>
      <c r="AD69" s="6"/>
      <c r="AE69" s="6"/>
      <c r="AF69" s="6"/>
      <c r="AG69" s="6"/>
      <c r="AH69" s="6"/>
      <c r="AI69" s="6"/>
      <c r="AJ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row>
    <row r="70" spans="3:63">
      <c r="C70" s="6"/>
      <c r="D70" s="6"/>
      <c r="E70" s="6"/>
      <c r="F70" s="6"/>
      <c r="G70" s="6"/>
      <c r="H70" s="6"/>
      <c r="I70" s="6"/>
      <c r="J70" s="6"/>
      <c r="K70" s="6"/>
      <c r="L70" s="6"/>
      <c r="M70" s="6"/>
      <c r="N70" s="6"/>
      <c r="O70" s="6"/>
      <c r="P70" s="6"/>
      <c r="Q70" s="6"/>
      <c r="R70" s="6"/>
      <c r="U70" s="6"/>
      <c r="V70" s="6"/>
      <c r="W70" s="6"/>
      <c r="X70" s="6"/>
      <c r="Y70" s="6"/>
      <c r="Z70" s="6"/>
      <c r="AA70" s="6"/>
      <c r="AB70" s="6"/>
      <c r="AC70" s="6"/>
      <c r="AD70" s="6"/>
      <c r="AE70" s="6"/>
      <c r="AF70" s="6"/>
      <c r="AG70" s="6"/>
      <c r="AH70" s="6"/>
      <c r="AI70" s="6"/>
      <c r="AJ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row>
    <row r="71" spans="3:63">
      <c r="C71" s="6"/>
      <c r="D71" s="6"/>
      <c r="E71" s="6"/>
      <c r="F71" s="6"/>
      <c r="G71" s="6"/>
      <c r="H71" s="6"/>
      <c r="I71" s="6"/>
      <c r="J71" s="6"/>
      <c r="K71" s="6"/>
      <c r="L71" s="6"/>
      <c r="M71" s="6"/>
      <c r="N71" s="6"/>
      <c r="O71" s="6"/>
      <c r="P71" s="6"/>
      <c r="Q71" s="6"/>
      <c r="R71" s="6"/>
      <c r="U71" s="6"/>
      <c r="V71" s="6"/>
      <c r="W71" s="6"/>
      <c r="X71" s="6"/>
      <c r="Y71" s="6"/>
      <c r="Z71" s="6"/>
      <c r="AA71" s="6"/>
      <c r="AB71" s="6"/>
      <c r="AC71" s="6"/>
      <c r="AD71" s="6"/>
      <c r="AE71" s="6"/>
      <c r="AF71" s="6"/>
      <c r="AG71" s="6"/>
      <c r="AH71" s="6"/>
      <c r="AI71" s="6"/>
      <c r="AJ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row>
    <row r="72" spans="3:63">
      <c r="C72" s="6"/>
      <c r="D72" s="6"/>
      <c r="E72" s="6"/>
      <c r="F72" s="6"/>
      <c r="G72" s="6"/>
      <c r="H72" s="6"/>
      <c r="I72" s="6"/>
      <c r="J72" s="6"/>
      <c r="K72" s="6"/>
      <c r="L72" s="6"/>
      <c r="M72" s="6"/>
      <c r="N72" s="6"/>
      <c r="O72" s="6"/>
      <c r="P72" s="6"/>
      <c r="Q72" s="6"/>
      <c r="R72" s="6"/>
      <c r="U72" s="6"/>
      <c r="V72" s="6"/>
      <c r="W72" s="6"/>
      <c r="X72" s="6"/>
      <c r="Y72" s="6"/>
      <c r="Z72" s="6"/>
      <c r="AA72" s="6"/>
      <c r="AB72" s="6"/>
      <c r="AC72" s="6"/>
      <c r="AD72" s="6"/>
      <c r="AE72" s="6"/>
      <c r="AF72" s="6"/>
      <c r="AG72" s="6"/>
      <c r="AH72" s="6"/>
      <c r="AI72" s="6"/>
      <c r="AJ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row>
    <row r="73" spans="3:63">
      <c r="C73" s="6"/>
      <c r="D73" s="6"/>
      <c r="E73" s="6"/>
      <c r="F73" s="6"/>
      <c r="G73" s="6"/>
      <c r="H73" s="6"/>
      <c r="I73" s="6"/>
      <c r="J73" s="6"/>
      <c r="K73" s="6"/>
      <c r="L73" s="6"/>
      <c r="M73" s="6"/>
      <c r="N73" s="6"/>
      <c r="O73" s="6"/>
      <c r="P73" s="6"/>
      <c r="Q73" s="6"/>
      <c r="R73" s="6"/>
      <c r="U73" s="6"/>
      <c r="V73" s="6"/>
      <c r="W73" s="6"/>
      <c r="X73" s="6"/>
      <c r="Y73" s="6"/>
      <c r="Z73" s="6"/>
      <c r="AA73" s="6"/>
      <c r="AB73" s="6"/>
      <c r="AC73" s="6"/>
      <c r="AD73" s="6"/>
      <c r="AE73" s="6"/>
      <c r="AF73" s="6"/>
      <c r="AG73" s="6"/>
      <c r="AH73" s="6"/>
      <c r="AI73" s="6"/>
      <c r="AJ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row>
  </sheetData>
  <sheetProtection password="F817" sheet="1" objects="1" scenarios="1" selectLockedCells="1"/>
  <mergeCells count="246">
    <mergeCell ref="BD57:BK57"/>
    <mergeCell ref="T3:X3"/>
    <mergeCell ref="AC1:AG1"/>
    <mergeCell ref="AC3:AG3"/>
    <mergeCell ref="AA1:AA3"/>
    <mergeCell ref="AL1:AP1"/>
    <mergeCell ref="AL3:AP3"/>
    <mergeCell ref="AU21:AV21"/>
    <mergeCell ref="AL22:AM22"/>
    <mergeCell ref="AU22:AV22"/>
    <mergeCell ref="AC57:AJ57"/>
    <mergeCell ref="AL57:AS57"/>
    <mergeCell ref="AU57:BB57"/>
    <mergeCell ref="BD25:BE25"/>
    <mergeCell ref="AU29:AV29"/>
    <mergeCell ref="AL31:AM31"/>
    <mergeCell ref="AU31:AV31"/>
    <mergeCell ref="AL24:AM24"/>
    <mergeCell ref="AU24:AV24"/>
    <mergeCell ref="AL26:AM26"/>
    <mergeCell ref="AU26:AV26"/>
    <mergeCell ref="AU27:AV27"/>
    <mergeCell ref="AL25:AM25"/>
    <mergeCell ref="AU15:AV15"/>
    <mergeCell ref="B25:C25"/>
    <mergeCell ref="K25:L25"/>
    <mergeCell ref="T25:U25"/>
    <mergeCell ref="AC25:AD25"/>
    <mergeCell ref="AU25:AV25"/>
    <mergeCell ref="AL38:AM38"/>
    <mergeCell ref="B1:F1"/>
    <mergeCell ref="B3:F3"/>
    <mergeCell ref="K1:O1"/>
    <mergeCell ref="K3:O3"/>
    <mergeCell ref="I1:I3"/>
    <mergeCell ref="AU1:AY1"/>
    <mergeCell ref="AU3:AY3"/>
    <mergeCell ref="AS1:AS3"/>
    <mergeCell ref="AJ1:AJ3"/>
    <mergeCell ref="T1:X1"/>
    <mergeCell ref="AU38:AV38"/>
    <mergeCell ref="AL36:AM36"/>
    <mergeCell ref="AL37:AM37"/>
    <mergeCell ref="AU37:AV37"/>
    <mergeCell ref="AU36:AV36"/>
    <mergeCell ref="AL28:AM28"/>
    <mergeCell ref="AU28:AV28"/>
    <mergeCell ref="AL29:AM29"/>
    <mergeCell ref="AL15:AM15"/>
    <mergeCell ref="AL23:AM23"/>
    <mergeCell ref="AU23:AV23"/>
    <mergeCell ref="AL17:AM17"/>
    <mergeCell ref="AU17:AV17"/>
    <mergeCell ref="AU18:AV18"/>
    <mergeCell ref="AU19:AV19"/>
    <mergeCell ref="AL20:AM20"/>
    <mergeCell ref="AU20:AV20"/>
    <mergeCell ref="AL21:AM21"/>
    <mergeCell ref="AC16:AD16"/>
    <mergeCell ref="AC8:AD8"/>
    <mergeCell ref="T10:U10"/>
    <mergeCell ref="AC10:AD10"/>
    <mergeCell ref="AA4:AA5"/>
    <mergeCell ref="T11:U11"/>
    <mergeCell ref="AC11:AD11"/>
    <mergeCell ref="AL30:AM30"/>
    <mergeCell ref="AU30:AV30"/>
    <mergeCell ref="AJ4:AJ5"/>
    <mergeCell ref="T13:U13"/>
    <mergeCell ref="AC13:AD13"/>
    <mergeCell ref="AL16:AM16"/>
    <mergeCell ref="AL27:AM27"/>
    <mergeCell ref="T27:U27"/>
    <mergeCell ref="AC17:AD17"/>
    <mergeCell ref="AC18:AD18"/>
    <mergeCell ref="AU16:AV16"/>
    <mergeCell ref="AL11:AM11"/>
    <mergeCell ref="AU11:AV11"/>
    <mergeCell ref="AL12:AM12"/>
    <mergeCell ref="AU12:AV12"/>
    <mergeCell ref="AL13:AM13"/>
    <mergeCell ref="AU13:AV13"/>
    <mergeCell ref="AC37:AD37"/>
    <mergeCell ref="AC28:AD28"/>
    <mergeCell ref="T29:U29"/>
    <mergeCell ref="AC29:AD29"/>
    <mergeCell ref="T26:U26"/>
    <mergeCell ref="AC26:AD26"/>
    <mergeCell ref="AC23:AD23"/>
    <mergeCell ref="T38:U38"/>
    <mergeCell ref="AC38:AD38"/>
    <mergeCell ref="T30:U30"/>
    <mergeCell ref="AC30:AD30"/>
    <mergeCell ref="T35:U35"/>
    <mergeCell ref="AC35:AD35"/>
    <mergeCell ref="T34:U34"/>
    <mergeCell ref="T28:U28"/>
    <mergeCell ref="AC32:AD32"/>
    <mergeCell ref="AC24:AD24"/>
    <mergeCell ref="AC34:AD34"/>
    <mergeCell ref="T33:U33"/>
    <mergeCell ref="T31:U31"/>
    <mergeCell ref="AC31:AD31"/>
    <mergeCell ref="T32:U32"/>
    <mergeCell ref="AC36:AD36"/>
    <mergeCell ref="AC33:AD33"/>
    <mergeCell ref="T24:U24"/>
    <mergeCell ref="T17:U17"/>
    <mergeCell ref="AC19:AD19"/>
    <mergeCell ref="AC27:AD27"/>
    <mergeCell ref="T21:U21"/>
    <mergeCell ref="AC21:AD21"/>
    <mergeCell ref="T22:U22"/>
    <mergeCell ref="AC22:AD22"/>
    <mergeCell ref="T23:U23"/>
    <mergeCell ref="T20:U20"/>
    <mergeCell ref="AC20:AD20"/>
    <mergeCell ref="BD38:BE38"/>
    <mergeCell ref="BD37:BE37"/>
    <mergeCell ref="BD36:BE36"/>
    <mergeCell ref="BD27:BE27"/>
    <mergeCell ref="BD28:BE28"/>
    <mergeCell ref="BD29:BE29"/>
    <mergeCell ref="BD31:BE31"/>
    <mergeCell ref="BD35:BE35"/>
    <mergeCell ref="BD30:BE30"/>
    <mergeCell ref="BD33:BE33"/>
    <mergeCell ref="T5:X5"/>
    <mergeCell ref="AC5:AG5"/>
    <mergeCell ref="T8:U8"/>
    <mergeCell ref="AL32:AM32"/>
    <mergeCell ref="AU32:AV32"/>
    <mergeCell ref="AU34:AV34"/>
    <mergeCell ref="BD34:BE34"/>
    <mergeCell ref="AL33:AM33"/>
    <mergeCell ref="AU33:AV33"/>
    <mergeCell ref="AL34:AM34"/>
    <mergeCell ref="BD17:BE17"/>
    <mergeCell ref="BD18:BE18"/>
    <mergeCell ref="BD19:BE19"/>
    <mergeCell ref="AS4:AS5"/>
    <mergeCell ref="BB4:BB5"/>
    <mergeCell ref="T12:U12"/>
    <mergeCell ref="AC12:AD12"/>
    <mergeCell ref="T14:U14"/>
    <mergeCell ref="AC14:AD14"/>
    <mergeCell ref="T15:U15"/>
    <mergeCell ref="AC15:AD15"/>
    <mergeCell ref="T16:U16"/>
    <mergeCell ref="AL5:AP5"/>
    <mergeCell ref="AU5:AY5"/>
    <mergeCell ref="AL35:AM35"/>
    <mergeCell ref="AU35:AV35"/>
    <mergeCell ref="BD22:BE22"/>
    <mergeCell ref="BD23:BE23"/>
    <mergeCell ref="BD24:BE24"/>
    <mergeCell ref="BD26:BE26"/>
    <mergeCell ref="BD32:BE32"/>
    <mergeCell ref="BD3:BH3"/>
    <mergeCell ref="BD20:BE20"/>
    <mergeCell ref="BD21:BE21"/>
    <mergeCell ref="BD10:BE10"/>
    <mergeCell ref="BD11:BE11"/>
    <mergeCell ref="BD12:BE12"/>
    <mergeCell ref="BD13:BE13"/>
    <mergeCell ref="BD14:BE14"/>
    <mergeCell ref="BD15:BE15"/>
    <mergeCell ref="BD16:BE16"/>
    <mergeCell ref="BB1:BB3"/>
    <mergeCell ref="AL8:AM8"/>
    <mergeCell ref="AU8:AV8"/>
    <mergeCell ref="AL10:AM10"/>
    <mergeCell ref="AU10:AV10"/>
    <mergeCell ref="AL14:AM14"/>
    <mergeCell ref="AU14:AV14"/>
    <mergeCell ref="B15:C15"/>
    <mergeCell ref="B13:C13"/>
    <mergeCell ref="B24:C24"/>
    <mergeCell ref="B26:C26"/>
    <mergeCell ref="B16:C16"/>
    <mergeCell ref="BK1:BK3"/>
    <mergeCell ref="BK4:BK5"/>
    <mergeCell ref="BD5:BH5"/>
    <mergeCell ref="BD8:BE8"/>
    <mergeCell ref="BD1:BH1"/>
    <mergeCell ref="B5:F5"/>
    <mergeCell ref="B8:C8"/>
    <mergeCell ref="B10:C10"/>
    <mergeCell ref="B11:C11"/>
    <mergeCell ref="B12:C12"/>
    <mergeCell ref="B14:C14"/>
    <mergeCell ref="B17:C17"/>
    <mergeCell ref="B21:C21"/>
    <mergeCell ref="B22:C22"/>
    <mergeCell ref="B23:C23"/>
    <mergeCell ref="B20:C20"/>
    <mergeCell ref="K20:L20"/>
    <mergeCell ref="I4:I5"/>
    <mergeCell ref="K10:L10"/>
    <mergeCell ref="B28:C28"/>
    <mergeCell ref="B27:C27"/>
    <mergeCell ref="B37:C37"/>
    <mergeCell ref="B38:C38"/>
    <mergeCell ref="B29:C29"/>
    <mergeCell ref="B31:C31"/>
    <mergeCell ref="B32:C32"/>
    <mergeCell ref="B33:C33"/>
    <mergeCell ref="B30:C30"/>
    <mergeCell ref="B35:C35"/>
    <mergeCell ref="B36:C36"/>
    <mergeCell ref="B34:C34"/>
    <mergeCell ref="K11:L11"/>
    <mergeCell ref="K12:L12"/>
    <mergeCell ref="K14:L14"/>
    <mergeCell ref="K15:L15"/>
    <mergeCell ref="K21:L21"/>
    <mergeCell ref="R1:R3"/>
    <mergeCell ref="R4:R5"/>
    <mergeCell ref="K5:O5"/>
    <mergeCell ref="K8:L8"/>
    <mergeCell ref="K16:L16"/>
    <mergeCell ref="K17:L17"/>
    <mergeCell ref="K13:L13"/>
    <mergeCell ref="K18:L18"/>
    <mergeCell ref="K19:L19"/>
    <mergeCell ref="K22:L22"/>
    <mergeCell ref="K23:L23"/>
    <mergeCell ref="K28:L28"/>
    <mergeCell ref="K37:L37"/>
    <mergeCell ref="K24:L24"/>
    <mergeCell ref="K26:L26"/>
    <mergeCell ref="K27:L27"/>
    <mergeCell ref="K29:L29"/>
    <mergeCell ref="K30:L30"/>
    <mergeCell ref="B57:I57"/>
    <mergeCell ref="K57:R57"/>
    <mergeCell ref="T57:AA57"/>
    <mergeCell ref="K38:L38"/>
    <mergeCell ref="K31:L31"/>
    <mergeCell ref="K32:L32"/>
    <mergeCell ref="K33:L33"/>
    <mergeCell ref="K35:L35"/>
    <mergeCell ref="K34:L34"/>
    <mergeCell ref="K36:L36"/>
    <mergeCell ref="T36:U36"/>
    <mergeCell ref="T37:U37"/>
  </mergeCells>
  <phoneticPr fontId="2" type="noConversion"/>
  <pageMargins left="0.59055118110236227" right="0.59055118110236227" top="0.39370078740157483" bottom="0.39370078740157483" header="0" footer="0"/>
  <pageSetup paperSize="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indexed="22"/>
  </sheetPr>
  <dimension ref="A1:I62"/>
  <sheetViews>
    <sheetView showGridLines="0" topLeftCell="A35" zoomScaleNormal="200" workbookViewId="0">
      <selection activeCell="N14" sqref="N14"/>
    </sheetView>
  </sheetViews>
  <sheetFormatPr defaultColWidth="8.140625" defaultRowHeight="13.15"/>
  <cols>
    <col min="1" max="1" width="4.7109375" style="7" customWidth="1"/>
    <col min="2" max="2" width="1.7109375" style="7" customWidth="1"/>
    <col min="3" max="3" width="22.85546875" style="7" customWidth="1"/>
    <col min="4" max="8" width="11.42578125" style="7" customWidth="1"/>
    <col min="9" max="16384" width="8.140625" style="7"/>
  </cols>
  <sheetData>
    <row r="1" spans="1:9" ht="17.45">
      <c r="A1"/>
      <c r="B1" s="225"/>
      <c r="C1" s="225"/>
      <c r="D1" s="225"/>
      <c r="E1" s="225"/>
      <c r="F1"/>
      <c r="G1"/>
      <c r="H1" s="173"/>
    </row>
    <row r="2" spans="1:9">
      <c r="A2"/>
      <c r="B2"/>
      <c r="C2"/>
      <c r="D2"/>
      <c r="E2"/>
      <c r="F2"/>
      <c r="G2"/>
      <c r="H2" s="173"/>
      <c r="I2"/>
    </row>
    <row r="3" spans="1:9" ht="17.45">
      <c r="A3"/>
      <c r="B3" s="87"/>
      <c r="C3" s="8"/>
      <c r="D3" s="8"/>
      <c r="E3" s="8"/>
      <c r="F3"/>
      <c r="G3"/>
      <c r="H3" s="173"/>
    </row>
    <row r="4" spans="1:9" ht="12.75" customHeight="1">
      <c r="I4"/>
    </row>
    <row r="5" spans="1:9" ht="12.75" customHeight="1">
      <c r="A5"/>
      <c r="B5" s="232"/>
      <c r="C5" s="232"/>
      <c r="D5" s="232"/>
      <c r="E5"/>
      <c r="F5"/>
      <c r="G5"/>
      <c r="H5"/>
    </row>
    <row r="6" spans="1:9" ht="12.75" customHeight="1"/>
    <row r="7" spans="1:9" ht="12.75" customHeight="1">
      <c r="C7" s="11" t="s">
        <v>396</v>
      </c>
      <c r="D7" s="11"/>
      <c r="E7" s="11"/>
      <c r="F7" s="28" t="s">
        <v>102</v>
      </c>
      <c r="G7" s="28" t="s">
        <v>281</v>
      </c>
      <c r="H7" s="28" t="s">
        <v>282</v>
      </c>
    </row>
    <row r="8" spans="1:9" ht="12.75" customHeight="1">
      <c r="C8" s="16"/>
      <c r="D8" s="16"/>
      <c r="E8" s="16"/>
      <c r="F8" s="16"/>
      <c r="G8" s="16"/>
      <c r="H8" s="16"/>
    </row>
    <row r="9" spans="1:9" ht="12.75" customHeight="1">
      <c r="C9" s="11" t="s">
        <v>228</v>
      </c>
      <c r="D9" s="10"/>
      <c r="E9" s="10"/>
      <c r="F9" s="17">
        <f>F10+F20+F25</f>
        <v>9491.36</v>
      </c>
      <c r="G9" s="17">
        <f>G10+G20+G25</f>
        <v>7370.6799999999994</v>
      </c>
      <c r="H9" s="17">
        <f>H10+H20+H25</f>
        <v>5249.9999999999991</v>
      </c>
    </row>
    <row r="10" spans="1:9" ht="12.75" customHeight="1">
      <c r="C10" s="303" t="s">
        <v>239</v>
      </c>
      <c r="D10" s="303"/>
      <c r="E10" s="12"/>
      <c r="F10" s="67">
        <f>SUM(F11:F18)-F19</f>
        <v>3197.5299999999997</v>
      </c>
      <c r="G10" s="67">
        <f>SUM(G11:G18)-G19</f>
        <v>1076.8499999999995</v>
      </c>
      <c r="H10" s="67">
        <f>SUM(H11:H18)-H19</f>
        <v>-1043.8300000000008</v>
      </c>
    </row>
    <row r="11" spans="1:9" ht="12.75" customHeight="1">
      <c r="C11" s="304" t="s">
        <v>241</v>
      </c>
      <c r="D11" s="304"/>
      <c r="E11" s="14"/>
      <c r="F11" s="68">
        <f>'6. PEF2-3. INVERS. Y FINANC.'!F19</f>
        <v>0</v>
      </c>
      <c r="G11" s="68">
        <f>F11</f>
        <v>0</v>
      </c>
      <c r="H11" s="68">
        <f>G11</f>
        <v>0</v>
      </c>
    </row>
    <row r="12" spans="1:9" ht="12.75" customHeight="1">
      <c r="C12" s="304" t="s">
        <v>242</v>
      </c>
      <c r="D12" s="304"/>
      <c r="E12" s="14"/>
      <c r="F12" s="68">
        <f>'6. PEF2-3. INVERS. Y FINANC.'!F20</f>
        <v>0</v>
      </c>
      <c r="G12" s="68">
        <f t="shared" ref="G12:H18" si="0">F12</f>
        <v>0</v>
      </c>
      <c r="H12" s="68">
        <f t="shared" si="0"/>
        <v>0</v>
      </c>
    </row>
    <row r="13" spans="1:9">
      <c r="C13" s="304" t="s">
        <v>244</v>
      </c>
      <c r="D13" s="304"/>
      <c r="E13" s="14"/>
      <c r="F13" s="68">
        <f>'6. PEF2-3. INVERS. Y FINANC.'!F21</f>
        <v>0</v>
      </c>
      <c r="G13" s="68">
        <f t="shared" si="0"/>
        <v>0</v>
      </c>
      <c r="H13" s="68">
        <f t="shared" si="0"/>
        <v>0</v>
      </c>
    </row>
    <row r="14" spans="1:9" ht="12.75" customHeight="1">
      <c r="C14" s="304" t="s">
        <v>246</v>
      </c>
      <c r="D14" s="304"/>
      <c r="E14" s="14"/>
      <c r="F14" s="68">
        <f>'6. PEF2-3. INVERS. Y FINANC.'!F22</f>
        <v>0</v>
      </c>
      <c r="G14" s="68">
        <f t="shared" si="0"/>
        <v>0</v>
      </c>
      <c r="H14" s="68">
        <f t="shared" si="0"/>
        <v>0</v>
      </c>
    </row>
    <row r="15" spans="1:9">
      <c r="C15" s="304" t="s">
        <v>247</v>
      </c>
      <c r="D15" s="304"/>
      <c r="E15" s="14"/>
      <c r="F15" s="68">
        <f>'6. PEF2-3. INVERS. Y FINANC.'!F23</f>
        <v>1000</v>
      </c>
      <c r="G15" s="68">
        <f t="shared" si="0"/>
        <v>1000</v>
      </c>
      <c r="H15" s="68">
        <f t="shared" si="0"/>
        <v>1000</v>
      </c>
    </row>
    <row r="16" spans="1:9">
      <c r="C16" s="304" t="s">
        <v>248</v>
      </c>
      <c r="D16" s="304"/>
      <c r="E16" s="14"/>
      <c r="F16" s="68">
        <f>'6. PEF2-3. INVERS. Y FINANC.'!F24</f>
        <v>4318.21</v>
      </c>
      <c r="G16" s="68">
        <f t="shared" si="0"/>
        <v>4318.21</v>
      </c>
      <c r="H16" s="68">
        <f t="shared" si="0"/>
        <v>4318.21</v>
      </c>
    </row>
    <row r="17" spans="3:8">
      <c r="C17" s="304" t="s">
        <v>249</v>
      </c>
      <c r="D17" s="304"/>
      <c r="E17" s="14"/>
      <c r="F17" s="68">
        <f>'6. PEF2-3. INVERS. Y FINANC.'!F25</f>
        <v>0</v>
      </c>
      <c r="G17" s="68">
        <f t="shared" si="0"/>
        <v>0</v>
      </c>
      <c r="H17" s="68">
        <f t="shared" si="0"/>
        <v>0</v>
      </c>
    </row>
    <row r="18" spans="3:8">
      <c r="C18" s="304" t="s">
        <v>250</v>
      </c>
      <c r="D18" s="304"/>
      <c r="E18" s="14"/>
      <c r="F18" s="68">
        <f>'6. PEF2-3. INVERS. Y FINANC.'!F26</f>
        <v>0</v>
      </c>
      <c r="G18" s="68">
        <f t="shared" si="0"/>
        <v>0</v>
      </c>
      <c r="H18" s="68">
        <f t="shared" si="0"/>
        <v>0</v>
      </c>
    </row>
    <row r="19" spans="3:8">
      <c r="C19" s="7" t="s">
        <v>397</v>
      </c>
      <c r="E19" s="14"/>
      <c r="F19" s="69">
        <f>'6.PEF6. EXPLOTACION'!BF25</f>
        <v>2120.6800000000003</v>
      </c>
      <c r="G19" s="69">
        <f>'6.PEF6. EXPLOTACION'!BG25+F19</f>
        <v>4241.3600000000006</v>
      </c>
      <c r="H19" s="69">
        <f>'6.PEF6. EXPLOTACION'!BH25+G19</f>
        <v>6362.0400000000009</v>
      </c>
    </row>
    <row r="20" spans="3:8" ht="12.75" customHeight="1">
      <c r="C20" s="303" t="s">
        <v>231</v>
      </c>
      <c r="D20" s="303"/>
      <c r="E20" s="12"/>
      <c r="F20" s="38">
        <f>SUM(F21:F24)</f>
        <v>1043.83</v>
      </c>
      <c r="G20" s="38">
        <f>SUM(G21:G24)</f>
        <v>1043.83</v>
      </c>
      <c r="H20" s="38">
        <f>SUM(H21:H24)</f>
        <v>1043.83</v>
      </c>
    </row>
    <row r="21" spans="3:8">
      <c r="C21" s="304" t="s">
        <v>234</v>
      </c>
      <c r="D21" s="304"/>
      <c r="E21" s="14"/>
      <c r="F21" s="69">
        <f>'6. PEF2-3. INVERS. Y FINANC.'!F14</f>
        <v>661.31</v>
      </c>
      <c r="G21" s="69">
        <f>F21</f>
        <v>661.31</v>
      </c>
      <c r="H21" s="69">
        <f>G21</f>
        <v>661.31</v>
      </c>
    </row>
    <row r="22" spans="3:8" ht="12.75" customHeight="1">
      <c r="C22" s="304" t="s">
        <v>236</v>
      </c>
      <c r="D22" s="304"/>
      <c r="E22" s="14"/>
      <c r="F22" s="69">
        <f>'6. PEF2-3. INVERS. Y FINANC.'!F15</f>
        <v>0</v>
      </c>
      <c r="G22" s="69">
        <f t="shared" ref="G22:H24" si="1">F22</f>
        <v>0</v>
      </c>
      <c r="H22" s="69">
        <f t="shared" si="1"/>
        <v>0</v>
      </c>
    </row>
    <row r="23" spans="3:8" ht="12.75" customHeight="1">
      <c r="C23" s="304" t="s">
        <v>237</v>
      </c>
      <c r="D23" s="304"/>
      <c r="E23" s="14"/>
      <c r="F23" s="69">
        <f>'6. PEF2-3. INVERS. Y FINANC.'!F16</f>
        <v>382.52</v>
      </c>
      <c r="G23" s="69">
        <f t="shared" si="1"/>
        <v>382.52</v>
      </c>
      <c r="H23" s="69">
        <f t="shared" si="1"/>
        <v>382.52</v>
      </c>
    </row>
    <row r="24" spans="3:8" ht="12.75" customHeight="1">
      <c r="C24" s="304" t="s">
        <v>238</v>
      </c>
      <c r="D24" s="304"/>
      <c r="E24" s="14"/>
      <c r="F24" s="69">
        <f>'6. PEF2-3. INVERS. Y FINANC.'!F17</f>
        <v>0</v>
      </c>
      <c r="G24" s="69">
        <f t="shared" si="1"/>
        <v>0</v>
      </c>
      <c r="H24" s="69">
        <f t="shared" si="1"/>
        <v>0</v>
      </c>
    </row>
    <row r="25" spans="3:8">
      <c r="C25" s="303" t="s">
        <v>252</v>
      </c>
      <c r="D25" s="303"/>
      <c r="E25" s="12"/>
      <c r="F25" s="38">
        <f>SUM(F26)</f>
        <v>5250</v>
      </c>
      <c r="G25" s="38">
        <f>SUM(G26)</f>
        <v>5250</v>
      </c>
      <c r="H25" s="38">
        <f>SUM(H26)</f>
        <v>5250</v>
      </c>
    </row>
    <row r="26" spans="3:8">
      <c r="C26" s="304" t="s">
        <v>253</v>
      </c>
      <c r="D26" s="304"/>
      <c r="E26" s="14"/>
      <c r="F26" s="69">
        <f>'6. PEF2-3. INVERS. Y FINANC.'!F28</f>
        <v>5250</v>
      </c>
      <c r="G26" s="69">
        <f>F26</f>
        <v>5250</v>
      </c>
      <c r="H26" s="69">
        <f>F26</f>
        <v>5250</v>
      </c>
    </row>
    <row r="27" spans="3:8">
      <c r="C27" s="27"/>
      <c r="D27" s="27"/>
      <c r="E27" s="14"/>
      <c r="F27" s="15"/>
      <c r="G27" s="15"/>
      <c r="H27" s="15"/>
    </row>
    <row r="28" spans="3:8">
      <c r="C28" s="11" t="s">
        <v>256</v>
      </c>
      <c r="D28" s="10"/>
      <c r="E28" s="10"/>
      <c r="F28" s="17">
        <f>F29+F30+F33</f>
        <v>29472.054227544984</v>
      </c>
      <c r="G28" s="17">
        <f>G29+G30+G33</f>
        <v>44570.20362267681</v>
      </c>
      <c r="H28" s="17">
        <f>H29+H30+H33</f>
        <v>73141.53428435378</v>
      </c>
    </row>
    <row r="29" spans="3:8">
      <c r="C29" s="303" t="s">
        <v>257</v>
      </c>
      <c r="D29" s="303"/>
      <c r="E29" s="12"/>
      <c r="F29" s="38">
        <f>'6. PEF2-3. INVERS. Y FINANC.'!F34</f>
        <v>0</v>
      </c>
      <c r="G29" s="38">
        <f>F29</f>
        <v>0</v>
      </c>
      <c r="H29" s="38">
        <f>F29</f>
        <v>0</v>
      </c>
    </row>
    <row r="30" spans="3:8">
      <c r="C30" s="303" t="s">
        <v>258</v>
      </c>
      <c r="D30" s="303"/>
      <c r="E30" s="12"/>
      <c r="F30" s="38">
        <f>SUM(F31:F32)</f>
        <v>0</v>
      </c>
      <c r="G30" s="38">
        <f>SUM(G31:G32)</f>
        <v>0</v>
      </c>
      <c r="H30" s="38">
        <f>SUM(H31:H32)</f>
        <v>0</v>
      </c>
    </row>
    <row r="31" spans="3:8">
      <c r="C31" s="304" t="s">
        <v>259</v>
      </c>
      <c r="D31" s="304"/>
      <c r="E31" s="14"/>
      <c r="F31" s="69">
        <f>'6. PEF2-3. INVERS. Y FINANC.'!F36</f>
        <v>0</v>
      </c>
      <c r="G31" s="69">
        <f>F31</f>
        <v>0</v>
      </c>
      <c r="H31" s="69">
        <f>G31</f>
        <v>0</v>
      </c>
    </row>
    <row r="32" spans="3:8">
      <c r="C32" s="304" t="s">
        <v>260</v>
      </c>
      <c r="D32" s="304"/>
      <c r="E32" s="14"/>
      <c r="F32" s="69">
        <f>'6. PEF8-9. TESORERIA'!BF30</f>
        <v>0</v>
      </c>
      <c r="G32" s="69">
        <f>'6. PEF8-9. TESORERIA'!BG30</f>
        <v>0</v>
      </c>
      <c r="H32" s="69">
        <f>'6. PEF8-9. TESORERIA'!BH30</f>
        <v>0</v>
      </c>
    </row>
    <row r="33" spans="3:8">
      <c r="C33" s="303" t="s">
        <v>262</v>
      </c>
      <c r="D33" s="303"/>
      <c r="E33" s="12"/>
      <c r="F33" s="38">
        <f>'6. PEF8-9. TESORERIA'!BF38</f>
        <v>29472.054227544984</v>
      </c>
      <c r="G33" s="38">
        <f>'6. PEF8-9. TESORERIA'!BG38</f>
        <v>44570.20362267681</v>
      </c>
      <c r="H33" s="38">
        <f>'6. PEF8-9. TESORERIA'!BH38</f>
        <v>73141.53428435378</v>
      </c>
    </row>
    <row r="34" spans="3:8">
      <c r="C34" s="12"/>
      <c r="D34" s="12"/>
      <c r="E34" s="12"/>
      <c r="F34" s="15"/>
      <c r="G34" s="15"/>
      <c r="H34" s="15"/>
    </row>
    <row r="35" spans="3:8">
      <c r="C35" s="11" t="s">
        <v>398</v>
      </c>
      <c r="D35" s="11"/>
      <c r="E35" s="11"/>
      <c r="F35" s="17">
        <f>F9+F28</f>
        <v>38963.414227544985</v>
      </c>
      <c r="G35" s="17">
        <f>G9+G28</f>
        <v>51940.883622676811</v>
      </c>
      <c r="H35" s="17">
        <f>H9+H28</f>
        <v>78391.53428435378</v>
      </c>
    </row>
    <row r="37" spans="3:8">
      <c r="C37" s="11" t="s">
        <v>399</v>
      </c>
      <c r="D37" s="11"/>
      <c r="E37" s="11"/>
      <c r="F37" s="28" t="s">
        <v>102</v>
      </c>
      <c r="G37" s="28" t="s">
        <v>281</v>
      </c>
      <c r="H37" s="28" t="s">
        <v>282</v>
      </c>
    </row>
    <row r="38" spans="3:8">
      <c r="C38" s="16"/>
      <c r="D38" s="16"/>
      <c r="E38" s="16"/>
      <c r="F38" s="29"/>
      <c r="G38" s="29"/>
      <c r="H38" s="29"/>
    </row>
    <row r="39" spans="3:8" ht="12.75" customHeight="1">
      <c r="C39" s="11" t="s">
        <v>400</v>
      </c>
      <c r="D39" s="11"/>
      <c r="E39" s="10"/>
      <c r="F39" s="11"/>
      <c r="G39" s="11"/>
      <c r="H39" s="11"/>
    </row>
    <row r="40" spans="3:8">
      <c r="C40" s="303" t="s">
        <v>401</v>
      </c>
      <c r="D40" s="303"/>
      <c r="E40" s="12"/>
      <c r="F40" s="67">
        <f>SUM(F41:F42)</f>
        <v>17845.087383674643</v>
      </c>
      <c r="G40" s="67">
        <f>SUM(G41:G42)</f>
        <v>33506.867590260081</v>
      </c>
      <c r="H40" s="67">
        <f>SUM(H41:H42)</f>
        <v>62579.501851828769</v>
      </c>
    </row>
    <row r="41" spans="3:8">
      <c r="C41" s="304" t="s">
        <v>230</v>
      </c>
      <c r="D41" s="304"/>
      <c r="E41" s="14"/>
      <c r="F41" s="69">
        <f>'6. PEF2-3. INVERS. Y FINANC.'!N12</f>
        <v>14000</v>
      </c>
      <c r="G41" s="69">
        <f>F41</f>
        <v>14000</v>
      </c>
      <c r="H41" s="69">
        <f>F41</f>
        <v>14000</v>
      </c>
    </row>
    <row r="42" spans="3:8">
      <c r="C42" s="304" t="s">
        <v>402</v>
      </c>
      <c r="D42" s="304"/>
      <c r="E42" s="14"/>
      <c r="F42" s="69">
        <f>'6.PEF6. EXPLOTACION'!BF30</f>
        <v>3845.0873836746432</v>
      </c>
      <c r="G42" s="69">
        <f>'6.PEF6. EXPLOTACION'!BG30+F42</f>
        <v>19506.867590260081</v>
      </c>
      <c r="H42" s="69">
        <f>'6.PEF6. EXPLOTACION'!BH30+G42</f>
        <v>48579.501851828769</v>
      </c>
    </row>
    <row r="43" spans="3:8">
      <c r="C43" s="303" t="s">
        <v>403</v>
      </c>
      <c r="D43" s="303"/>
      <c r="E43" s="12"/>
      <c r="F43" s="67">
        <f>SUM(F44:F47)</f>
        <v>15668.022466548708</v>
      </c>
      <c r="G43" s="67">
        <f>SUM(G44:G47)</f>
        <v>10678.09506283641</v>
      </c>
      <c r="H43" s="67">
        <f>SUM(H44:H47)</f>
        <v>5458.9312672323249</v>
      </c>
    </row>
    <row r="44" spans="3:8">
      <c r="C44" s="304" t="s">
        <v>235</v>
      </c>
      <c r="D44" s="304"/>
      <c r="E44" s="14"/>
      <c r="F44" s="69">
        <f>'AMORTIZ. PTMO.'!F3-'AMORTIZ. PTMO.'!E35</f>
        <v>15668.022466548708</v>
      </c>
      <c r="G44" s="69">
        <f>'AMORTIZ. PTMO.'!F3-'AMORTIZ. PTMO.'!E47</f>
        <v>10678.09506283641</v>
      </c>
      <c r="H44" s="69">
        <f>'AMORTIZ. PTMO.'!F3-'AMORTIZ. PTMO.'!E59</f>
        <v>5458.9312672323249</v>
      </c>
    </row>
    <row r="45" spans="3:8">
      <c r="C45" s="304" t="s">
        <v>404</v>
      </c>
      <c r="D45" s="304"/>
      <c r="E45" s="14"/>
      <c r="F45" s="69">
        <v>0</v>
      </c>
      <c r="G45" s="69">
        <f t="shared" ref="G45:H47" si="2">F45</f>
        <v>0</v>
      </c>
      <c r="H45" s="69">
        <f t="shared" si="2"/>
        <v>0</v>
      </c>
    </row>
    <row r="46" spans="3:8">
      <c r="C46" s="304" t="s">
        <v>405</v>
      </c>
      <c r="D46" s="304"/>
      <c r="E46" s="14"/>
      <c r="F46" s="69">
        <v>0</v>
      </c>
      <c r="G46" s="69">
        <f t="shared" si="2"/>
        <v>0</v>
      </c>
      <c r="H46" s="69">
        <f t="shared" si="2"/>
        <v>0</v>
      </c>
    </row>
    <row r="47" spans="3:8">
      <c r="C47" s="304" t="s">
        <v>406</v>
      </c>
      <c r="D47" s="304"/>
      <c r="E47" s="14"/>
      <c r="F47" s="69">
        <v>0</v>
      </c>
      <c r="G47" s="69">
        <f t="shared" si="2"/>
        <v>0</v>
      </c>
      <c r="H47" s="69">
        <f t="shared" si="2"/>
        <v>0</v>
      </c>
    </row>
    <row r="48" spans="3:8">
      <c r="C48" s="303" t="s">
        <v>407</v>
      </c>
      <c r="D48" s="303"/>
      <c r="E48" s="13"/>
      <c r="F48" s="67">
        <f>SUM(F49:F53)</f>
        <v>5449.304377321645</v>
      </c>
      <c r="G48" s="67">
        <f>SUM(G49:G53)</f>
        <v>7753.770969580316</v>
      </c>
      <c r="H48" s="67">
        <f>SUM(H49:H53)</f>
        <v>10349.628665292679</v>
      </c>
    </row>
    <row r="49" spans="1:9">
      <c r="C49" s="304" t="s">
        <v>408</v>
      </c>
      <c r="D49" s="304"/>
      <c r="E49" s="14"/>
      <c r="F49" s="69">
        <v>0</v>
      </c>
      <c r="G49" s="69">
        <v>0</v>
      </c>
      <c r="H49" s="69">
        <v>0</v>
      </c>
    </row>
    <row r="50" spans="1:9">
      <c r="C50" s="304" t="s">
        <v>409</v>
      </c>
      <c r="D50" s="304"/>
      <c r="E50" s="14"/>
      <c r="F50" s="69">
        <v>0</v>
      </c>
      <c r="G50" s="69">
        <f t="shared" ref="G50:H53" si="3">F50</f>
        <v>0</v>
      </c>
      <c r="H50" s="69">
        <f t="shared" si="3"/>
        <v>0</v>
      </c>
    </row>
    <row r="51" spans="1:9">
      <c r="C51" s="304" t="s">
        <v>245</v>
      </c>
      <c r="D51" s="304"/>
      <c r="E51" s="14"/>
      <c r="F51" s="69">
        <f>SUM('AMORTIZ. PTMO.'!D24:D35)</f>
        <v>4770.7595449084738</v>
      </c>
      <c r="G51" s="69">
        <f>SUM('AMORTIZ. PTMO.'!D36:D47)</f>
        <v>4989.9274037122959</v>
      </c>
      <c r="H51" s="69">
        <f>SUM('AMORTIZ. PTMO.'!D48:D59)</f>
        <v>5219.1637956040868</v>
      </c>
    </row>
    <row r="52" spans="1:9">
      <c r="C52" s="304" t="s">
        <v>410</v>
      </c>
      <c r="D52" s="304"/>
      <c r="E52" s="14"/>
      <c r="F52" s="69">
        <f>'6.PEF6. EXPLOTACION'!BF29</f>
        <v>678.54483241317166</v>
      </c>
      <c r="G52" s="69">
        <f>'6.PEF6. EXPLOTACION'!BG29</f>
        <v>2763.8435658680201</v>
      </c>
      <c r="H52" s="69">
        <f>'6.PEF6. EXPLOTACION'!BH29</f>
        <v>5130.4648696885924</v>
      </c>
    </row>
    <row r="53" spans="1:9">
      <c r="C53" s="304" t="s">
        <v>411</v>
      </c>
      <c r="D53" s="304"/>
      <c r="E53" s="14"/>
      <c r="F53" s="69">
        <v>0</v>
      </c>
      <c r="G53" s="69">
        <f t="shared" si="3"/>
        <v>0</v>
      </c>
      <c r="H53" s="69">
        <f t="shared" si="3"/>
        <v>0</v>
      </c>
    </row>
    <row r="54" spans="1:9">
      <c r="C54" s="11" t="s">
        <v>412</v>
      </c>
      <c r="D54" s="11"/>
      <c r="E54" s="11"/>
      <c r="F54" s="17">
        <f>F40+F43+F48</f>
        <v>38962.414227544999</v>
      </c>
      <c r="G54" s="17">
        <f>G40+G43+G48</f>
        <v>51938.733622676802</v>
      </c>
      <c r="H54" s="17">
        <f>H40+H43+H48</f>
        <v>78388.061784353777</v>
      </c>
    </row>
    <row r="55" spans="1:9" ht="12.75" customHeight="1">
      <c r="C55" s="245" t="s">
        <v>413</v>
      </c>
      <c r="D55" s="245"/>
      <c r="E55" s="11"/>
      <c r="F55" s="17">
        <f>F35-F54</f>
        <v>0.99999999998544808</v>
      </c>
      <c r="G55" s="17">
        <f>G35-G54</f>
        <v>2.1500000000087311</v>
      </c>
      <c r="H55" s="17">
        <f>H35-H54</f>
        <v>3.4725000000034925</v>
      </c>
    </row>
    <row r="57" spans="1:9">
      <c r="A57"/>
      <c r="B57" s="73"/>
      <c r="C57" s="73"/>
      <c r="D57" s="73"/>
      <c r="E57" s="73"/>
      <c r="F57" s="73"/>
      <c r="G57" s="73"/>
      <c r="H57" s="73"/>
      <c r="I57"/>
    </row>
    <row r="58" spans="1:9">
      <c r="A58" s="80"/>
      <c r="B58" s="162"/>
      <c r="C58" s="162"/>
      <c r="D58" s="162"/>
      <c r="E58" s="162"/>
      <c r="F58" s="162"/>
      <c r="G58" s="162"/>
      <c r="H58" s="162"/>
      <c r="I58" s="80"/>
    </row>
    <row r="59" spans="1:9">
      <c r="A59"/>
      <c r="B59"/>
      <c r="C59"/>
      <c r="D59"/>
      <c r="E59"/>
      <c r="F59"/>
      <c r="G59"/>
      <c r="H59"/>
      <c r="I59"/>
    </row>
    <row r="60" spans="1:9" ht="17.45">
      <c r="A60"/>
      <c r="B60" s="72"/>
      <c r="C60"/>
      <c r="D60"/>
      <c r="E60"/>
      <c r="F60"/>
      <c r="G60"/>
      <c r="H60"/>
      <c r="I60"/>
    </row>
    <row r="61" spans="1:9">
      <c r="A61"/>
      <c r="B61"/>
      <c r="C61"/>
      <c r="D61"/>
      <c r="E61"/>
      <c r="F61"/>
      <c r="G61"/>
      <c r="H61"/>
      <c r="I61"/>
    </row>
    <row r="62" spans="1:9" ht="2.65" customHeight="1">
      <c r="A62"/>
      <c r="B62"/>
      <c r="C62"/>
      <c r="D62"/>
      <c r="E62"/>
      <c r="F62"/>
      <c r="G62"/>
      <c r="H62"/>
      <c r="I62"/>
    </row>
  </sheetData>
  <sheetProtection password="F817" sheet="1" selectLockedCells="1"/>
  <mergeCells count="39">
    <mergeCell ref="C15:D15"/>
    <mergeCell ref="C16:D16"/>
    <mergeCell ref="B5:D5"/>
    <mergeCell ref="C10:D10"/>
    <mergeCell ref="C11:D11"/>
    <mergeCell ref="C12:D12"/>
    <mergeCell ref="C13:D13"/>
    <mergeCell ref="H1:H3"/>
    <mergeCell ref="C50:D50"/>
    <mergeCell ref="C51:D51"/>
    <mergeCell ref="C18:D18"/>
    <mergeCell ref="C20:D20"/>
    <mergeCell ref="C21:D21"/>
    <mergeCell ref="C22:D22"/>
    <mergeCell ref="C44:D44"/>
    <mergeCell ref="C23:D23"/>
    <mergeCell ref="C14:D14"/>
    <mergeCell ref="C42:D42"/>
    <mergeCell ref="B1:E1"/>
    <mergeCell ref="C17:D17"/>
    <mergeCell ref="C24:D24"/>
    <mergeCell ref="C26:D26"/>
    <mergeCell ref="C31:D31"/>
    <mergeCell ref="C55:D55"/>
    <mergeCell ref="C25:D25"/>
    <mergeCell ref="C29:D29"/>
    <mergeCell ref="C30:D30"/>
    <mergeCell ref="C33:D33"/>
    <mergeCell ref="C40:D40"/>
    <mergeCell ref="C43:D43"/>
    <mergeCell ref="C32:D32"/>
    <mergeCell ref="C41:D41"/>
    <mergeCell ref="C52:D52"/>
    <mergeCell ref="C53:D53"/>
    <mergeCell ref="C45:D45"/>
    <mergeCell ref="C46:D46"/>
    <mergeCell ref="C47:D47"/>
    <mergeCell ref="C49:D49"/>
    <mergeCell ref="C48:D48"/>
  </mergeCells>
  <phoneticPr fontId="2" type="noConversion"/>
  <pageMargins left="0.59055118110236227" right="0.59055118110236227" top="0.39370078740157483" bottom="0.39370078740157483" header="0" footer="0"/>
  <pageSetup paperSize="9"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indexed="22"/>
  </sheetPr>
  <dimension ref="A1:H48"/>
  <sheetViews>
    <sheetView showGridLines="0" topLeftCell="A22" zoomScaleNormal="100" workbookViewId="0">
      <selection activeCell="E14" sqref="E14:F14"/>
    </sheetView>
  </sheetViews>
  <sheetFormatPr defaultColWidth="11.42578125" defaultRowHeight="13.15"/>
  <cols>
    <col min="1" max="2" width="4.7109375" customWidth="1"/>
    <col min="4" max="4" width="28.85546875" customWidth="1"/>
    <col min="5" max="5" width="12.28515625" style="51" bestFit="1" customWidth="1"/>
    <col min="6" max="6" width="13.28515625" style="51" customWidth="1"/>
    <col min="7" max="7" width="12.5703125" style="146" customWidth="1"/>
  </cols>
  <sheetData>
    <row r="1" spans="1:7" s="7" customFormat="1" ht="17.45">
      <c r="B1" s="87"/>
      <c r="C1" s="8"/>
      <c r="D1" s="122"/>
      <c r="E1"/>
      <c r="F1"/>
      <c r="G1" s="173"/>
    </row>
    <row r="2" spans="1:7" s="7" customFormat="1">
      <c r="C2"/>
      <c r="D2"/>
      <c r="E2"/>
      <c r="F2"/>
      <c r="G2" s="173"/>
    </row>
    <row r="3" spans="1:7" s="7" customFormat="1" ht="17.45">
      <c r="B3" s="87"/>
      <c r="C3" s="8"/>
      <c r="D3" s="122"/>
      <c r="E3"/>
      <c r="F3"/>
      <c r="G3" s="173"/>
    </row>
    <row r="4" spans="1:7" s="7" customFormat="1" ht="15.75" customHeight="1">
      <c r="B4" s="1"/>
      <c r="C4"/>
      <c r="E4"/>
      <c r="F4"/>
      <c r="G4"/>
    </row>
    <row r="5" spans="1:7" s="7" customFormat="1" ht="12.75" customHeight="1">
      <c r="A5"/>
      <c r="B5" s="232"/>
      <c r="C5" s="232"/>
      <c r="D5" s="232"/>
      <c r="E5"/>
      <c r="F5"/>
      <c r="G5"/>
    </row>
    <row r="7" spans="1:7" ht="15.75" customHeight="1">
      <c r="B7" s="305" t="s">
        <v>414</v>
      </c>
      <c r="C7" s="305"/>
      <c r="D7" s="305" t="s">
        <v>415</v>
      </c>
      <c r="E7" s="147" t="s">
        <v>416</v>
      </c>
      <c r="F7" s="148" t="s">
        <v>417</v>
      </c>
      <c r="G7" s="149" t="s">
        <v>418</v>
      </c>
    </row>
    <row r="8" spans="1:7">
      <c r="B8" s="305"/>
      <c r="C8" s="305"/>
      <c r="D8" s="305"/>
      <c r="E8" s="150">
        <f>'6. PEF10. BALANCE 3 AÑOS'!F28</f>
        <v>29472.054227544984</v>
      </c>
      <c r="F8" s="150">
        <f>'6. PEF10. BALANCE 3 AÑOS'!F48</f>
        <v>5449.304377321645</v>
      </c>
      <c r="G8" s="146">
        <f>E8/F8</f>
        <v>5.4084066858512712</v>
      </c>
    </row>
    <row r="9" spans="1:7" ht="15" customHeight="1">
      <c r="D9" s="151"/>
      <c r="E9" s="306" t="str">
        <f>"Valor óptimo entre 1,5 y 2"</f>
        <v>Valor óptimo entre 1,5 y 2</v>
      </c>
      <c r="F9" s="306"/>
      <c r="G9" s="306"/>
    </row>
    <row r="10" spans="1:7" ht="15" customHeight="1">
      <c r="D10" s="151"/>
      <c r="E10" s="152"/>
      <c r="F10" s="152"/>
      <c r="G10" s="152"/>
    </row>
    <row r="11" spans="1:7" ht="15.75" customHeight="1">
      <c r="B11" s="305" t="s">
        <v>419</v>
      </c>
      <c r="C11" s="305"/>
      <c r="D11" s="307" t="s">
        <v>420</v>
      </c>
      <c r="E11" s="148" t="s">
        <v>416</v>
      </c>
      <c r="F11" s="148" t="s">
        <v>421</v>
      </c>
      <c r="G11" s="149" t="s">
        <v>418</v>
      </c>
    </row>
    <row r="12" spans="1:7">
      <c r="B12" s="305"/>
      <c r="C12" s="305"/>
      <c r="D12" s="307"/>
      <c r="E12" s="150">
        <f>'6. PEF10. BALANCE 3 AÑOS'!F28</f>
        <v>29472.054227544984</v>
      </c>
      <c r="F12" s="150">
        <f>'6. PEF10. BALANCE 3 AÑOS'!F48</f>
        <v>5449.304377321645</v>
      </c>
      <c r="G12" s="150">
        <f>E12-F12</f>
        <v>24022.749850223339</v>
      </c>
    </row>
    <row r="13" spans="1:7">
      <c r="D13" s="151"/>
      <c r="E13" s="306" t="str">
        <f>IF(G12&lt;0,"Situación de insolvencia", "FM positivo Liquidez")</f>
        <v>FM positivo Liquidez</v>
      </c>
      <c r="F13" s="306"/>
      <c r="G13" s="306"/>
    </row>
    <row r="14" spans="1:7">
      <c r="D14" s="151"/>
      <c r="E14" s="152"/>
      <c r="F14" s="152"/>
      <c r="G14" s="152"/>
    </row>
    <row r="15" spans="1:7" ht="12.75" customHeight="1">
      <c r="B15" s="305" t="s">
        <v>422</v>
      </c>
      <c r="C15" s="305"/>
      <c r="D15" s="305" t="s">
        <v>423</v>
      </c>
      <c r="E15" s="148" t="s">
        <v>424</v>
      </c>
      <c r="F15" s="148" t="s">
        <v>421</v>
      </c>
      <c r="G15" s="149" t="s">
        <v>418</v>
      </c>
    </row>
    <row r="16" spans="1:7">
      <c r="B16" s="305"/>
      <c r="C16" s="305"/>
      <c r="D16" s="305"/>
      <c r="E16" s="150">
        <f>SUM('6. PEF10. BALANCE 3 AÑOS'!F31+'6. PEF10. BALANCE 3 AÑOS'!F33)</f>
        <v>29472.054227544984</v>
      </c>
      <c r="F16" s="150">
        <f>'6. PEF10. BALANCE 3 AÑOS'!F48</f>
        <v>5449.304377321645</v>
      </c>
      <c r="G16" s="146">
        <f>E16/F16</f>
        <v>5.4084066858512712</v>
      </c>
    </row>
    <row r="17" spans="2:7">
      <c r="D17" s="151"/>
      <c r="E17" s="306" t="str">
        <f>IF(G16&gt;1," No se maximiza beneficio","Posible suspensión de pagos")</f>
        <v xml:space="preserve"> No se maximiza beneficio</v>
      </c>
      <c r="F17" s="306"/>
      <c r="G17" s="306"/>
    </row>
    <row r="18" spans="2:7">
      <c r="D18" s="151"/>
      <c r="E18" s="152"/>
      <c r="F18" s="152"/>
      <c r="G18" s="152"/>
    </row>
    <row r="19" spans="2:7" ht="15.75" customHeight="1">
      <c r="B19" s="305" t="s">
        <v>425</v>
      </c>
      <c r="C19" s="305"/>
      <c r="D19" s="305" t="s">
        <v>426</v>
      </c>
      <c r="E19" s="148" t="s">
        <v>427</v>
      </c>
      <c r="F19" s="148" t="s">
        <v>428</v>
      </c>
      <c r="G19" s="149" t="s">
        <v>418</v>
      </c>
    </row>
    <row r="20" spans="2:7">
      <c r="B20" s="305"/>
      <c r="C20" s="305"/>
      <c r="D20" s="305"/>
      <c r="E20" s="150">
        <f>('6. PEF10. BALANCE 3 AÑOS'!F43+'6. PEF10. BALANCE 3 AÑOS'!F48)</f>
        <v>21117.326843870353</v>
      </c>
      <c r="F20" s="150">
        <f>'6. PEF10. BALANCE 3 AÑOS'!F54</f>
        <v>38962.414227544999</v>
      </c>
      <c r="G20" s="146">
        <f>E20/F20</f>
        <v>0.54199225747518431</v>
      </c>
    </row>
    <row r="21" spans="2:7">
      <c r="D21" s="151"/>
      <c r="E21" s="306" t="s">
        <v>429</v>
      </c>
      <c r="F21" s="306"/>
      <c r="G21" s="306"/>
    </row>
    <row r="22" spans="2:7">
      <c r="D22" s="151"/>
      <c r="E22" s="152"/>
      <c r="F22" s="152"/>
      <c r="G22" s="152"/>
    </row>
    <row r="23" spans="2:7" ht="12.75" customHeight="1">
      <c r="B23" s="305" t="s">
        <v>430</v>
      </c>
      <c r="C23" s="305"/>
      <c r="D23" s="305" t="s">
        <v>431</v>
      </c>
      <c r="E23" s="148" t="s">
        <v>348</v>
      </c>
      <c r="F23" s="148" t="s">
        <v>432</v>
      </c>
      <c r="G23" s="149" t="s">
        <v>418</v>
      </c>
    </row>
    <row r="24" spans="2:7" ht="23.25" customHeight="1">
      <c r="B24" s="305"/>
      <c r="C24" s="305"/>
      <c r="D24" s="305"/>
      <c r="E24" s="153">
        <f>'6.PEF6. EXPLOTACION'!BF28</f>
        <v>4523.6322160878117</v>
      </c>
      <c r="F24" s="153">
        <f>'6. PEF10. BALANCE 3 AÑOS'!F35</f>
        <v>38963.414227544985</v>
      </c>
      <c r="G24" s="154">
        <f>E24*100/F24</f>
        <v>11.609948218782771</v>
      </c>
    </row>
    <row r="25" spans="2:7">
      <c r="D25" s="151"/>
    </row>
    <row r="26" spans="2:7" ht="12.75" customHeight="1">
      <c r="B26" s="305" t="s">
        <v>433</v>
      </c>
      <c r="C26" s="305"/>
      <c r="D26" s="305" t="s">
        <v>434</v>
      </c>
      <c r="E26" s="148" t="s">
        <v>350</v>
      </c>
      <c r="F26" s="148" t="s">
        <v>435</v>
      </c>
      <c r="G26" s="149" t="s">
        <v>418</v>
      </c>
    </row>
    <row r="27" spans="2:7" ht="28.5" customHeight="1">
      <c r="B27" s="305"/>
      <c r="C27" s="305"/>
      <c r="D27" s="305"/>
      <c r="E27" s="153">
        <f>'6.PEF6. EXPLOTACION'!BF30</f>
        <v>3845.0873836746432</v>
      </c>
      <c r="F27" s="153">
        <f>'6. PEF10. BALANCE 3 AÑOS'!F41</f>
        <v>14000</v>
      </c>
      <c r="G27" s="153">
        <f>E27*100/F27</f>
        <v>27.464909883390309</v>
      </c>
    </row>
    <row r="28" spans="2:7" ht="12.75" customHeight="1">
      <c r="D28" s="151"/>
    </row>
    <row r="29" spans="2:7" ht="12.75" customHeight="1">
      <c r="B29" s="305" t="s">
        <v>436</v>
      </c>
      <c r="C29" s="305"/>
      <c r="D29" s="305" t="s">
        <v>437</v>
      </c>
      <c r="E29" s="155" t="s">
        <v>438</v>
      </c>
      <c r="F29" s="155" t="s">
        <v>439</v>
      </c>
      <c r="G29" s="156" t="s">
        <v>440</v>
      </c>
    </row>
    <row r="30" spans="2:7" ht="40.5" customHeight="1">
      <c r="B30" s="305"/>
      <c r="C30" s="305"/>
      <c r="D30" s="305"/>
      <c r="E30" s="157">
        <f>'6. PEF5. VENTAS Y COSTES'!F11</f>
        <v>126000</v>
      </c>
      <c r="F30" s="157">
        <f>'6. PEF5. VENTAS Y COSTES'!F13+'6. PEF5. VENTAS Y COSTES'!F20+'6. PEF5. VENTAS Y COSTES'!F34</f>
        <v>119769.68</v>
      </c>
      <c r="G30" s="158" t="str">
        <f>IF(E30&gt;F30,"Alcanzado el punto muerto","No se alcanza el punto muerto")</f>
        <v>Alcanzado el punto muerto</v>
      </c>
    </row>
    <row r="31" spans="2:7">
      <c r="D31" s="151"/>
    </row>
    <row r="32" spans="2:7" ht="12.75" customHeight="1">
      <c r="B32" s="305" t="s">
        <v>441</v>
      </c>
      <c r="C32" s="305"/>
      <c r="D32" s="305" t="s">
        <v>442</v>
      </c>
      <c r="E32" s="148" t="s">
        <v>443</v>
      </c>
      <c r="F32" s="148" t="s">
        <v>444</v>
      </c>
      <c r="G32" s="149" t="s">
        <v>445</v>
      </c>
    </row>
    <row r="33" spans="1:8" ht="33" customHeight="1">
      <c r="B33" s="305"/>
      <c r="C33" s="305"/>
      <c r="D33" s="305"/>
      <c r="E33" s="157">
        <f>'6.PEF6. EXPLOTACION'!BF30+'6.PEF6. EXPLOTACION'!BF25</f>
        <v>5965.7673836746435</v>
      </c>
      <c r="F33" s="157">
        <f>E20</f>
        <v>21117.326843870353</v>
      </c>
      <c r="G33" s="158">
        <f>E33/F33</f>
        <v>0.28250580330465946</v>
      </c>
    </row>
    <row r="34" spans="1:8">
      <c r="D34" s="151"/>
    </row>
    <row r="35" spans="1:8" ht="12.75" customHeight="1">
      <c r="B35" s="305" t="s">
        <v>446</v>
      </c>
      <c r="C35" s="305"/>
      <c r="D35" s="305" t="s">
        <v>447</v>
      </c>
      <c r="E35" s="159" t="s">
        <v>448</v>
      </c>
      <c r="F35" s="148" t="s">
        <v>449</v>
      </c>
      <c r="G35" s="149" t="s">
        <v>102</v>
      </c>
    </row>
    <row r="36" spans="1:8" ht="33.75" customHeight="1">
      <c r="B36" s="305"/>
      <c r="C36" s="305"/>
      <c r="D36" s="305"/>
      <c r="E36" s="157">
        <f>'6.PEF6. EXPLOTACION'!BF30</f>
        <v>3845.0873836746432</v>
      </c>
      <c r="F36" s="157">
        <f>'6.PEF6. EXPLOTACION'!BF25</f>
        <v>2120.6800000000003</v>
      </c>
      <c r="G36" s="157">
        <f>E36+F36</f>
        <v>5965.7673836746435</v>
      </c>
    </row>
    <row r="37" spans="1:8">
      <c r="E37" s="159" t="s">
        <v>450</v>
      </c>
      <c r="F37" s="148" t="s">
        <v>451</v>
      </c>
      <c r="G37" s="148" t="s">
        <v>281</v>
      </c>
    </row>
    <row r="38" spans="1:8" ht="33.75" customHeight="1">
      <c r="E38" s="157">
        <f>'6.PEF6. EXPLOTACION'!BG30</f>
        <v>15661.780206585439</v>
      </c>
      <c r="F38" s="157">
        <f>'6.PEF6. EXPLOTACION'!BG25</f>
        <v>2120.6800000000003</v>
      </c>
      <c r="G38" s="157">
        <f>E38+F38</f>
        <v>17782.460206585441</v>
      </c>
    </row>
    <row r="39" spans="1:8">
      <c r="E39" s="148" t="s">
        <v>452</v>
      </c>
    </row>
    <row r="40" spans="1:8" ht="33.75" customHeight="1">
      <c r="E40" s="157">
        <f>(G38-G36)/G38</f>
        <v>0.66451394720594847</v>
      </c>
      <c r="F40" s="157"/>
      <c r="G40" s="157"/>
    </row>
    <row r="43" spans="1:8">
      <c r="B43" s="73"/>
      <c r="C43" s="73"/>
      <c r="D43" s="73"/>
      <c r="E43" s="73"/>
      <c r="F43" s="73"/>
      <c r="G43" s="73"/>
    </row>
    <row r="44" spans="1:8">
      <c r="A44" s="80"/>
      <c r="B44" s="80"/>
      <c r="C44" s="80"/>
      <c r="D44" s="80"/>
      <c r="E44" s="80"/>
      <c r="F44" s="80"/>
      <c r="G44" s="80"/>
      <c r="H44" s="80"/>
    </row>
    <row r="45" spans="1:8">
      <c r="E45"/>
      <c r="F45"/>
      <c r="G45"/>
    </row>
    <row r="46" spans="1:8">
      <c r="E46"/>
      <c r="F46"/>
      <c r="G46"/>
    </row>
    <row r="47" spans="1:8">
      <c r="E47"/>
      <c r="F47"/>
      <c r="G47"/>
    </row>
    <row r="48" spans="1:8">
      <c r="E48"/>
      <c r="F48"/>
      <c r="G48"/>
    </row>
  </sheetData>
  <sheetProtection password="F817" sheet="1" objects="1" scenarios="1" selectLockedCells="1"/>
  <mergeCells count="24">
    <mergeCell ref="G1:G3"/>
    <mergeCell ref="B7:C8"/>
    <mergeCell ref="B11:C12"/>
    <mergeCell ref="B15:C16"/>
    <mergeCell ref="B19:C20"/>
    <mergeCell ref="E13:G13"/>
    <mergeCell ref="E17:G17"/>
    <mergeCell ref="D15:D16"/>
    <mergeCell ref="D19:D20"/>
    <mergeCell ref="B35:C36"/>
    <mergeCell ref="B5:D5"/>
    <mergeCell ref="E9:G9"/>
    <mergeCell ref="B23:C24"/>
    <mergeCell ref="B26:C27"/>
    <mergeCell ref="B29:C30"/>
    <mergeCell ref="B32:C33"/>
    <mergeCell ref="D7:D8"/>
    <mergeCell ref="D11:D12"/>
    <mergeCell ref="E21:G21"/>
    <mergeCell ref="D35:D36"/>
    <mergeCell ref="D23:D24"/>
    <mergeCell ref="D32:D33"/>
    <mergeCell ref="D29:D30"/>
    <mergeCell ref="D26:D27"/>
  </mergeCells>
  <phoneticPr fontId="2" type="noConversion"/>
  <pageMargins left="0.59055118110236227" right="0.59055118110236227" top="0.39370078740157483" bottom="0.39370078740157483" header="0" footer="0"/>
  <pageSetup paperSize="9" orientation="portrait" horizontalDpi="300" verticalDpi="200" r:id="rId1"/>
  <headerFooter alignWithMargins="0"/>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indexed="22"/>
  </sheetPr>
  <dimension ref="A1:F236"/>
  <sheetViews>
    <sheetView showGridLines="0" topLeftCell="A6" zoomScaleNormal="100" workbookViewId="0">
      <selection activeCell="F7" sqref="F7"/>
    </sheetView>
  </sheetViews>
  <sheetFormatPr defaultColWidth="11.42578125" defaultRowHeight="13.15"/>
  <cols>
    <col min="1" max="1" width="12.85546875" customWidth="1"/>
    <col min="2" max="6" width="14.7109375" customWidth="1"/>
  </cols>
  <sheetData>
    <row r="1" spans="1:6" ht="21">
      <c r="A1" s="309"/>
      <c r="B1" s="309"/>
      <c r="C1" s="309"/>
      <c r="D1" s="309"/>
      <c r="E1" s="309"/>
      <c r="F1" s="309"/>
    </row>
    <row r="2" spans="1:6">
      <c r="A2" s="61"/>
      <c r="B2" s="61"/>
      <c r="C2" s="61"/>
      <c r="D2" s="61"/>
      <c r="E2" s="61"/>
      <c r="F2" s="61"/>
    </row>
    <row r="3" spans="1:6">
      <c r="C3" s="62"/>
      <c r="D3" s="308" t="s">
        <v>453</v>
      </c>
      <c r="E3" s="308"/>
      <c r="F3" s="79">
        <f>'6. PEF2-3. INVERS. Y FINANC.'!$N$14</f>
        <v>25000</v>
      </c>
    </row>
    <row r="4" spans="1:6">
      <c r="C4" s="63"/>
      <c r="D4" s="308" t="s">
        <v>454</v>
      </c>
      <c r="E4" s="308"/>
      <c r="F4" s="63">
        <f>'6.PEF4. AMORTIZACIÓN'!$E$10</f>
        <v>4.4999999999999998E-2</v>
      </c>
    </row>
    <row r="5" spans="1:6">
      <c r="C5" s="90" t="str">
        <f>IF(F5&gt;10,"Máximo 10 años. Sólo calculará los 10 primeros años","")</f>
        <v/>
      </c>
      <c r="D5" s="308" t="s">
        <v>455</v>
      </c>
      <c r="E5" s="308"/>
      <c r="F5" s="74">
        <f>'6.PEF4. AMORTIZACIÓN'!$D$10</f>
        <v>5</v>
      </c>
    </row>
    <row r="6" spans="1:6">
      <c r="C6" s="64"/>
      <c r="D6" s="308" t="s">
        <v>456</v>
      </c>
      <c r="E6" s="308"/>
      <c r="F6" s="160">
        <v>12</v>
      </c>
    </row>
    <row r="7" spans="1:6">
      <c r="C7" s="64"/>
      <c r="D7" s="308" t="s">
        <v>457</v>
      </c>
      <c r="E7" s="308"/>
      <c r="F7" s="161">
        <v>0</v>
      </c>
    </row>
    <row r="8" spans="1:6">
      <c r="A8" s="61"/>
      <c r="B8" s="64"/>
      <c r="C8" s="64"/>
      <c r="D8" s="61"/>
      <c r="E8" s="61"/>
      <c r="F8" s="61"/>
    </row>
    <row r="9" spans="1:6">
      <c r="A9" s="61"/>
      <c r="B9" s="61"/>
      <c r="C9" s="61"/>
      <c r="D9" s="61"/>
      <c r="E9" s="61"/>
      <c r="F9" s="61"/>
    </row>
    <row r="10" spans="1:6" ht="39.6">
      <c r="A10" s="164" t="s">
        <v>458</v>
      </c>
      <c r="B10" s="164" t="s">
        <v>459</v>
      </c>
      <c r="C10" s="164" t="s">
        <v>272</v>
      </c>
      <c r="D10" s="164" t="s">
        <v>460</v>
      </c>
      <c r="E10" s="164" t="s">
        <v>461</v>
      </c>
      <c r="F10" s="164" t="s">
        <v>462</v>
      </c>
    </row>
    <row r="11" spans="1:6">
      <c r="A11" s="65">
        <v>0</v>
      </c>
      <c r="B11" s="75"/>
      <c r="C11" s="75"/>
      <c r="D11" s="75"/>
      <c r="E11" s="75"/>
      <c r="F11" s="75">
        <f>F3</f>
        <v>25000</v>
      </c>
    </row>
    <row r="12" spans="1:6">
      <c r="A12" s="59">
        <f t="shared" ref="A12:A43" si="0">IF(A11&lt;$F$5*$F$6,A11+1,"")</f>
        <v>1</v>
      </c>
      <c r="B12" s="76">
        <f t="shared" ref="B12:B35" si="1">IF(A12="","",-PMT($F$4/$F$6,$F$5*$F$6,$F$3,,$F$7))</f>
        <v>466.07548103791623</v>
      </c>
      <c r="C12" s="76">
        <f t="shared" ref="C12:C35" si="2">IF(A12="","",$F$4/$F$6*F11)</f>
        <v>93.75</v>
      </c>
      <c r="D12" s="76">
        <f t="shared" ref="D12:D35" si="3">IF(A12="","",B12-C12)</f>
        <v>372.32548103791623</v>
      </c>
      <c r="E12" s="76">
        <f>IF(A12="","",D12+E11)</f>
        <v>372.32548103791623</v>
      </c>
      <c r="F12" s="76">
        <f>IF(A12="","",$F$11-E12)</f>
        <v>24627.674518962085</v>
      </c>
    </row>
    <row r="13" spans="1:6">
      <c r="A13" s="59">
        <f t="shared" si="0"/>
        <v>2</v>
      </c>
      <c r="B13" s="76">
        <f t="shared" si="1"/>
        <v>466.07548103791623</v>
      </c>
      <c r="C13" s="76">
        <f t="shared" si="2"/>
        <v>92.353779446107822</v>
      </c>
      <c r="D13" s="76">
        <f t="shared" si="3"/>
        <v>373.72170159180843</v>
      </c>
      <c r="E13" s="76">
        <f t="shared" ref="E13:E34" si="4">IF(A13="","",D13+E12)</f>
        <v>746.0471826297246</v>
      </c>
      <c r="F13" s="76">
        <f t="shared" ref="F13:F35" si="5">IF(A13="","",$F$11-E13)</f>
        <v>24253.952817370275</v>
      </c>
    </row>
    <row r="14" spans="1:6">
      <c r="A14" s="59">
        <f t="shared" si="0"/>
        <v>3</v>
      </c>
      <c r="B14" s="76">
        <f t="shared" si="1"/>
        <v>466.07548103791623</v>
      </c>
      <c r="C14" s="76">
        <f t="shared" si="2"/>
        <v>90.952323065138529</v>
      </c>
      <c r="D14" s="76">
        <f t="shared" si="3"/>
        <v>375.12315797277768</v>
      </c>
      <c r="E14" s="76">
        <f t="shared" si="4"/>
        <v>1121.1703406025022</v>
      </c>
      <c r="F14" s="76">
        <f t="shared" si="5"/>
        <v>23878.829659397499</v>
      </c>
    </row>
    <row r="15" spans="1:6">
      <c r="A15" s="59">
        <f t="shared" si="0"/>
        <v>4</v>
      </c>
      <c r="B15" s="76">
        <f t="shared" si="1"/>
        <v>466.07548103791623</v>
      </c>
      <c r="C15" s="76">
        <f t="shared" si="2"/>
        <v>89.545611222740618</v>
      </c>
      <c r="D15" s="76">
        <f t="shared" si="3"/>
        <v>376.52986981517563</v>
      </c>
      <c r="E15" s="76">
        <f t="shared" si="4"/>
        <v>1497.7002104176777</v>
      </c>
      <c r="F15" s="76">
        <f t="shared" si="5"/>
        <v>23502.299789582321</v>
      </c>
    </row>
    <row r="16" spans="1:6">
      <c r="A16" s="59">
        <f t="shared" si="0"/>
        <v>5</v>
      </c>
      <c r="B16" s="76">
        <f t="shared" si="1"/>
        <v>466.07548103791623</v>
      </c>
      <c r="C16" s="76">
        <f t="shared" si="2"/>
        <v>88.133624210933704</v>
      </c>
      <c r="D16" s="76">
        <f t="shared" si="3"/>
        <v>377.94185682698253</v>
      </c>
      <c r="E16" s="76">
        <f t="shared" si="4"/>
        <v>1875.6420672446602</v>
      </c>
      <c r="F16" s="76">
        <f t="shared" si="5"/>
        <v>23124.357932755338</v>
      </c>
    </row>
    <row r="17" spans="1:6">
      <c r="A17" s="59">
        <f t="shared" si="0"/>
        <v>6</v>
      </c>
      <c r="B17" s="76">
        <f t="shared" si="1"/>
        <v>466.07548103791623</v>
      </c>
      <c r="C17" s="76">
        <f t="shared" si="2"/>
        <v>86.716342247832515</v>
      </c>
      <c r="D17" s="76">
        <f t="shared" si="3"/>
        <v>379.3591387900837</v>
      </c>
      <c r="E17" s="76">
        <f t="shared" si="4"/>
        <v>2255.001206034744</v>
      </c>
      <c r="F17" s="76">
        <f t="shared" si="5"/>
        <v>22744.998793965256</v>
      </c>
    </row>
    <row r="18" spans="1:6">
      <c r="A18" s="59">
        <f t="shared" si="0"/>
        <v>7</v>
      </c>
      <c r="B18" s="76">
        <f t="shared" si="1"/>
        <v>466.07548103791623</v>
      </c>
      <c r="C18" s="76">
        <f t="shared" si="2"/>
        <v>85.293745477369711</v>
      </c>
      <c r="D18" s="76">
        <f t="shared" si="3"/>
        <v>380.78173556054651</v>
      </c>
      <c r="E18" s="76">
        <f t="shared" si="4"/>
        <v>2635.7829415952906</v>
      </c>
      <c r="F18" s="76">
        <f t="shared" si="5"/>
        <v>22364.217058404709</v>
      </c>
    </row>
    <row r="19" spans="1:6">
      <c r="A19" s="59">
        <f t="shared" si="0"/>
        <v>8</v>
      </c>
      <c r="B19" s="76">
        <f t="shared" si="1"/>
        <v>466.07548103791623</v>
      </c>
      <c r="C19" s="76">
        <f t="shared" si="2"/>
        <v>83.865813969017651</v>
      </c>
      <c r="D19" s="76">
        <f t="shared" si="3"/>
        <v>382.20966706889857</v>
      </c>
      <c r="E19" s="76">
        <f t="shared" si="4"/>
        <v>3017.992608664189</v>
      </c>
      <c r="F19" s="76">
        <f t="shared" si="5"/>
        <v>21982.00739133581</v>
      </c>
    </row>
    <row r="20" spans="1:6">
      <c r="A20" s="59">
        <f t="shared" si="0"/>
        <v>9</v>
      </c>
      <c r="B20" s="76">
        <f t="shared" si="1"/>
        <v>466.07548103791623</v>
      </c>
      <c r="C20" s="76">
        <f t="shared" si="2"/>
        <v>82.432527717509288</v>
      </c>
      <c r="D20" s="76">
        <f t="shared" si="3"/>
        <v>383.64295332040695</v>
      </c>
      <c r="E20" s="76">
        <f t="shared" si="4"/>
        <v>3401.6355619845958</v>
      </c>
      <c r="F20" s="76">
        <f t="shared" si="5"/>
        <v>21598.364438015404</v>
      </c>
    </row>
    <row r="21" spans="1:6">
      <c r="A21" s="59">
        <f t="shared" si="0"/>
        <v>10</v>
      </c>
      <c r="B21" s="76">
        <f t="shared" si="1"/>
        <v>466.07548103791623</v>
      </c>
      <c r="C21" s="76">
        <f t="shared" si="2"/>
        <v>80.993866642557762</v>
      </c>
      <c r="D21" s="76">
        <f t="shared" si="3"/>
        <v>385.08161439535849</v>
      </c>
      <c r="E21" s="76">
        <f t="shared" si="4"/>
        <v>3786.7171763799543</v>
      </c>
      <c r="F21" s="76">
        <f t="shared" si="5"/>
        <v>21213.282823620044</v>
      </c>
    </row>
    <row r="22" spans="1:6">
      <c r="A22" s="59">
        <f t="shared" si="0"/>
        <v>11</v>
      </c>
      <c r="B22" s="76">
        <f t="shared" si="1"/>
        <v>466.07548103791623</v>
      </c>
      <c r="C22" s="76">
        <f t="shared" si="2"/>
        <v>79.549810588575156</v>
      </c>
      <c r="D22" s="76">
        <f t="shared" si="3"/>
        <v>386.52567044934108</v>
      </c>
      <c r="E22" s="76">
        <f t="shared" si="4"/>
        <v>4173.2428468292956</v>
      </c>
      <c r="F22" s="76">
        <f t="shared" si="5"/>
        <v>20826.757153170704</v>
      </c>
    </row>
    <row r="23" spans="1:6">
      <c r="A23" s="59">
        <f t="shared" si="0"/>
        <v>12</v>
      </c>
      <c r="B23" s="77">
        <f t="shared" si="1"/>
        <v>466.07548103791623</v>
      </c>
      <c r="C23" s="77">
        <f t="shared" si="2"/>
        <v>78.100339324390134</v>
      </c>
      <c r="D23" s="77">
        <f t="shared" si="3"/>
        <v>387.97514171352611</v>
      </c>
      <c r="E23" s="77">
        <f t="shared" si="4"/>
        <v>4561.2179885428213</v>
      </c>
      <c r="F23" s="77">
        <f t="shared" si="5"/>
        <v>20438.78201145718</v>
      </c>
    </row>
    <row r="24" spans="1:6">
      <c r="A24" s="59">
        <f t="shared" si="0"/>
        <v>13</v>
      </c>
      <c r="B24" s="76">
        <f t="shared" si="1"/>
        <v>466.07548103791623</v>
      </c>
      <c r="C24" s="76">
        <f t="shared" si="2"/>
        <v>76.645432542964429</v>
      </c>
      <c r="D24" s="76">
        <f t="shared" si="3"/>
        <v>389.43004849495179</v>
      </c>
      <c r="E24" s="76">
        <f t="shared" si="4"/>
        <v>4950.6480370377731</v>
      </c>
      <c r="F24" s="76">
        <f t="shared" si="5"/>
        <v>20049.351962962228</v>
      </c>
    </row>
    <row r="25" spans="1:6">
      <c r="A25" s="59">
        <f t="shared" si="0"/>
        <v>14</v>
      </c>
      <c r="B25" s="76">
        <f t="shared" si="1"/>
        <v>466.07548103791623</v>
      </c>
      <c r="C25" s="76">
        <f t="shared" si="2"/>
        <v>75.185069861108346</v>
      </c>
      <c r="D25" s="76">
        <f t="shared" si="3"/>
        <v>390.8904111768079</v>
      </c>
      <c r="E25" s="76">
        <f t="shared" si="4"/>
        <v>5341.538448214581</v>
      </c>
      <c r="F25" s="76">
        <f t="shared" si="5"/>
        <v>19658.461551785418</v>
      </c>
    </row>
    <row r="26" spans="1:6">
      <c r="A26" s="59">
        <f t="shared" si="0"/>
        <v>15</v>
      </c>
      <c r="B26" s="76">
        <f t="shared" si="1"/>
        <v>466.07548103791623</v>
      </c>
      <c r="C26" s="76">
        <f t="shared" si="2"/>
        <v>73.719230819195317</v>
      </c>
      <c r="D26" s="76">
        <f t="shared" si="3"/>
        <v>392.3562502187209</v>
      </c>
      <c r="E26" s="76">
        <f t="shared" si="4"/>
        <v>5733.8946984333015</v>
      </c>
      <c r="F26" s="76">
        <f t="shared" si="5"/>
        <v>19266.105301566698</v>
      </c>
    </row>
    <row r="27" spans="1:6">
      <c r="A27" s="59">
        <f t="shared" si="0"/>
        <v>16</v>
      </c>
      <c r="B27" s="76">
        <f t="shared" si="1"/>
        <v>466.07548103791623</v>
      </c>
      <c r="C27" s="76">
        <f t="shared" si="2"/>
        <v>72.247894880875123</v>
      </c>
      <c r="D27" s="76">
        <f t="shared" si="3"/>
        <v>393.82758615704108</v>
      </c>
      <c r="E27" s="76">
        <f t="shared" si="4"/>
        <v>6127.7222845903425</v>
      </c>
      <c r="F27" s="76">
        <f t="shared" si="5"/>
        <v>18872.277715409658</v>
      </c>
    </row>
    <row r="28" spans="1:6">
      <c r="A28" s="59">
        <f t="shared" si="0"/>
        <v>17</v>
      </c>
      <c r="B28" s="76">
        <f t="shared" si="1"/>
        <v>466.07548103791623</v>
      </c>
      <c r="C28" s="76">
        <f t="shared" si="2"/>
        <v>70.77104143278622</v>
      </c>
      <c r="D28" s="76">
        <f t="shared" si="3"/>
        <v>395.30443960513003</v>
      </c>
      <c r="E28" s="76">
        <f t="shared" si="4"/>
        <v>6523.0267241954725</v>
      </c>
      <c r="F28" s="76">
        <f t="shared" si="5"/>
        <v>18476.973275804528</v>
      </c>
    </row>
    <row r="29" spans="1:6">
      <c r="A29" s="59">
        <f t="shared" si="0"/>
        <v>18</v>
      </c>
      <c r="B29" s="76">
        <f t="shared" si="1"/>
        <v>466.07548103791623</v>
      </c>
      <c r="C29" s="76">
        <f t="shared" si="2"/>
        <v>69.28864978426698</v>
      </c>
      <c r="D29" s="76">
        <f t="shared" si="3"/>
        <v>396.78683125364927</v>
      </c>
      <c r="E29" s="76">
        <f t="shared" si="4"/>
        <v>6919.8135554491218</v>
      </c>
      <c r="F29" s="76">
        <f t="shared" si="5"/>
        <v>18080.186444550876</v>
      </c>
    </row>
    <row r="30" spans="1:6">
      <c r="A30" s="59">
        <f t="shared" si="0"/>
        <v>19</v>
      </c>
      <c r="B30" s="76">
        <f t="shared" si="1"/>
        <v>466.07548103791623</v>
      </c>
      <c r="C30" s="76">
        <f t="shared" si="2"/>
        <v>67.800699167065787</v>
      </c>
      <c r="D30" s="76">
        <f t="shared" si="3"/>
        <v>398.27478187085046</v>
      </c>
      <c r="E30" s="76">
        <f t="shared" si="4"/>
        <v>7318.0883373199722</v>
      </c>
      <c r="F30" s="76">
        <f t="shared" si="5"/>
        <v>17681.911662680028</v>
      </c>
    </row>
    <row r="31" spans="1:6">
      <c r="A31" s="59">
        <f t="shared" si="0"/>
        <v>20</v>
      </c>
      <c r="B31" s="76">
        <f t="shared" si="1"/>
        <v>466.07548103791623</v>
      </c>
      <c r="C31" s="76">
        <f t="shared" si="2"/>
        <v>66.307168735050098</v>
      </c>
      <c r="D31" s="76">
        <f t="shared" si="3"/>
        <v>399.76831230286615</v>
      </c>
      <c r="E31" s="76">
        <f t="shared" si="4"/>
        <v>7717.8566496228386</v>
      </c>
      <c r="F31" s="76">
        <f t="shared" si="5"/>
        <v>17282.143350377162</v>
      </c>
    </row>
    <row r="32" spans="1:6">
      <c r="A32" s="59">
        <f t="shared" si="0"/>
        <v>21</v>
      </c>
      <c r="B32" s="76">
        <f t="shared" si="1"/>
        <v>466.07548103791623</v>
      </c>
      <c r="C32" s="76">
        <f t="shared" si="2"/>
        <v>64.808037563914354</v>
      </c>
      <c r="D32" s="76">
        <f t="shared" si="3"/>
        <v>401.26744347400188</v>
      </c>
      <c r="E32" s="76">
        <f t="shared" si="4"/>
        <v>8119.1240930968406</v>
      </c>
      <c r="F32" s="76">
        <f t="shared" si="5"/>
        <v>16880.875906903158</v>
      </c>
    </row>
    <row r="33" spans="1:6">
      <c r="A33" s="59">
        <f t="shared" si="0"/>
        <v>22</v>
      </c>
      <c r="B33" s="76">
        <f t="shared" si="1"/>
        <v>466.07548103791623</v>
      </c>
      <c r="C33" s="76">
        <f t="shared" si="2"/>
        <v>63.303284650886845</v>
      </c>
      <c r="D33" s="76">
        <f t="shared" si="3"/>
        <v>402.7721963870294</v>
      </c>
      <c r="E33" s="76">
        <f t="shared" si="4"/>
        <v>8521.8962894838696</v>
      </c>
      <c r="F33" s="76">
        <f t="shared" si="5"/>
        <v>16478.10371051613</v>
      </c>
    </row>
    <row r="34" spans="1:6">
      <c r="A34" s="59">
        <f t="shared" si="0"/>
        <v>23</v>
      </c>
      <c r="B34" s="76">
        <f t="shared" si="1"/>
        <v>466.07548103791623</v>
      </c>
      <c r="C34" s="76">
        <f t="shared" si="2"/>
        <v>61.792888914435487</v>
      </c>
      <c r="D34" s="76">
        <f t="shared" si="3"/>
        <v>404.28259212348075</v>
      </c>
      <c r="E34" s="76">
        <f t="shared" si="4"/>
        <v>8926.1788816073495</v>
      </c>
      <c r="F34" s="76">
        <f t="shared" si="5"/>
        <v>16073.821118392651</v>
      </c>
    </row>
    <row r="35" spans="1:6">
      <c r="A35" s="59">
        <f t="shared" si="0"/>
        <v>24</v>
      </c>
      <c r="B35" s="77">
        <f t="shared" si="1"/>
        <v>466.07548103791623</v>
      </c>
      <c r="C35" s="77">
        <f t="shared" si="2"/>
        <v>60.276829193972439</v>
      </c>
      <c r="D35" s="77">
        <f t="shared" si="3"/>
        <v>405.79865184394379</v>
      </c>
      <c r="E35" s="77">
        <f>IF(A35="","",D35+E34)</f>
        <v>9331.9775334512924</v>
      </c>
      <c r="F35" s="77">
        <f t="shared" si="5"/>
        <v>15668.022466548708</v>
      </c>
    </row>
    <row r="36" spans="1:6">
      <c r="A36" s="59">
        <f t="shared" si="0"/>
        <v>25</v>
      </c>
      <c r="B36" s="76">
        <f t="shared" ref="B36:B67" si="6">IF(A36&lt;=$F$5*$F$6,-PMT($F$4/$F$6,$F$5*$F$6,$F$3,,$F$7),"")</f>
        <v>466.07548103791623</v>
      </c>
      <c r="C36" s="76">
        <f t="shared" ref="C36:C67" si="7">IF(A36&lt;=$F$5*$F$6,-IPMT($F$4/$F$6,A36,$F$5*$F$6,$F$3,,$F$7),"")</f>
        <v>58.755084249557648</v>
      </c>
      <c r="D36" s="76">
        <f t="shared" ref="D36:D67" si="8">IF(A36&lt;=$F$5*$F$6,-PPMT($F$4/$F$6,A36,$F$5*$F$6,$F$3,,$F$7),"")</f>
        <v>407.32039678835855</v>
      </c>
      <c r="E36" s="76">
        <f>IF(A36&lt;=$F$5*$F$6,SUM($D$12:D36),"")</f>
        <v>9739.2979302396507</v>
      </c>
      <c r="F36" s="76">
        <f t="shared" ref="F36:F67" si="9">IF(A36&lt;=$F$5*$F$6,$F$3-E36,"")</f>
        <v>15260.702069760349</v>
      </c>
    </row>
    <row r="37" spans="1:6">
      <c r="A37" s="59">
        <f t="shared" si="0"/>
        <v>26</v>
      </c>
      <c r="B37" s="76">
        <f t="shared" si="6"/>
        <v>466.07548103791623</v>
      </c>
      <c r="C37" s="76">
        <f t="shared" si="7"/>
        <v>57.227632761601299</v>
      </c>
      <c r="D37" s="76">
        <f t="shared" si="8"/>
        <v>408.84784827631495</v>
      </c>
      <c r="E37" s="76">
        <f>IF(A37&lt;=$F$5*$F$6,SUM($D$12:D37),"")</f>
        <v>10148.145778515966</v>
      </c>
      <c r="F37" s="76">
        <f t="shared" si="9"/>
        <v>14851.854221484034</v>
      </c>
    </row>
    <row r="38" spans="1:6">
      <c r="A38" s="59">
        <f t="shared" si="0"/>
        <v>27</v>
      </c>
      <c r="B38" s="76">
        <f t="shared" si="6"/>
        <v>466.07548103791623</v>
      </c>
      <c r="C38" s="76">
        <f t="shared" si="7"/>
        <v>55.694453330565118</v>
      </c>
      <c r="D38" s="76">
        <f t="shared" si="8"/>
        <v>410.38102770735105</v>
      </c>
      <c r="E38" s="76">
        <f>IF(A38&lt;=$F$5*$F$6,SUM($D$12:D38),"")</f>
        <v>10558.526806223317</v>
      </c>
      <c r="F38" s="76">
        <f t="shared" si="9"/>
        <v>14441.473193776683</v>
      </c>
    </row>
    <row r="39" spans="1:6">
      <c r="A39" s="59">
        <f t="shared" si="0"/>
        <v>28</v>
      </c>
      <c r="B39" s="76">
        <f t="shared" si="6"/>
        <v>466.07548103791623</v>
      </c>
      <c r="C39" s="76">
        <f t="shared" si="7"/>
        <v>54.155524476662549</v>
      </c>
      <c r="D39" s="76">
        <f t="shared" si="8"/>
        <v>411.91995656125368</v>
      </c>
      <c r="E39" s="76">
        <f>IF(A39&lt;=$F$5*$F$6,SUM($D$12:D39),"")</f>
        <v>10970.446762784572</v>
      </c>
      <c r="F39" s="76">
        <f t="shared" si="9"/>
        <v>14029.553237215428</v>
      </c>
    </row>
    <row r="40" spans="1:6">
      <c r="A40" s="59">
        <f t="shared" si="0"/>
        <v>29</v>
      </c>
      <c r="B40" s="76">
        <f t="shared" si="6"/>
        <v>466.07548103791623</v>
      </c>
      <c r="C40" s="76">
        <f t="shared" si="7"/>
        <v>52.610824639557848</v>
      </c>
      <c r="D40" s="76">
        <f t="shared" si="8"/>
        <v>413.46465639835839</v>
      </c>
      <c r="E40" s="76">
        <f>IF(A40&lt;=$F$5*$F$6,SUM($D$12:D40),"")</f>
        <v>11383.91141918293</v>
      </c>
      <c r="F40" s="76">
        <f t="shared" si="9"/>
        <v>13616.08858081707</v>
      </c>
    </row>
    <row r="41" spans="1:6">
      <c r="A41" s="59">
        <f t="shared" si="0"/>
        <v>30</v>
      </c>
      <c r="B41" s="76">
        <f t="shared" si="6"/>
        <v>466.07548103791623</v>
      </c>
      <c r="C41" s="76">
        <f t="shared" si="7"/>
        <v>51.060332178064002</v>
      </c>
      <c r="D41" s="76">
        <f t="shared" si="8"/>
        <v>415.01514885985222</v>
      </c>
      <c r="E41" s="76">
        <f>IF(A41&lt;=$F$5*$F$6,SUM($D$12:D41),"")</f>
        <v>11798.926568042783</v>
      </c>
      <c r="F41" s="76">
        <f t="shared" si="9"/>
        <v>13201.073431957217</v>
      </c>
    </row>
    <row r="42" spans="1:6">
      <c r="A42" s="59">
        <f t="shared" si="0"/>
        <v>31</v>
      </c>
      <c r="B42" s="76">
        <f t="shared" si="6"/>
        <v>466.07548103791623</v>
      </c>
      <c r="C42" s="76">
        <f t="shared" si="7"/>
        <v>49.504025369839553</v>
      </c>
      <c r="D42" s="76">
        <f t="shared" si="8"/>
        <v>416.57145566807662</v>
      </c>
      <c r="E42" s="76">
        <f>IF(A42&lt;=$F$5*$F$6,SUM($D$12:D42),"")</f>
        <v>12215.498023710859</v>
      </c>
      <c r="F42" s="76">
        <f t="shared" si="9"/>
        <v>12784.501976289141</v>
      </c>
    </row>
    <row r="43" spans="1:6">
      <c r="A43" s="59">
        <f t="shared" si="0"/>
        <v>32</v>
      </c>
      <c r="B43" s="76">
        <f t="shared" si="6"/>
        <v>466.07548103791623</v>
      </c>
      <c r="C43" s="76">
        <f t="shared" si="7"/>
        <v>47.941882411084272</v>
      </c>
      <c r="D43" s="76">
        <f t="shared" si="8"/>
        <v>418.13359862683194</v>
      </c>
      <c r="E43" s="76">
        <f>IF(A43&lt;=$F$5*$F$6,SUM($D$12:D43),"")</f>
        <v>12633.631622337691</v>
      </c>
      <c r="F43" s="76">
        <f t="shared" si="9"/>
        <v>12366.368377662309</v>
      </c>
    </row>
    <row r="44" spans="1:6">
      <c r="A44" s="59">
        <f t="shared" ref="A44:A75" si="10">IF(A43&lt;$F$5*$F$6,A43+1,"")</f>
        <v>33</v>
      </c>
      <c r="B44" s="76">
        <f t="shared" si="6"/>
        <v>466.07548103791623</v>
      </c>
      <c r="C44" s="76">
        <f t="shared" si="7"/>
        <v>46.373881416233644</v>
      </c>
      <c r="D44" s="76">
        <f t="shared" si="8"/>
        <v>419.70159962168259</v>
      </c>
      <c r="E44" s="76">
        <f>IF(A44&lt;=$F$5*$F$6,SUM($D$12:D44),"")</f>
        <v>13053.333221959374</v>
      </c>
      <c r="F44" s="76">
        <f t="shared" si="9"/>
        <v>11946.666778040626</v>
      </c>
    </row>
    <row r="45" spans="1:6">
      <c r="A45" s="59">
        <f t="shared" si="10"/>
        <v>34</v>
      </c>
      <c r="B45" s="76">
        <f t="shared" si="6"/>
        <v>466.07548103791623</v>
      </c>
      <c r="C45" s="76">
        <f t="shared" si="7"/>
        <v>44.800000417652335</v>
      </c>
      <c r="D45" s="76">
        <f t="shared" si="8"/>
        <v>421.27548062026386</v>
      </c>
      <c r="E45" s="76">
        <f>IF(A45&lt;=$F$5*$F$6,SUM($D$12:D45),"")</f>
        <v>13474.608702579639</v>
      </c>
      <c r="F45" s="76">
        <f t="shared" si="9"/>
        <v>11525.391297420361</v>
      </c>
    </row>
    <row r="46" spans="1:6">
      <c r="A46" s="59">
        <f t="shared" si="10"/>
        <v>35</v>
      </c>
      <c r="B46" s="76">
        <f t="shared" si="6"/>
        <v>466.07548103791623</v>
      </c>
      <c r="C46" s="76">
        <f t="shared" si="7"/>
        <v>43.220217365326356</v>
      </c>
      <c r="D46" s="76">
        <f t="shared" si="8"/>
        <v>422.8552636725899</v>
      </c>
      <c r="E46" s="76">
        <f>IF(A46&lt;=$F$5*$F$6,SUM($D$12:D46),"")</f>
        <v>13897.463966252228</v>
      </c>
      <c r="F46" s="76">
        <f t="shared" si="9"/>
        <v>11102.536033747772</v>
      </c>
    </row>
    <row r="47" spans="1:6">
      <c r="A47" s="59">
        <f t="shared" si="10"/>
        <v>36</v>
      </c>
      <c r="B47" s="77">
        <f t="shared" si="6"/>
        <v>466.07548103791623</v>
      </c>
      <c r="C47" s="77">
        <f t="shared" si="7"/>
        <v>41.63451012655414</v>
      </c>
      <c r="D47" s="77">
        <f t="shared" si="8"/>
        <v>424.44097091136206</v>
      </c>
      <c r="E47" s="77">
        <f>IF(A47&lt;=$F$5*$F$6,SUM($D$12:D47),"")</f>
        <v>14321.90493716359</v>
      </c>
      <c r="F47" s="77">
        <f t="shared" si="9"/>
        <v>10678.09506283641</v>
      </c>
    </row>
    <row r="48" spans="1:6">
      <c r="A48" s="59">
        <f t="shared" si="10"/>
        <v>37</v>
      </c>
      <c r="B48" s="76">
        <f t="shared" si="6"/>
        <v>466.07548103791623</v>
      </c>
      <c r="C48" s="76">
        <f t="shared" si="7"/>
        <v>40.042856485636534</v>
      </c>
      <c r="D48" s="76">
        <f t="shared" si="8"/>
        <v>426.03262455227969</v>
      </c>
      <c r="E48" s="76">
        <f>IF(A48&lt;=$F$5*$F$6,SUM($D$12:D48),"")</f>
        <v>14747.937561715869</v>
      </c>
      <c r="F48" s="76">
        <f t="shared" si="9"/>
        <v>10252.062438284131</v>
      </c>
    </row>
    <row r="49" spans="1:6">
      <c r="A49" s="59">
        <f t="shared" si="10"/>
        <v>38</v>
      </c>
      <c r="B49" s="76">
        <f t="shared" si="6"/>
        <v>466.07548103791623</v>
      </c>
      <c r="C49" s="76">
        <f t="shared" si="7"/>
        <v>38.445234143565486</v>
      </c>
      <c r="D49" s="76">
        <f t="shared" si="8"/>
        <v>427.63024689435076</v>
      </c>
      <c r="E49" s="76">
        <f>IF(A49&lt;=$F$5*$F$6,SUM($D$12:D49),"")</f>
        <v>15175.56780861022</v>
      </c>
      <c r="F49" s="76">
        <f t="shared" si="9"/>
        <v>9824.4321913897802</v>
      </c>
    </row>
    <row r="50" spans="1:6">
      <c r="A50" s="59">
        <f t="shared" si="10"/>
        <v>39</v>
      </c>
      <c r="B50" s="76">
        <f t="shared" si="6"/>
        <v>466.07548103791623</v>
      </c>
      <c r="C50" s="76">
        <f t="shared" si="7"/>
        <v>36.841620717711677</v>
      </c>
      <c r="D50" s="76">
        <f t="shared" si="8"/>
        <v>429.23386032020454</v>
      </c>
      <c r="E50" s="76">
        <f>IF(A50&lt;=$F$5*$F$6,SUM($D$12:D50),"")</f>
        <v>15604.801668930424</v>
      </c>
      <c r="F50" s="76">
        <f t="shared" si="9"/>
        <v>9395.1983310695759</v>
      </c>
    </row>
    <row r="51" spans="1:6">
      <c r="A51" s="59">
        <f t="shared" si="10"/>
        <v>40</v>
      </c>
      <c r="B51" s="76">
        <f t="shared" si="6"/>
        <v>466.07548103791623</v>
      </c>
      <c r="C51" s="76">
        <f t="shared" si="7"/>
        <v>35.231993741510905</v>
      </c>
      <c r="D51" s="76">
        <f t="shared" si="8"/>
        <v>430.84348729640533</v>
      </c>
      <c r="E51" s="76">
        <f>IF(A51&lt;=$F$5*$F$6,SUM($D$12:D51),"")</f>
        <v>16035.64515622683</v>
      </c>
      <c r="F51" s="76">
        <f t="shared" si="9"/>
        <v>8964.3548437731697</v>
      </c>
    </row>
    <row r="52" spans="1:6">
      <c r="A52" s="59">
        <f t="shared" si="10"/>
        <v>41</v>
      </c>
      <c r="B52" s="76">
        <f t="shared" si="6"/>
        <v>466.07548103791623</v>
      </c>
      <c r="C52" s="76">
        <f t="shared" si="7"/>
        <v>33.616330664149388</v>
      </c>
      <c r="D52" s="76">
        <f t="shared" si="8"/>
        <v>432.45915037376682</v>
      </c>
      <c r="E52" s="76">
        <f>IF(A52&lt;=$F$5*$F$6,SUM($D$12:D52),"")</f>
        <v>16468.104306600599</v>
      </c>
      <c r="F52" s="76">
        <f t="shared" si="9"/>
        <v>8531.8956933994014</v>
      </c>
    </row>
    <row r="53" spans="1:6">
      <c r="A53" s="59">
        <f t="shared" si="10"/>
        <v>42</v>
      </c>
      <c r="B53" s="76">
        <f t="shared" si="6"/>
        <v>466.07548103791623</v>
      </c>
      <c r="C53" s="76">
        <f t="shared" si="7"/>
        <v>31.994608850247761</v>
      </c>
      <c r="D53" s="76">
        <f t="shared" si="8"/>
        <v>434.08087218766843</v>
      </c>
      <c r="E53" s="76">
        <f>IF(A53&lt;=$F$5*$F$6,SUM($D$12:D53),"")</f>
        <v>16902.185178788266</v>
      </c>
      <c r="F53" s="76">
        <f t="shared" si="9"/>
        <v>8097.8148212117339</v>
      </c>
    </row>
    <row r="54" spans="1:6">
      <c r="A54" s="59">
        <f t="shared" si="10"/>
        <v>43</v>
      </c>
      <c r="B54" s="76">
        <f t="shared" si="6"/>
        <v>466.07548103791623</v>
      </c>
      <c r="C54" s="76">
        <f t="shared" si="7"/>
        <v>30.366805579543996</v>
      </c>
      <c r="D54" s="76">
        <f t="shared" si="8"/>
        <v>435.70867545837223</v>
      </c>
      <c r="E54" s="76">
        <f>IF(A54&lt;=$F$5*$F$6,SUM($D$12:D54),"")</f>
        <v>17337.893854246639</v>
      </c>
      <c r="F54" s="76">
        <f t="shared" si="9"/>
        <v>7662.1061457533615</v>
      </c>
    </row>
    <row r="55" spans="1:6">
      <c r="A55" s="59">
        <f t="shared" si="10"/>
        <v>44</v>
      </c>
      <c r="B55" s="76">
        <f t="shared" si="6"/>
        <v>466.07548103791623</v>
      </c>
      <c r="C55" s="76">
        <f t="shared" si="7"/>
        <v>28.732898046575109</v>
      </c>
      <c r="D55" s="76">
        <f t="shared" si="8"/>
        <v>437.34258299134109</v>
      </c>
      <c r="E55" s="76">
        <f>IF(A55&lt;=$F$5*$F$6,SUM($D$12:D55),"")</f>
        <v>17775.236437237978</v>
      </c>
      <c r="F55" s="76">
        <f t="shared" si="9"/>
        <v>7224.763562762022</v>
      </c>
    </row>
    <row r="56" spans="1:6">
      <c r="A56" s="59">
        <f t="shared" si="10"/>
        <v>45</v>
      </c>
      <c r="B56" s="76">
        <f t="shared" si="6"/>
        <v>466.07548103791623</v>
      </c>
      <c r="C56" s="76">
        <f t="shared" si="7"/>
        <v>27.092863360357576</v>
      </c>
      <c r="D56" s="76">
        <f t="shared" si="8"/>
        <v>438.98261767755866</v>
      </c>
      <c r="E56" s="76">
        <f>IF(A56&lt;=$F$5*$F$6,SUM($D$12:D56),"")</f>
        <v>18214.219054915535</v>
      </c>
      <c r="F56" s="76">
        <f t="shared" si="9"/>
        <v>6785.7809450844652</v>
      </c>
    </row>
    <row r="57" spans="1:6">
      <c r="A57" s="59">
        <f t="shared" si="10"/>
        <v>46</v>
      </c>
      <c r="B57" s="76">
        <f t="shared" si="6"/>
        <v>466.07548103791623</v>
      </c>
      <c r="C57" s="76">
        <f t="shared" si="7"/>
        <v>25.446678544066732</v>
      </c>
      <c r="D57" s="76">
        <f t="shared" si="8"/>
        <v>440.62880249384949</v>
      </c>
      <c r="E57" s="76">
        <f>IF(A57&lt;=$F$5*$F$6,SUM($D$12:D57),"")</f>
        <v>18654.847857409386</v>
      </c>
      <c r="F57" s="76">
        <f t="shared" si="9"/>
        <v>6345.1521425906139</v>
      </c>
    </row>
    <row r="58" spans="1:6">
      <c r="A58" s="59">
        <f t="shared" si="10"/>
        <v>47</v>
      </c>
      <c r="B58" s="76">
        <f t="shared" si="6"/>
        <v>466.07548103791623</v>
      </c>
      <c r="C58" s="76">
        <f t="shared" si="7"/>
        <v>23.794320534714796</v>
      </c>
      <c r="D58" s="76">
        <f t="shared" si="8"/>
        <v>442.28116050320142</v>
      </c>
      <c r="E58" s="76">
        <f>IF(A58&lt;=$F$5*$F$6,SUM($D$12:D58),"")</f>
        <v>19097.129017912586</v>
      </c>
      <c r="F58" s="76">
        <f t="shared" si="9"/>
        <v>5902.8709820874137</v>
      </c>
    </row>
    <row r="59" spans="1:6">
      <c r="A59" s="59">
        <f t="shared" si="10"/>
        <v>48</v>
      </c>
      <c r="B59" s="76">
        <f t="shared" si="6"/>
        <v>466.07548103791623</v>
      </c>
      <c r="C59" s="76">
        <f t="shared" si="7"/>
        <v>22.135766182827794</v>
      </c>
      <c r="D59" s="76">
        <f t="shared" si="8"/>
        <v>443.93971485508837</v>
      </c>
      <c r="E59" s="76">
        <f>IF(A59&lt;=$F$5*$F$6,SUM($D$12:D59),"")</f>
        <v>19541.068732767675</v>
      </c>
      <c r="F59" s="76">
        <f t="shared" si="9"/>
        <v>5458.9312672323249</v>
      </c>
    </row>
    <row r="60" spans="1:6">
      <c r="A60" s="59">
        <f t="shared" si="10"/>
        <v>49</v>
      </c>
      <c r="B60" s="76">
        <f t="shared" si="6"/>
        <v>466.07548103791623</v>
      </c>
      <c r="C60" s="76">
        <f t="shared" si="7"/>
        <v>20.470992252121206</v>
      </c>
      <c r="D60" s="76">
        <f t="shared" si="8"/>
        <v>445.60448878579501</v>
      </c>
      <c r="E60" s="76">
        <f>IF(A60&lt;=$F$5*$F$6,SUM($D$12:D60),"")</f>
        <v>19986.673221553468</v>
      </c>
      <c r="F60" s="76">
        <f t="shared" si="9"/>
        <v>5013.3267784465315</v>
      </c>
    </row>
    <row r="61" spans="1:6">
      <c r="A61" s="59">
        <f t="shared" si="10"/>
        <v>50</v>
      </c>
      <c r="B61" s="76">
        <f t="shared" si="6"/>
        <v>466.07548103791623</v>
      </c>
      <c r="C61" s="76">
        <f t="shared" si="7"/>
        <v>18.799975419174476</v>
      </c>
      <c r="D61" s="76">
        <f t="shared" si="8"/>
        <v>447.27550561874176</v>
      </c>
      <c r="E61" s="76">
        <f>IF(A61&lt;=$F$5*$F$6,SUM($D$12:D61),"")</f>
        <v>20433.94872717221</v>
      </c>
      <c r="F61" s="76">
        <f t="shared" si="9"/>
        <v>4566.0512728277899</v>
      </c>
    </row>
    <row r="62" spans="1:6">
      <c r="A62" s="59">
        <f t="shared" si="10"/>
        <v>51</v>
      </c>
      <c r="B62" s="76">
        <f t="shared" si="6"/>
        <v>466.07548103791623</v>
      </c>
      <c r="C62" s="76">
        <f t="shared" si="7"/>
        <v>17.1226922731042</v>
      </c>
      <c r="D62" s="76">
        <f t="shared" si="8"/>
        <v>448.95278876481206</v>
      </c>
      <c r="E62" s="76">
        <f>IF(A62&lt;=$F$5*$F$6,SUM($D$12:D62),"")</f>
        <v>20882.901515937021</v>
      </c>
      <c r="F62" s="76">
        <f t="shared" si="9"/>
        <v>4117.098484062979</v>
      </c>
    </row>
    <row r="63" spans="1:6">
      <c r="A63" s="59">
        <f t="shared" si="10"/>
        <v>52</v>
      </c>
      <c r="B63" s="76">
        <f t="shared" si="6"/>
        <v>466.07548103791623</v>
      </c>
      <c r="C63" s="76">
        <f t="shared" si="7"/>
        <v>15.43911931523615</v>
      </c>
      <c r="D63" s="76">
        <f t="shared" si="8"/>
        <v>450.63636172268008</v>
      </c>
      <c r="E63" s="76">
        <f>IF(A63&lt;=$F$5*$F$6,SUM($D$12:D63),"")</f>
        <v>21333.537877659703</v>
      </c>
      <c r="F63" s="76">
        <f t="shared" si="9"/>
        <v>3666.4621223402974</v>
      </c>
    </row>
    <row r="64" spans="1:6">
      <c r="A64" s="59">
        <f t="shared" si="10"/>
        <v>53</v>
      </c>
      <c r="B64" s="76">
        <f t="shared" si="6"/>
        <v>466.07548103791623</v>
      </c>
      <c r="C64" s="76">
        <f t="shared" si="7"/>
        <v>13.749232958776103</v>
      </c>
      <c r="D64" s="76">
        <f t="shared" si="8"/>
        <v>452.3262480791401</v>
      </c>
      <c r="E64" s="76">
        <f>IF(A64&lt;=$F$5*$F$6,SUM($D$12:D64),"")</f>
        <v>21785.864125738844</v>
      </c>
      <c r="F64" s="76">
        <f t="shared" si="9"/>
        <v>3214.1358742611555</v>
      </c>
    </row>
    <row r="65" spans="1:6">
      <c r="A65" s="59">
        <f t="shared" si="10"/>
        <v>54</v>
      </c>
      <c r="B65" s="76">
        <f t="shared" si="6"/>
        <v>466.07548103791623</v>
      </c>
      <c r="C65" s="76">
        <f t="shared" si="7"/>
        <v>12.053009528479327</v>
      </c>
      <c r="D65" s="76">
        <f t="shared" si="8"/>
        <v>454.02247150943685</v>
      </c>
      <c r="E65" s="76">
        <f>IF(A65&lt;=$F$5*$F$6,SUM($D$12:D65),"")</f>
        <v>22239.886597248282</v>
      </c>
      <c r="F65" s="76">
        <f t="shared" si="9"/>
        <v>2760.1134027517182</v>
      </c>
    </row>
    <row r="66" spans="1:6">
      <c r="A66" s="59">
        <f t="shared" si="10"/>
        <v>55</v>
      </c>
      <c r="B66" s="76">
        <f t="shared" si="6"/>
        <v>466.07548103791623</v>
      </c>
      <c r="C66" s="76">
        <f t="shared" si="7"/>
        <v>10.350425260318939</v>
      </c>
      <c r="D66" s="76">
        <f t="shared" si="8"/>
        <v>455.72505577759728</v>
      </c>
      <c r="E66" s="76">
        <f>IF(A66&lt;=$F$5*$F$6,SUM($D$12:D66),"")</f>
        <v>22695.611653025881</v>
      </c>
      <c r="F66" s="76">
        <f t="shared" si="9"/>
        <v>2304.3883469741195</v>
      </c>
    </row>
    <row r="67" spans="1:6">
      <c r="A67" s="59">
        <f t="shared" si="10"/>
        <v>56</v>
      </c>
      <c r="B67" s="76">
        <f t="shared" si="6"/>
        <v>466.07548103791623</v>
      </c>
      <c r="C67" s="76">
        <f t="shared" si="7"/>
        <v>8.6414563011529495</v>
      </c>
      <c r="D67" s="76">
        <f t="shared" si="8"/>
        <v>457.43402473676326</v>
      </c>
      <c r="E67" s="76">
        <f>IF(A67&lt;=$F$5*$F$6,SUM($D$12:D67),"")</f>
        <v>23153.045677762642</v>
      </c>
      <c r="F67" s="76">
        <f t="shared" si="9"/>
        <v>1846.9543222373577</v>
      </c>
    </row>
    <row r="68" spans="1:6">
      <c r="A68" s="59">
        <f t="shared" si="10"/>
        <v>57</v>
      </c>
      <c r="B68" s="76">
        <f t="shared" ref="B68:B99" si="11">IF(A68&lt;=$F$5*$F$6,-PMT($F$4/$F$6,$F$5*$F$6,$F$3,,$F$7),"")</f>
        <v>466.07548103791623</v>
      </c>
      <c r="C68" s="76">
        <f t="shared" ref="C68:C99" si="12">IF(A68&lt;=$F$5*$F$6,-IPMT($F$4/$F$6,A68,$F$5*$F$6,$F$3,,$F$7),"")</f>
        <v>6.9260787083900857</v>
      </c>
      <c r="D68" s="76">
        <f t="shared" ref="D68:D99" si="13">IF(A68&lt;=$F$5*$F$6,-PPMT($F$4/$F$6,A68,$F$5*$F$6,$F$3,,$F$7),"")</f>
        <v>459.14940232952614</v>
      </c>
      <c r="E68" s="76">
        <f>IF(A68&lt;=$F$5*$F$6,SUM($D$12:D68),"")</f>
        <v>23612.19508009217</v>
      </c>
      <c r="F68" s="76">
        <f t="shared" ref="F68:F99" si="14">IF(A68&lt;=$F$5*$F$6,$F$3-E68,"")</f>
        <v>1387.8049199078305</v>
      </c>
    </row>
    <row r="69" spans="1:6">
      <c r="A69" s="59">
        <f t="shared" si="10"/>
        <v>58</v>
      </c>
      <c r="B69" s="76">
        <f t="shared" si="11"/>
        <v>466.07548103791623</v>
      </c>
      <c r="C69" s="76">
        <f t="shared" si="12"/>
        <v>5.2042684496543643</v>
      </c>
      <c r="D69" s="76">
        <f t="shared" si="13"/>
        <v>460.87121258826187</v>
      </c>
      <c r="E69" s="76">
        <f>IF(A69&lt;=$F$5*$F$6,SUM($D$12:D69),"")</f>
        <v>24073.066292680433</v>
      </c>
      <c r="F69" s="76">
        <f t="shared" si="14"/>
        <v>926.93370731956747</v>
      </c>
    </row>
    <row r="70" spans="1:6">
      <c r="A70" s="59">
        <f t="shared" si="10"/>
        <v>59</v>
      </c>
      <c r="B70" s="76">
        <f t="shared" si="11"/>
        <v>466.07548103791623</v>
      </c>
      <c r="C70" s="76">
        <f t="shared" si="12"/>
        <v>3.4760014024483823</v>
      </c>
      <c r="D70" s="76">
        <f t="shared" si="13"/>
        <v>462.59947963546784</v>
      </c>
      <c r="E70" s="76">
        <f>IF(A70&lt;=$F$5*$F$6,SUM($D$12:D70),"")</f>
        <v>24535.665772315901</v>
      </c>
      <c r="F70" s="76">
        <f t="shared" si="14"/>
        <v>464.33422768409946</v>
      </c>
    </row>
    <row r="71" spans="1:6">
      <c r="A71" s="59">
        <f t="shared" si="10"/>
        <v>60</v>
      </c>
      <c r="B71" s="76">
        <f t="shared" si="11"/>
        <v>466.07548103791623</v>
      </c>
      <c r="C71" s="76">
        <f t="shared" si="12"/>
        <v>1.7412533538153778</v>
      </c>
      <c r="D71" s="76">
        <f t="shared" si="13"/>
        <v>464.33422768410082</v>
      </c>
      <c r="E71" s="76">
        <f>IF(A71&lt;=$F$5*$F$6,SUM($D$12:D71),"")</f>
        <v>25000</v>
      </c>
      <c r="F71" s="76">
        <f t="shared" si="14"/>
        <v>0</v>
      </c>
    </row>
    <row r="72" spans="1:6">
      <c r="A72" s="59" t="str">
        <f t="shared" si="10"/>
        <v/>
      </c>
      <c r="B72" s="76" t="str">
        <f t="shared" si="11"/>
        <v/>
      </c>
      <c r="C72" s="76" t="str">
        <f t="shared" si="12"/>
        <v/>
      </c>
      <c r="D72" s="76" t="str">
        <f t="shared" si="13"/>
        <v/>
      </c>
      <c r="E72" s="76" t="str">
        <f>IF(A72&lt;=$F$5*$F$6,SUM($D$12:D72),"")</f>
        <v/>
      </c>
      <c r="F72" s="76" t="str">
        <f t="shared" si="14"/>
        <v/>
      </c>
    </row>
    <row r="73" spans="1:6">
      <c r="A73" s="59" t="str">
        <f t="shared" si="10"/>
        <v/>
      </c>
      <c r="B73" s="76" t="str">
        <f t="shared" si="11"/>
        <v/>
      </c>
      <c r="C73" s="76" t="str">
        <f t="shared" si="12"/>
        <v/>
      </c>
      <c r="D73" s="76" t="str">
        <f t="shared" si="13"/>
        <v/>
      </c>
      <c r="E73" s="76" t="str">
        <f>IF(A73&lt;=$F$5*$F$6,SUM($D$12:D73),"")</f>
        <v/>
      </c>
      <c r="F73" s="76" t="str">
        <f t="shared" si="14"/>
        <v/>
      </c>
    </row>
    <row r="74" spans="1:6">
      <c r="A74" s="59" t="str">
        <f t="shared" si="10"/>
        <v/>
      </c>
      <c r="B74" s="76" t="str">
        <f t="shared" si="11"/>
        <v/>
      </c>
      <c r="C74" s="76" t="str">
        <f t="shared" si="12"/>
        <v/>
      </c>
      <c r="D74" s="76" t="str">
        <f t="shared" si="13"/>
        <v/>
      </c>
      <c r="E74" s="76" t="str">
        <f>IF(A74&lt;=$F$5*$F$6,SUM($D$12:D74),"")</f>
        <v/>
      </c>
      <c r="F74" s="76" t="str">
        <f t="shared" si="14"/>
        <v/>
      </c>
    </row>
    <row r="75" spans="1:6">
      <c r="A75" s="59" t="str">
        <f t="shared" si="10"/>
        <v/>
      </c>
      <c r="B75" s="76" t="str">
        <f t="shared" si="11"/>
        <v/>
      </c>
      <c r="C75" s="76" t="str">
        <f t="shared" si="12"/>
        <v/>
      </c>
      <c r="D75" s="76" t="str">
        <f t="shared" si="13"/>
        <v/>
      </c>
      <c r="E75" s="76" t="str">
        <f>IF(A75&lt;=$F$5*$F$6,SUM($D$12:D75),"")</f>
        <v/>
      </c>
      <c r="F75" s="76" t="str">
        <f t="shared" si="14"/>
        <v/>
      </c>
    </row>
    <row r="76" spans="1:6">
      <c r="A76" s="59" t="str">
        <f t="shared" ref="A76:A107" si="15">IF(A75&lt;$F$5*$F$6,A75+1,"")</f>
        <v/>
      </c>
      <c r="B76" s="76" t="str">
        <f t="shared" si="11"/>
        <v/>
      </c>
      <c r="C76" s="76" t="str">
        <f t="shared" si="12"/>
        <v/>
      </c>
      <c r="D76" s="76" t="str">
        <f t="shared" si="13"/>
        <v/>
      </c>
      <c r="E76" s="76" t="str">
        <f>IF(A76&lt;=$F$5*$F$6,SUM($D$12:D76),"")</f>
        <v/>
      </c>
      <c r="F76" s="76" t="str">
        <f t="shared" si="14"/>
        <v/>
      </c>
    </row>
    <row r="77" spans="1:6">
      <c r="A77" s="59" t="str">
        <f t="shared" si="15"/>
        <v/>
      </c>
      <c r="B77" s="76" t="str">
        <f t="shared" si="11"/>
        <v/>
      </c>
      <c r="C77" s="76" t="str">
        <f t="shared" si="12"/>
        <v/>
      </c>
      <c r="D77" s="76" t="str">
        <f t="shared" si="13"/>
        <v/>
      </c>
      <c r="E77" s="76" t="str">
        <f>IF(A77&lt;=$F$5*$F$6,SUM($D$12:D77),"")</f>
        <v/>
      </c>
      <c r="F77" s="76" t="str">
        <f t="shared" si="14"/>
        <v/>
      </c>
    </row>
    <row r="78" spans="1:6">
      <c r="A78" s="59" t="str">
        <f t="shared" si="15"/>
        <v/>
      </c>
      <c r="B78" s="76" t="str">
        <f t="shared" si="11"/>
        <v/>
      </c>
      <c r="C78" s="76" t="str">
        <f t="shared" si="12"/>
        <v/>
      </c>
      <c r="D78" s="76" t="str">
        <f t="shared" si="13"/>
        <v/>
      </c>
      <c r="E78" s="76" t="str">
        <f>IF(A78&lt;=$F$5*$F$6,SUM($D$12:D78),"")</f>
        <v/>
      </c>
      <c r="F78" s="76" t="str">
        <f t="shared" si="14"/>
        <v/>
      </c>
    </row>
    <row r="79" spans="1:6">
      <c r="A79" s="59" t="str">
        <f t="shared" si="15"/>
        <v/>
      </c>
      <c r="B79" s="76" t="str">
        <f t="shared" si="11"/>
        <v/>
      </c>
      <c r="C79" s="76" t="str">
        <f t="shared" si="12"/>
        <v/>
      </c>
      <c r="D79" s="76" t="str">
        <f t="shared" si="13"/>
        <v/>
      </c>
      <c r="E79" s="76" t="str">
        <f>IF(A79&lt;=$F$5*$F$6,SUM($D$12:D79),"")</f>
        <v/>
      </c>
      <c r="F79" s="76" t="str">
        <f t="shared" si="14"/>
        <v/>
      </c>
    </row>
    <row r="80" spans="1:6">
      <c r="A80" s="59" t="str">
        <f t="shared" si="15"/>
        <v/>
      </c>
      <c r="B80" s="76" t="str">
        <f t="shared" si="11"/>
        <v/>
      </c>
      <c r="C80" s="76" t="str">
        <f t="shared" si="12"/>
        <v/>
      </c>
      <c r="D80" s="76" t="str">
        <f t="shared" si="13"/>
        <v/>
      </c>
      <c r="E80" s="76" t="str">
        <f>IF(A80&lt;=$F$5*$F$6,SUM($D$12:D80),"")</f>
        <v/>
      </c>
      <c r="F80" s="76" t="str">
        <f t="shared" si="14"/>
        <v/>
      </c>
    </row>
    <row r="81" spans="1:6">
      <c r="A81" s="59" t="str">
        <f t="shared" si="15"/>
        <v/>
      </c>
      <c r="B81" s="76" t="str">
        <f t="shared" si="11"/>
        <v/>
      </c>
      <c r="C81" s="76" t="str">
        <f t="shared" si="12"/>
        <v/>
      </c>
      <c r="D81" s="76" t="str">
        <f t="shared" si="13"/>
        <v/>
      </c>
      <c r="E81" s="76" t="str">
        <f>IF(A81&lt;=$F$5*$F$6,SUM($D$12:D81),"")</f>
        <v/>
      </c>
      <c r="F81" s="76" t="str">
        <f t="shared" si="14"/>
        <v/>
      </c>
    </row>
    <row r="82" spans="1:6">
      <c r="A82" s="59" t="str">
        <f t="shared" si="15"/>
        <v/>
      </c>
      <c r="B82" s="76" t="str">
        <f t="shared" si="11"/>
        <v/>
      </c>
      <c r="C82" s="76" t="str">
        <f t="shared" si="12"/>
        <v/>
      </c>
      <c r="D82" s="76" t="str">
        <f t="shared" si="13"/>
        <v/>
      </c>
      <c r="E82" s="76" t="str">
        <f>IF(A82&lt;=$F$5*$F$6,SUM($D$12:D82),"")</f>
        <v/>
      </c>
      <c r="F82" s="76" t="str">
        <f t="shared" si="14"/>
        <v/>
      </c>
    </row>
    <row r="83" spans="1:6">
      <c r="A83" s="59" t="str">
        <f t="shared" si="15"/>
        <v/>
      </c>
      <c r="B83" s="76" t="str">
        <f t="shared" si="11"/>
        <v/>
      </c>
      <c r="C83" s="76" t="str">
        <f t="shared" si="12"/>
        <v/>
      </c>
      <c r="D83" s="76" t="str">
        <f t="shared" si="13"/>
        <v/>
      </c>
      <c r="E83" s="76" t="str">
        <f>IF(A83&lt;=$F$5*$F$6,SUM($D$12:D83),"")</f>
        <v/>
      </c>
      <c r="F83" s="76" t="str">
        <f t="shared" si="14"/>
        <v/>
      </c>
    </row>
    <row r="84" spans="1:6">
      <c r="A84" s="59" t="str">
        <f t="shared" si="15"/>
        <v/>
      </c>
      <c r="B84" s="76" t="str">
        <f t="shared" si="11"/>
        <v/>
      </c>
      <c r="C84" s="76" t="str">
        <f t="shared" si="12"/>
        <v/>
      </c>
      <c r="D84" s="76" t="str">
        <f t="shared" si="13"/>
        <v/>
      </c>
      <c r="E84" s="76" t="str">
        <f>IF(A84&lt;=$F$5*$F$6,SUM($D$12:D84),"")</f>
        <v/>
      </c>
      <c r="F84" s="76" t="str">
        <f t="shared" si="14"/>
        <v/>
      </c>
    </row>
    <row r="85" spans="1:6">
      <c r="A85" s="59" t="str">
        <f t="shared" si="15"/>
        <v/>
      </c>
      <c r="B85" s="76" t="str">
        <f t="shared" si="11"/>
        <v/>
      </c>
      <c r="C85" s="76" t="str">
        <f t="shared" si="12"/>
        <v/>
      </c>
      <c r="D85" s="76" t="str">
        <f t="shared" si="13"/>
        <v/>
      </c>
      <c r="E85" s="76" t="str">
        <f>IF(A85&lt;=$F$5*$F$6,SUM($D$12:D85),"")</f>
        <v/>
      </c>
      <c r="F85" s="76" t="str">
        <f t="shared" si="14"/>
        <v/>
      </c>
    </row>
    <row r="86" spans="1:6">
      <c r="A86" s="59" t="str">
        <f t="shared" si="15"/>
        <v/>
      </c>
      <c r="B86" s="76" t="str">
        <f t="shared" si="11"/>
        <v/>
      </c>
      <c r="C86" s="76" t="str">
        <f t="shared" si="12"/>
        <v/>
      </c>
      <c r="D86" s="76" t="str">
        <f t="shared" si="13"/>
        <v/>
      </c>
      <c r="E86" s="76" t="str">
        <f>IF(A86&lt;=$F$5*$F$6,SUM($D$12:D86),"")</f>
        <v/>
      </c>
      <c r="F86" s="76" t="str">
        <f t="shared" si="14"/>
        <v/>
      </c>
    </row>
    <row r="87" spans="1:6">
      <c r="A87" s="59" t="str">
        <f t="shared" si="15"/>
        <v/>
      </c>
      <c r="B87" s="76" t="str">
        <f t="shared" si="11"/>
        <v/>
      </c>
      <c r="C87" s="76" t="str">
        <f t="shared" si="12"/>
        <v/>
      </c>
      <c r="D87" s="76" t="str">
        <f t="shared" si="13"/>
        <v/>
      </c>
      <c r="E87" s="76" t="str">
        <f>IF(A87&lt;=$F$5*$F$6,SUM($D$12:D87),"")</f>
        <v/>
      </c>
      <c r="F87" s="76" t="str">
        <f t="shared" si="14"/>
        <v/>
      </c>
    </row>
    <row r="88" spans="1:6">
      <c r="A88" s="59" t="str">
        <f t="shared" si="15"/>
        <v/>
      </c>
      <c r="B88" s="76" t="str">
        <f t="shared" si="11"/>
        <v/>
      </c>
      <c r="C88" s="76" t="str">
        <f t="shared" si="12"/>
        <v/>
      </c>
      <c r="D88" s="76" t="str">
        <f t="shared" si="13"/>
        <v/>
      </c>
      <c r="E88" s="76" t="str">
        <f>IF(A88&lt;=$F$5*$F$6,SUM($D$12:D88),"")</f>
        <v/>
      </c>
      <c r="F88" s="76" t="str">
        <f t="shared" si="14"/>
        <v/>
      </c>
    </row>
    <row r="89" spans="1:6">
      <c r="A89" s="59" t="str">
        <f t="shared" si="15"/>
        <v/>
      </c>
      <c r="B89" s="76" t="str">
        <f t="shared" si="11"/>
        <v/>
      </c>
      <c r="C89" s="76" t="str">
        <f t="shared" si="12"/>
        <v/>
      </c>
      <c r="D89" s="76" t="str">
        <f t="shared" si="13"/>
        <v/>
      </c>
      <c r="E89" s="76" t="str">
        <f>IF(A89&lt;=$F$5*$F$6,SUM($D$12:D89),"")</f>
        <v/>
      </c>
      <c r="F89" s="76" t="str">
        <f t="shared" si="14"/>
        <v/>
      </c>
    </row>
    <row r="90" spans="1:6">
      <c r="A90" s="59" t="str">
        <f t="shared" si="15"/>
        <v/>
      </c>
      <c r="B90" s="76" t="str">
        <f t="shared" si="11"/>
        <v/>
      </c>
      <c r="C90" s="76" t="str">
        <f t="shared" si="12"/>
        <v/>
      </c>
      <c r="D90" s="76" t="str">
        <f t="shared" si="13"/>
        <v/>
      </c>
      <c r="E90" s="76" t="str">
        <f>IF(A90&lt;=$F$5*$F$6,SUM($D$12:D90),"")</f>
        <v/>
      </c>
      <c r="F90" s="76" t="str">
        <f t="shared" si="14"/>
        <v/>
      </c>
    </row>
    <row r="91" spans="1:6">
      <c r="A91" s="59" t="str">
        <f t="shared" si="15"/>
        <v/>
      </c>
      <c r="B91" s="76" t="str">
        <f t="shared" si="11"/>
        <v/>
      </c>
      <c r="C91" s="76" t="str">
        <f t="shared" si="12"/>
        <v/>
      </c>
      <c r="D91" s="76" t="str">
        <f t="shared" si="13"/>
        <v/>
      </c>
      <c r="E91" s="76" t="str">
        <f>IF(A91&lt;=$F$5*$F$6,SUM($D$12:D91),"")</f>
        <v/>
      </c>
      <c r="F91" s="76" t="str">
        <f t="shared" si="14"/>
        <v/>
      </c>
    </row>
    <row r="92" spans="1:6">
      <c r="A92" s="59" t="str">
        <f t="shared" si="15"/>
        <v/>
      </c>
      <c r="B92" s="76" t="str">
        <f t="shared" si="11"/>
        <v/>
      </c>
      <c r="C92" s="76" t="str">
        <f t="shared" si="12"/>
        <v/>
      </c>
      <c r="D92" s="76" t="str">
        <f t="shared" si="13"/>
        <v/>
      </c>
      <c r="E92" s="76" t="str">
        <f>IF(A92&lt;=$F$5*$F$6,SUM($D$12:D92),"")</f>
        <v/>
      </c>
      <c r="F92" s="76" t="str">
        <f t="shared" si="14"/>
        <v/>
      </c>
    </row>
    <row r="93" spans="1:6">
      <c r="A93" s="59" t="str">
        <f t="shared" si="15"/>
        <v/>
      </c>
      <c r="B93" s="76" t="str">
        <f t="shared" si="11"/>
        <v/>
      </c>
      <c r="C93" s="76" t="str">
        <f t="shared" si="12"/>
        <v/>
      </c>
      <c r="D93" s="76" t="str">
        <f t="shared" si="13"/>
        <v/>
      </c>
      <c r="E93" s="76" t="str">
        <f>IF(A93&lt;=$F$5*$F$6,SUM($D$12:D93),"")</f>
        <v/>
      </c>
      <c r="F93" s="76" t="str">
        <f t="shared" si="14"/>
        <v/>
      </c>
    </row>
    <row r="94" spans="1:6">
      <c r="A94" s="59" t="str">
        <f t="shared" si="15"/>
        <v/>
      </c>
      <c r="B94" s="76" t="str">
        <f t="shared" si="11"/>
        <v/>
      </c>
      <c r="C94" s="76" t="str">
        <f t="shared" si="12"/>
        <v/>
      </c>
      <c r="D94" s="76" t="str">
        <f t="shared" si="13"/>
        <v/>
      </c>
      <c r="E94" s="76" t="str">
        <f>IF(A94&lt;=$F$5*$F$6,SUM($D$12:D94),"")</f>
        <v/>
      </c>
      <c r="F94" s="76" t="str">
        <f t="shared" si="14"/>
        <v/>
      </c>
    </row>
    <row r="95" spans="1:6">
      <c r="A95" s="59" t="str">
        <f t="shared" si="15"/>
        <v/>
      </c>
      <c r="B95" s="76" t="str">
        <f t="shared" si="11"/>
        <v/>
      </c>
      <c r="C95" s="76" t="str">
        <f t="shared" si="12"/>
        <v/>
      </c>
      <c r="D95" s="76" t="str">
        <f t="shared" si="13"/>
        <v/>
      </c>
      <c r="E95" s="76" t="str">
        <f>IF(A95&lt;=$F$5*$F$6,SUM($D$12:D95),"")</f>
        <v/>
      </c>
      <c r="F95" s="76" t="str">
        <f t="shared" si="14"/>
        <v/>
      </c>
    </row>
    <row r="96" spans="1:6">
      <c r="A96" s="59" t="str">
        <f t="shared" si="15"/>
        <v/>
      </c>
      <c r="B96" s="76" t="str">
        <f t="shared" si="11"/>
        <v/>
      </c>
      <c r="C96" s="76" t="str">
        <f t="shared" si="12"/>
        <v/>
      </c>
      <c r="D96" s="76" t="str">
        <f t="shared" si="13"/>
        <v/>
      </c>
      <c r="E96" s="76" t="str">
        <f>IF(A96&lt;=$F$5*$F$6,SUM($D$12:D96),"")</f>
        <v/>
      </c>
      <c r="F96" s="76" t="str">
        <f t="shared" si="14"/>
        <v/>
      </c>
    </row>
    <row r="97" spans="1:6">
      <c r="A97" s="59" t="str">
        <f t="shared" si="15"/>
        <v/>
      </c>
      <c r="B97" s="76" t="str">
        <f t="shared" si="11"/>
        <v/>
      </c>
      <c r="C97" s="76" t="str">
        <f t="shared" si="12"/>
        <v/>
      </c>
      <c r="D97" s="76" t="str">
        <f t="shared" si="13"/>
        <v/>
      </c>
      <c r="E97" s="76" t="str">
        <f>IF(A97&lt;=$F$5*$F$6,SUM($D$12:D97),"")</f>
        <v/>
      </c>
      <c r="F97" s="76" t="str">
        <f t="shared" si="14"/>
        <v/>
      </c>
    </row>
    <row r="98" spans="1:6">
      <c r="A98" s="59" t="str">
        <f t="shared" si="15"/>
        <v/>
      </c>
      <c r="B98" s="76" t="str">
        <f t="shared" si="11"/>
        <v/>
      </c>
      <c r="C98" s="76" t="str">
        <f t="shared" si="12"/>
        <v/>
      </c>
      <c r="D98" s="76" t="str">
        <f t="shared" si="13"/>
        <v/>
      </c>
      <c r="E98" s="76" t="str">
        <f>IF(A98&lt;=$F$5*$F$6,SUM($D$12:D98),"")</f>
        <v/>
      </c>
      <c r="F98" s="76" t="str">
        <f t="shared" si="14"/>
        <v/>
      </c>
    </row>
    <row r="99" spans="1:6">
      <c r="A99" s="59" t="str">
        <f t="shared" si="15"/>
        <v/>
      </c>
      <c r="B99" s="76" t="str">
        <f t="shared" si="11"/>
        <v/>
      </c>
      <c r="C99" s="76" t="str">
        <f t="shared" si="12"/>
        <v/>
      </c>
      <c r="D99" s="76" t="str">
        <f t="shared" si="13"/>
        <v/>
      </c>
      <c r="E99" s="76" t="str">
        <f>IF(A99&lt;=$F$5*$F$6,SUM($D$12:D99),"")</f>
        <v/>
      </c>
      <c r="F99" s="76" t="str">
        <f t="shared" si="14"/>
        <v/>
      </c>
    </row>
    <row r="100" spans="1:6">
      <c r="A100" s="59" t="str">
        <f t="shared" si="15"/>
        <v/>
      </c>
      <c r="B100" s="76" t="str">
        <f t="shared" ref="B100:B131" si="16">IF(A100&lt;=$F$5*$F$6,-PMT($F$4/$F$6,$F$5*$F$6,$F$3,,$F$7),"")</f>
        <v/>
      </c>
      <c r="C100" s="76" t="str">
        <f t="shared" ref="C100:C131" si="17">IF(A100&lt;=$F$5*$F$6,-IPMT($F$4/$F$6,A100,$F$5*$F$6,$F$3,,$F$7),"")</f>
        <v/>
      </c>
      <c r="D100" s="76" t="str">
        <f t="shared" ref="D100:D131" si="18">IF(A100&lt;=$F$5*$F$6,-PPMT($F$4/$F$6,A100,$F$5*$F$6,$F$3,,$F$7),"")</f>
        <v/>
      </c>
      <c r="E100" s="76" t="str">
        <f>IF(A100&lt;=$F$5*$F$6,SUM($D$12:D100),"")</f>
        <v/>
      </c>
      <c r="F100" s="76" t="str">
        <f t="shared" ref="F100:F131" si="19">IF(A100&lt;=$F$5*$F$6,$F$3-E100,"")</f>
        <v/>
      </c>
    </row>
    <row r="101" spans="1:6">
      <c r="A101" s="59" t="str">
        <f t="shared" si="15"/>
        <v/>
      </c>
      <c r="B101" s="76" t="str">
        <f t="shared" si="16"/>
        <v/>
      </c>
      <c r="C101" s="76" t="str">
        <f t="shared" si="17"/>
        <v/>
      </c>
      <c r="D101" s="76" t="str">
        <f t="shared" si="18"/>
        <v/>
      </c>
      <c r="E101" s="76" t="str">
        <f>IF(A101&lt;=$F$5*$F$6,SUM($D$12:D101),"")</f>
        <v/>
      </c>
      <c r="F101" s="76" t="str">
        <f t="shared" si="19"/>
        <v/>
      </c>
    </row>
    <row r="102" spans="1:6">
      <c r="A102" s="59" t="str">
        <f t="shared" si="15"/>
        <v/>
      </c>
      <c r="B102" s="76" t="str">
        <f t="shared" si="16"/>
        <v/>
      </c>
      <c r="C102" s="76" t="str">
        <f t="shared" si="17"/>
        <v/>
      </c>
      <c r="D102" s="76" t="str">
        <f t="shared" si="18"/>
        <v/>
      </c>
      <c r="E102" s="76" t="str">
        <f>IF(A102&lt;=$F$5*$F$6,SUM($D$12:D102),"")</f>
        <v/>
      </c>
      <c r="F102" s="76" t="str">
        <f t="shared" si="19"/>
        <v/>
      </c>
    </row>
    <row r="103" spans="1:6">
      <c r="A103" s="59" t="str">
        <f t="shared" si="15"/>
        <v/>
      </c>
      <c r="B103" s="76" t="str">
        <f t="shared" si="16"/>
        <v/>
      </c>
      <c r="C103" s="76" t="str">
        <f t="shared" si="17"/>
        <v/>
      </c>
      <c r="D103" s="76" t="str">
        <f t="shared" si="18"/>
        <v/>
      </c>
      <c r="E103" s="76" t="str">
        <f>IF(A103&lt;=$F$5*$F$6,SUM($D$12:D103),"")</f>
        <v/>
      </c>
      <c r="F103" s="76" t="str">
        <f t="shared" si="19"/>
        <v/>
      </c>
    </row>
    <row r="104" spans="1:6">
      <c r="A104" s="59" t="str">
        <f t="shared" si="15"/>
        <v/>
      </c>
      <c r="B104" s="76" t="str">
        <f t="shared" si="16"/>
        <v/>
      </c>
      <c r="C104" s="76" t="str">
        <f t="shared" si="17"/>
        <v/>
      </c>
      <c r="D104" s="76" t="str">
        <f t="shared" si="18"/>
        <v/>
      </c>
      <c r="E104" s="76" t="str">
        <f>IF(A104&lt;=$F$5*$F$6,SUM($D$12:D104),"")</f>
        <v/>
      </c>
      <c r="F104" s="76" t="str">
        <f t="shared" si="19"/>
        <v/>
      </c>
    </row>
    <row r="105" spans="1:6">
      <c r="A105" s="59" t="str">
        <f t="shared" si="15"/>
        <v/>
      </c>
      <c r="B105" s="76" t="str">
        <f t="shared" si="16"/>
        <v/>
      </c>
      <c r="C105" s="76" t="str">
        <f t="shared" si="17"/>
        <v/>
      </c>
      <c r="D105" s="76" t="str">
        <f t="shared" si="18"/>
        <v/>
      </c>
      <c r="E105" s="76" t="str">
        <f>IF(A105&lt;=$F$5*$F$6,SUM($D$12:D105),"")</f>
        <v/>
      </c>
      <c r="F105" s="76" t="str">
        <f t="shared" si="19"/>
        <v/>
      </c>
    </row>
    <row r="106" spans="1:6">
      <c r="A106" s="59" t="str">
        <f t="shared" si="15"/>
        <v/>
      </c>
      <c r="B106" s="76" t="str">
        <f t="shared" si="16"/>
        <v/>
      </c>
      <c r="C106" s="76" t="str">
        <f t="shared" si="17"/>
        <v/>
      </c>
      <c r="D106" s="76" t="str">
        <f t="shared" si="18"/>
        <v/>
      </c>
      <c r="E106" s="76" t="str">
        <f>IF(A106&lt;=$F$5*$F$6,SUM($D$12:D106),"")</f>
        <v/>
      </c>
      <c r="F106" s="76" t="str">
        <f t="shared" si="19"/>
        <v/>
      </c>
    </row>
    <row r="107" spans="1:6">
      <c r="A107" s="59" t="str">
        <f t="shared" si="15"/>
        <v/>
      </c>
      <c r="B107" s="76" t="str">
        <f t="shared" si="16"/>
        <v/>
      </c>
      <c r="C107" s="76" t="str">
        <f t="shared" si="17"/>
        <v/>
      </c>
      <c r="D107" s="76" t="str">
        <f t="shared" si="18"/>
        <v/>
      </c>
      <c r="E107" s="76" t="str">
        <f>IF(A107&lt;=$F$5*$F$6,SUM($D$12:D107),"")</f>
        <v/>
      </c>
      <c r="F107" s="76" t="str">
        <f t="shared" si="19"/>
        <v/>
      </c>
    </row>
    <row r="108" spans="1:6">
      <c r="A108" s="59" t="str">
        <f t="shared" ref="A108:A131" si="20">IF(A107&lt;$F$5*$F$6,A107+1,"")</f>
        <v/>
      </c>
      <c r="B108" s="76" t="str">
        <f t="shared" si="16"/>
        <v/>
      </c>
      <c r="C108" s="76" t="str">
        <f t="shared" si="17"/>
        <v/>
      </c>
      <c r="D108" s="76" t="str">
        <f t="shared" si="18"/>
        <v/>
      </c>
      <c r="E108" s="76" t="str">
        <f>IF(A108&lt;=$F$5*$F$6,SUM($D$12:D108),"")</f>
        <v/>
      </c>
      <c r="F108" s="76" t="str">
        <f t="shared" si="19"/>
        <v/>
      </c>
    </row>
    <row r="109" spans="1:6">
      <c r="A109" s="59" t="str">
        <f t="shared" si="20"/>
        <v/>
      </c>
      <c r="B109" s="76" t="str">
        <f t="shared" si="16"/>
        <v/>
      </c>
      <c r="C109" s="76" t="str">
        <f t="shared" si="17"/>
        <v/>
      </c>
      <c r="D109" s="76" t="str">
        <f t="shared" si="18"/>
        <v/>
      </c>
      <c r="E109" s="76" t="str">
        <f>IF(A109&lt;=$F$5*$F$6,SUM($D$12:D109),"")</f>
        <v/>
      </c>
      <c r="F109" s="76" t="str">
        <f t="shared" si="19"/>
        <v/>
      </c>
    </row>
    <row r="110" spans="1:6">
      <c r="A110" s="59" t="str">
        <f t="shared" si="20"/>
        <v/>
      </c>
      <c r="B110" s="76" t="str">
        <f t="shared" si="16"/>
        <v/>
      </c>
      <c r="C110" s="76" t="str">
        <f t="shared" si="17"/>
        <v/>
      </c>
      <c r="D110" s="76" t="str">
        <f t="shared" si="18"/>
        <v/>
      </c>
      <c r="E110" s="76" t="str">
        <f>IF(A110&lt;=$F$5*$F$6,SUM($D$12:D110),"")</f>
        <v/>
      </c>
      <c r="F110" s="76" t="str">
        <f t="shared" si="19"/>
        <v/>
      </c>
    </row>
    <row r="111" spans="1:6">
      <c r="A111" s="59" t="str">
        <f t="shared" si="20"/>
        <v/>
      </c>
      <c r="B111" s="76" t="str">
        <f t="shared" si="16"/>
        <v/>
      </c>
      <c r="C111" s="76" t="str">
        <f t="shared" si="17"/>
        <v/>
      </c>
      <c r="D111" s="76" t="str">
        <f t="shared" si="18"/>
        <v/>
      </c>
      <c r="E111" s="76" t="str">
        <f>IF(A111&lt;=$F$5*$F$6,SUM($D$12:D111),"")</f>
        <v/>
      </c>
      <c r="F111" s="76" t="str">
        <f t="shared" si="19"/>
        <v/>
      </c>
    </row>
    <row r="112" spans="1:6">
      <c r="A112" s="59" t="str">
        <f t="shared" si="20"/>
        <v/>
      </c>
      <c r="B112" s="76" t="str">
        <f t="shared" si="16"/>
        <v/>
      </c>
      <c r="C112" s="76" t="str">
        <f t="shared" si="17"/>
        <v/>
      </c>
      <c r="D112" s="76" t="str">
        <f t="shared" si="18"/>
        <v/>
      </c>
      <c r="E112" s="76" t="str">
        <f>IF(A112&lt;=$F$5*$F$6,SUM($D$12:D112),"")</f>
        <v/>
      </c>
      <c r="F112" s="76" t="str">
        <f t="shared" si="19"/>
        <v/>
      </c>
    </row>
    <row r="113" spans="1:6">
      <c r="A113" s="59" t="str">
        <f t="shared" si="20"/>
        <v/>
      </c>
      <c r="B113" s="76" t="str">
        <f t="shared" si="16"/>
        <v/>
      </c>
      <c r="C113" s="76" t="str">
        <f t="shared" si="17"/>
        <v/>
      </c>
      <c r="D113" s="76" t="str">
        <f t="shared" si="18"/>
        <v/>
      </c>
      <c r="E113" s="76" t="str">
        <f>IF(A113&lt;=$F$5*$F$6,SUM($D$12:D113),"")</f>
        <v/>
      </c>
      <c r="F113" s="76" t="str">
        <f t="shared" si="19"/>
        <v/>
      </c>
    </row>
    <row r="114" spans="1:6">
      <c r="A114" s="59" t="str">
        <f t="shared" si="20"/>
        <v/>
      </c>
      <c r="B114" s="76" t="str">
        <f t="shared" si="16"/>
        <v/>
      </c>
      <c r="C114" s="76" t="str">
        <f t="shared" si="17"/>
        <v/>
      </c>
      <c r="D114" s="76" t="str">
        <f t="shared" si="18"/>
        <v/>
      </c>
      <c r="E114" s="76" t="str">
        <f>IF(A114&lt;=$F$5*$F$6,SUM($D$12:D114),"")</f>
        <v/>
      </c>
      <c r="F114" s="76" t="str">
        <f t="shared" si="19"/>
        <v/>
      </c>
    </row>
    <row r="115" spans="1:6">
      <c r="A115" s="59" t="str">
        <f t="shared" si="20"/>
        <v/>
      </c>
      <c r="B115" s="76" t="str">
        <f t="shared" si="16"/>
        <v/>
      </c>
      <c r="C115" s="76" t="str">
        <f t="shared" si="17"/>
        <v/>
      </c>
      <c r="D115" s="76" t="str">
        <f t="shared" si="18"/>
        <v/>
      </c>
      <c r="E115" s="76" t="str">
        <f>IF(A115&lt;=$F$5*$F$6,SUM($D$12:D115),"")</f>
        <v/>
      </c>
      <c r="F115" s="76" t="str">
        <f t="shared" si="19"/>
        <v/>
      </c>
    </row>
    <row r="116" spans="1:6">
      <c r="A116" s="59" t="str">
        <f t="shared" si="20"/>
        <v/>
      </c>
      <c r="B116" s="76" t="str">
        <f t="shared" si="16"/>
        <v/>
      </c>
      <c r="C116" s="76" t="str">
        <f t="shared" si="17"/>
        <v/>
      </c>
      <c r="D116" s="76" t="str">
        <f t="shared" si="18"/>
        <v/>
      </c>
      <c r="E116" s="76" t="str">
        <f>IF(A116&lt;=$F$5*$F$6,SUM($D$12:D116),"")</f>
        <v/>
      </c>
      <c r="F116" s="76" t="str">
        <f t="shared" si="19"/>
        <v/>
      </c>
    </row>
    <row r="117" spans="1:6">
      <c r="A117" s="59" t="str">
        <f t="shared" si="20"/>
        <v/>
      </c>
      <c r="B117" s="76" t="str">
        <f t="shared" si="16"/>
        <v/>
      </c>
      <c r="C117" s="76" t="str">
        <f t="shared" si="17"/>
        <v/>
      </c>
      <c r="D117" s="76" t="str">
        <f t="shared" si="18"/>
        <v/>
      </c>
      <c r="E117" s="76" t="str">
        <f>IF(A117&lt;=$F$5*$F$6,SUM($D$12:D117),"")</f>
        <v/>
      </c>
      <c r="F117" s="76" t="str">
        <f t="shared" si="19"/>
        <v/>
      </c>
    </row>
    <row r="118" spans="1:6">
      <c r="A118" s="59" t="str">
        <f t="shared" si="20"/>
        <v/>
      </c>
      <c r="B118" s="76" t="str">
        <f t="shared" si="16"/>
        <v/>
      </c>
      <c r="C118" s="76" t="str">
        <f t="shared" si="17"/>
        <v/>
      </c>
      <c r="D118" s="76" t="str">
        <f t="shared" si="18"/>
        <v/>
      </c>
      <c r="E118" s="76" t="str">
        <f>IF(A118&lt;=$F$5*$F$6,SUM($D$12:D118),"")</f>
        <v/>
      </c>
      <c r="F118" s="76" t="str">
        <f t="shared" si="19"/>
        <v/>
      </c>
    </row>
    <row r="119" spans="1:6">
      <c r="A119" s="59" t="str">
        <f t="shared" si="20"/>
        <v/>
      </c>
      <c r="B119" s="76" t="str">
        <f t="shared" si="16"/>
        <v/>
      </c>
      <c r="C119" s="76" t="str">
        <f t="shared" si="17"/>
        <v/>
      </c>
      <c r="D119" s="76" t="str">
        <f t="shared" si="18"/>
        <v/>
      </c>
      <c r="E119" s="76" t="str">
        <f>IF(A119&lt;=$F$5*$F$6,SUM($D$12:D119),"")</f>
        <v/>
      </c>
      <c r="F119" s="76" t="str">
        <f t="shared" si="19"/>
        <v/>
      </c>
    </row>
    <row r="120" spans="1:6">
      <c r="A120" s="59" t="str">
        <f t="shared" si="20"/>
        <v/>
      </c>
      <c r="B120" s="76" t="str">
        <f t="shared" si="16"/>
        <v/>
      </c>
      <c r="C120" s="76" t="str">
        <f t="shared" si="17"/>
        <v/>
      </c>
      <c r="D120" s="76" t="str">
        <f t="shared" si="18"/>
        <v/>
      </c>
      <c r="E120" s="76" t="str">
        <f>IF(A120&lt;=$F$5*$F$6,SUM($D$12:D120),"")</f>
        <v/>
      </c>
      <c r="F120" s="76" t="str">
        <f t="shared" si="19"/>
        <v/>
      </c>
    </row>
    <row r="121" spans="1:6">
      <c r="A121" s="59" t="str">
        <f t="shared" si="20"/>
        <v/>
      </c>
      <c r="B121" s="76" t="str">
        <f t="shared" si="16"/>
        <v/>
      </c>
      <c r="C121" s="76" t="str">
        <f t="shared" si="17"/>
        <v/>
      </c>
      <c r="D121" s="76" t="str">
        <f t="shared" si="18"/>
        <v/>
      </c>
      <c r="E121" s="76" t="str">
        <f>IF(A121&lt;=$F$5*$F$6,SUM($D$12:D121),"")</f>
        <v/>
      </c>
      <c r="F121" s="76" t="str">
        <f t="shared" si="19"/>
        <v/>
      </c>
    </row>
    <row r="122" spans="1:6">
      <c r="A122" s="59" t="str">
        <f t="shared" si="20"/>
        <v/>
      </c>
      <c r="B122" s="76" t="str">
        <f t="shared" si="16"/>
        <v/>
      </c>
      <c r="C122" s="76" t="str">
        <f t="shared" si="17"/>
        <v/>
      </c>
      <c r="D122" s="76" t="str">
        <f t="shared" si="18"/>
        <v/>
      </c>
      <c r="E122" s="76" t="str">
        <f>IF(A122&lt;=$F$5*$F$6,SUM($D$12:D122),"")</f>
        <v/>
      </c>
      <c r="F122" s="76" t="str">
        <f t="shared" si="19"/>
        <v/>
      </c>
    </row>
    <row r="123" spans="1:6">
      <c r="A123" s="59" t="str">
        <f t="shared" si="20"/>
        <v/>
      </c>
      <c r="B123" s="76" t="str">
        <f t="shared" si="16"/>
        <v/>
      </c>
      <c r="C123" s="76" t="str">
        <f t="shared" si="17"/>
        <v/>
      </c>
      <c r="D123" s="76" t="str">
        <f t="shared" si="18"/>
        <v/>
      </c>
      <c r="E123" s="76" t="str">
        <f>IF(A123&lt;=$F$5*$F$6,SUM($D$12:D123),"")</f>
        <v/>
      </c>
      <c r="F123" s="76" t="str">
        <f t="shared" si="19"/>
        <v/>
      </c>
    </row>
    <row r="124" spans="1:6">
      <c r="A124" s="59" t="str">
        <f t="shared" si="20"/>
        <v/>
      </c>
      <c r="B124" s="76" t="str">
        <f t="shared" si="16"/>
        <v/>
      </c>
      <c r="C124" s="76" t="str">
        <f t="shared" si="17"/>
        <v/>
      </c>
      <c r="D124" s="76" t="str">
        <f t="shared" si="18"/>
        <v/>
      </c>
      <c r="E124" s="76" t="str">
        <f>IF(A124&lt;=$F$5*$F$6,SUM($D$12:D124),"")</f>
        <v/>
      </c>
      <c r="F124" s="76" t="str">
        <f t="shared" si="19"/>
        <v/>
      </c>
    </row>
    <row r="125" spans="1:6">
      <c r="A125" s="59" t="str">
        <f t="shared" si="20"/>
        <v/>
      </c>
      <c r="B125" s="76" t="str">
        <f t="shared" si="16"/>
        <v/>
      </c>
      <c r="C125" s="76" t="str">
        <f t="shared" si="17"/>
        <v/>
      </c>
      <c r="D125" s="76" t="str">
        <f t="shared" si="18"/>
        <v/>
      </c>
      <c r="E125" s="76" t="str">
        <f>IF(A125&lt;=$F$5*$F$6,SUM($D$12:D125),"")</f>
        <v/>
      </c>
      <c r="F125" s="76" t="str">
        <f t="shared" si="19"/>
        <v/>
      </c>
    </row>
    <row r="126" spans="1:6">
      <c r="A126" s="59" t="str">
        <f t="shared" si="20"/>
        <v/>
      </c>
      <c r="B126" s="76" t="str">
        <f t="shared" si="16"/>
        <v/>
      </c>
      <c r="C126" s="76" t="str">
        <f t="shared" si="17"/>
        <v/>
      </c>
      <c r="D126" s="76" t="str">
        <f t="shared" si="18"/>
        <v/>
      </c>
      <c r="E126" s="76" t="str">
        <f>IF(A126&lt;=$F$5*$F$6,SUM($D$12:D126),"")</f>
        <v/>
      </c>
      <c r="F126" s="76" t="str">
        <f t="shared" si="19"/>
        <v/>
      </c>
    </row>
    <row r="127" spans="1:6">
      <c r="A127" s="59" t="str">
        <f t="shared" si="20"/>
        <v/>
      </c>
      <c r="B127" s="76" t="str">
        <f t="shared" si="16"/>
        <v/>
      </c>
      <c r="C127" s="76" t="str">
        <f t="shared" si="17"/>
        <v/>
      </c>
      <c r="D127" s="76" t="str">
        <f t="shared" si="18"/>
        <v/>
      </c>
      <c r="E127" s="76" t="str">
        <f>IF(A127&lt;=$F$5*$F$6,SUM($D$12:D127),"")</f>
        <v/>
      </c>
      <c r="F127" s="76" t="str">
        <f t="shared" si="19"/>
        <v/>
      </c>
    </row>
    <row r="128" spans="1:6">
      <c r="A128" s="59" t="str">
        <f t="shared" si="20"/>
        <v/>
      </c>
      <c r="B128" s="76" t="str">
        <f t="shared" si="16"/>
        <v/>
      </c>
      <c r="C128" s="76" t="str">
        <f t="shared" si="17"/>
        <v/>
      </c>
      <c r="D128" s="76" t="str">
        <f t="shared" si="18"/>
        <v/>
      </c>
      <c r="E128" s="76" t="str">
        <f>IF(A128&lt;=$F$5*$F$6,SUM($D$12:D128),"")</f>
        <v/>
      </c>
      <c r="F128" s="76" t="str">
        <f t="shared" si="19"/>
        <v/>
      </c>
    </row>
    <row r="129" spans="1:6">
      <c r="A129" s="59" t="str">
        <f t="shared" si="20"/>
        <v/>
      </c>
      <c r="B129" s="76" t="str">
        <f t="shared" si="16"/>
        <v/>
      </c>
      <c r="C129" s="76" t="str">
        <f t="shared" si="17"/>
        <v/>
      </c>
      <c r="D129" s="76" t="str">
        <f t="shared" si="18"/>
        <v/>
      </c>
      <c r="E129" s="76" t="str">
        <f>IF(A129&lt;=$F$5*$F$6,SUM($D$12:D129),"")</f>
        <v/>
      </c>
      <c r="F129" s="76" t="str">
        <f t="shared" si="19"/>
        <v/>
      </c>
    </row>
    <row r="130" spans="1:6">
      <c r="A130" s="59" t="str">
        <f t="shared" si="20"/>
        <v/>
      </c>
      <c r="B130" s="76" t="str">
        <f t="shared" si="16"/>
        <v/>
      </c>
      <c r="C130" s="76" t="str">
        <f t="shared" si="17"/>
        <v/>
      </c>
      <c r="D130" s="76" t="str">
        <f t="shared" si="18"/>
        <v/>
      </c>
      <c r="E130" s="76" t="str">
        <f>IF(A130&lt;=$F$5*$F$6,SUM($D$12:D130),"")</f>
        <v/>
      </c>
      <c r="F130" s="76" t="str">
        <f t="shared" si="19"/>
        <v/>
      </c>
    </row>
    <row r="131" spans="1:6">
      <c r="A131" s="59" t="str">
        <f t="shared" si="20"/>
        <v/>
      </c>
      <c r="B131" s="76" t="str">
        <f t="shared" si="16"/>
        <v/>
      </c>
      <c r="C131" s="76" t="str">
        <f t="shared" si="17"/>
        <v/>
      </c>
      <c r="D131" s="76" t="str">
        <f t="shared" si="18"/>
        <v/>
      </c>
      <c r="E131" s="76" t="str">
        <f>IF(A131&lt;=$F$5*$F$6,SUM($D$12:D131),"")</f>
        <v/>
      </c>
      <c r="F131" s="76" t="str">
        <f t="shared" si="19"/>
        <v/>
      </c>
    </row>
    <row r="132" spans="1:6">
      <c r="B132" s="78"/>
      <c r="C132" s="78"/>
      <c r="D132" s="78"/>
      <c r="E132" s="78"/>
      <c r="F132" s="78"/>
    </row>
    <row r="133" spans="1:6">
      <c r="B133" s="78"/>
      <c r="C133" s="78"/>
      <c r="D133" s="78"/>
      <c r="E133" s="78"/>
      <c r="F133" s="78"/>
    </row>
    <row r="134" spans="1:6">
      <c r="B134" s="78"/>
      <c r="C134" s="78"/>
      <c r="D134" s="78"/>
      <c r="E134" s="78"/>
      <c r="F134" s="78"/>
    </row>
    <row r="135" spans="1:6">
      <c r="B135" s="78"/>
      <c r="C135" s="78"/>
      <c r="D135" s="78"/>
      <c r="E135" s="78"/>
      <c r="F135" s="78"/>
    </row>
    <row r="136" spans="1:6">
      <c r="B136" s="78"/>
      <c r="C136" s="78"/>
      <c r="D136" s="78"/>
      <c r="E136" s="78"/>
      <c r="F136" s="78"/>
    </row>
    <row r="137" spans="1:6">
      <c r="B137" s="78"/>
      <c r="C137" s="78"/>
      <c r="D137" s="78"/>
      <c r="E137" s="78"/>
      <c r="F137" s="78"/>
    </row>
    <row r="138" spans="1:6">
      <c r="B138" s="78"/>
      <c r="C138" s="78"/>
      <c r="D138" s="78"/>
      <c r="E138" s="78"/>
      <c r="F138" s="78"/>
    </row>
    <row r="139" spans="1:6">
      <c r="B139" s="78"/>
      <c r="C139" s="78"/>
      <c r="D139" s="78"/>
      <c r="E139" s="78"/>
      <c r="F139" s="78"/>
    </row>
    <row r="140" spans="1:6">
      <c r="B140" s="78"/>
      <c r="C140" s="78"/>
      <c r="D140" s="78"/>
      <c r="E140" s="78"/>
      <c r="F140" s="78"/>
    </row>
    <row r="141" spans="1:6">
      <c r="B141" s="78"/>
      <c r="C141" s="78"/>
      <c r="D141" s="78"/>
      <c r="E141" s="78"/>
      <c r="F141" s="78"/>
    </row>
    <row r="142" spans="1:6">
      <c r="B142" s="78"/>
      <c r="C142" s="78"/>
      <c r="D142" s="78"/>
      <c r="E142" s="78"/>
      <c r="F142" s="78"/>
    </row>
    <row r="143" spans="1:6">
      <c r="B143" s="78"/>
      <c r="C143" s="78"/>
      <c r="D143" s="78"/>
      <c r="E143" s="78"/>
      <c r="F143" s="78"/>
    </row>
    <row r="144" spans="1:6">
      <c r="B144" s="78"/>
      <c r="C144" s="78"/>
      <c r="D144" s="78"/>
      <c r="E144" s="78"/>
      <c r="F144" s="78"/>
    </row>
    <row r="145" spans="2:6">
      <c r="B145" s="78"/>
      <c r="C145" s="78"/>
      <c r="D145" s="78"/>
      <c r="E145" s="78"/>
      <c r="F145" s="78"/>
    </row>
    <row r="146" spans="2:6">
      <c r="B146" s="78"/>
      <c r="C146" s="78"/>
      <c r="D146" s="78"/>
      <c r="E146" s="78"/>
      <c r="F146" s="78"/>
    </row>
    <row r="147" spans="2:6">
      <c r="B147" s="78"/>
      <c r="C147" s="78"/>
      <c r="D147" s="78"/>
      <c r="E147" s="78"/>
      <c r="F147" s="78"/>
    </row>
    <row r="148" spans="2:6">
      <c r="B148" s="78"/>
      <c r="C148" s="78"/>
      <c r="D148" s="78"/>
      <c r="E148" s="78"/>
      <c r="F148" s="78"/>
    </row>
    <row r="149" spans="2:6">
      <c r="B149" s="78"/>
      <c r="C149" s="78"/>
      <c r="D149" s="78"/>
      <c r="E149" s="78"/>
      <c r="F149" s="78"/>
    </row>
    <row r="150" spans="2:6">
      <c r="B150" s="78"/>
      <c r="C150" s="78"/>
      <c r="D150" s="78"/>
      <c r="E150" s="78"/>
      <c r="F150" s="78"/>
    </row>
    <row r="151" spans="2:6">
      <c r="B151" s="78"/>
      <c r="C151" s="78"/>
      <c r="D151" s="78"/>
      <c r="E151" s="78"/>
      <c r="F151" s="78"/>
    </row>
    <row r="152" spans="2:6">
      <c r="B152" s="78"/>
      <c r="C152" s="78"/>
      <c r="D152" s="78"/>
      <c r="E152" s="78"/>
      <c r="F152" s="78"/>
    </row>
    <row r="153" spans="2:6">
      <c r="B153" s="78"/>
      <c r="C153" s="78"/>
      <c r="D153" s="78"/>
      <c r="E153" s="78"/>
      <c r="F153" s="78"/>
    </row>
    <row r="154" spans="2:6">
      <c r="B154" s="78"/>
      <c r="C154" s="78"/>
      <c r="D154" s="78"/>
      <c r="E154" s="78"/>
      <c r="F154" s="78"/>
    </row>
    <row r="155" spans="2:6">
      <c r="B155" s="78"/>
      <c r="C155" s="78"/>
      <c r="D155" s="78"/>
      <c r="E155" s="78"/>
      <c r="F155" s="78"/>
    </row>
    <row r="156" spans="2:6">
      <c r="B156" s="78"/>
      <c r="C156" s="78"/>
      <c r="D156" s="78"/>
      <c r="E156" s="78"/>
      <c r="F156" s="78"/>
    </row>
    <row r="157" spans="2:6">
      <c r="B157" s="78"/>
      <c r="C157" s="78"/>
      <c r="D157" s="78"/>
      <c r="E157" s="78"/>
      <c r="F157" s="78"/>
    </row>
    <row r="158" spans="2:6">
      <c r="B158" s="78"/>
      <c r="C158" s="78"/>
      <c r="D158" s="78"/>
      <c r="E158" s="78"/>
      <c r="F158" s="78"/>
    </row>
    <row r="159" spans="2:6">
      <c r="B159" s="78"/>
      <c r="C159" s="78"/>
      <c r="D159" s="78"/>
      <c r="E159" s="78"/>
      <c r="F159" s="78"/>
    </row>
    <row r="160" spans="2:6">
      <c r="B160" s="78"/>
      <c r="C160" s="78"/>
      <c r="D160" s="78"/>
      <c r="E160" s="78"/>
      <c r="F160" s="78"/>
    </row>
    <row r="161" spans="2:6">
      <c r="B161" s="78"/>
      <c r="C161" s="78"/>
      <c r="D161" s="78"/>
      <c r="E161" s="78"/>
      <c r="F161" s="78"/>
    </row>
    <row r="162" spans="2:6">
      <c r="B162" s="78"/>
      <c r="C162" s="78"/>
      <c r="D162" s="78"/>
      <c r="E162" s="78"/>
      <c r="F162" s="78"/>
    </row>
    <row r="163" spans="2:6">
      <c r="B163" s="78"/>
      <c r="C163" s="78"/>
      <c r="D163" s="78"/>
      <c r="E163" s="78"/>
      <c r="F163" s="78"/>
    </row>
    <row r="164" spans="2:6">
      <c r="B164" s="78"/>
      <c r="C164" s="78"/>
      <c r="D164" s="78"/>
      <c r="E164" s="78"/>
      <c r="F164" s="78"/>
    </row>
    <row r="165" spans="2:6">
      <c r="B165" s="78"/>
      <c r="C165" s="78"/>
      <c r="D165" s="78"/>
      <c r="E165" s="78"/>
      <c r="F165" s="78"/>
    </row>
    <row r="166" spans="2:6">
      <c r="B166" s="78"/>
      <c r="C166" s="78"/>
      <c r="D166" s="78"/>
      <c r="E166" s="78"/>
      <c r="F166" s="78"/>
    </row>
    <row r="167" spans="2:6">
      <c r="B167" s="78"/>
      <c r="C167" s="78"/>
      <c r="D167" s="78"/>
      <c r="E167" s="78"/>
      <c r="F167" s="78"/>
    </row>
    <row r="168" spans="2:6">
      <c r="B168" s="78"/>
      <c r="C168" s="78"/>
      <c r="D168" s="78"/>
      <c r="E168" s="78"/>
      <c r="F168" s="78"/>
    </row>
    <row r="169" spans="2:6">
      <c r="B169" s="78"/>
      <c r="C169" s="78"/>
      <c r="D169" s="78"/>
      <c r="E169" s="78"/>
      <c r="F169" s="78"/>
    </row>
    <row r="170" spans="2:6">
      <c r="B170" s="78"/>
      <c r="C170" s="78"/>
      <c r="D170" s="78"/>
      <c r="E170" s="78"/>
      <c r="F170" s="78"/>
    </row>
    <row r="171" spans="2:6">
      <c r="B171" s="78"/>
      <c r="C171" s="78"/>
      <c r="D171" s="78"/>
      <c r="E171" s="78"/>
      <c r="F171" s="78"/>
    </row>
    <row r="172" spans="2:6">
      <c r="B172" s="78"/>
      <c r="C172" s="78"/>
      <c r="D172" s="78"/>
      <c r="E172" s="78"/>
      <c r="F172" s="78"/>
    </row>
    <row r="173" spans="2:6">
      <c r="B173" s="78"/>
      <c r="C173" s="78"/>
      <c r="D173" s="78"/>
      <c r="E173" s="78"/>
      <c r="F173" s="78"/>
    </row>
    <row r="174" spans="2:6">
      <c r="B174" s="78"/>
      <c r="C174" s="78"/>
      <c r="D174" s="78"/>
      <c r="E174" s="78"/>
      <c r="F174" s="78"/>
    </row>
    <row r="175" spans="2:6">
      <c r="B175" s="78"/>
      <c r="C175" s="78"/>
      <c r="D175" s="78"/>
      <c r="E175" s="78"/>
      <c r="F175" s="78"/>
    </row>
    <row r="176" spans="2:6">
      <c r="B176" s="78"/>
      <c r="C176" s="78"/>
      <c r="D176" s="78"/>
      <c r="E176" s="78"/>
      <c r="F176" s="78"/>
    </row>
    <row r="177" spans="2:6">
      <c r="B177" s="78"/>
      <c r="C177" s="78"/>
      <c r="D177" s="78"/>
      <c r="E177" s="78"/>
      <c r="F177" s="78"/>
    </row>
    <row r="178" spans="2:6">
      <c r="B178" s="78"/>
      <c r="C178" s="78"/>
      <c r="D178" s="78"/>
      <c r="E178" s="78"/>
      <c r="F178" s="78"/>
    </row>
    <row r="179" spans="2:6">
      <c r="B179" s="78"/>
      <c r="C179" s="78"/>
      <c r="D179" s="78"/>
      <c r="E179" s="78"/>
      <c r="F179" s="78"/>
    </row>
    <row r="180" spans="2:6">
      <c r="B180" s="78"/>
      <c r="C180" s="78"/>
      <c r="D180" s="78"/>
      <c r="E180" s="78"/>
      <c r="F180" s="78"/>
    </row>
    <row r="181" spans="2:6">
      <c r="B181" s="78"/>
      <c r="C181" s="78"/>
      <c r="D181" s="78"/>
      <c r="E181" s="78"/>
      <c r="F181" s="78"/>
    </row>
    <row r="182" spans="2:6">
      <c r="B182" s="78"/>
      <c r="C182" s="78"/>
      <c r="D182" s="78"/>
      <c r="E182" s="78"/>
      <c r="F182" s="78"/>
    </row>
    <row r="183" spans="2:6">
      <c r="B183" s="78"/>
      <c r="C183" s="78"/>
      <c r="D183" s="78"/>
      <c r="E183" s="78"/>
      <c r="F183" s="78"/>
    </row>
    <row r="184" spans="2:6">
      <c r="B184" s="78"/>
      <c r="C184" s="78"/>
      <c r="D184" s="78"/>
      <c r="E184" s="78"/>
      <c r="F184" s="78"/>
    </row>
    <row r="185" spans="2:6">
      <c r="B185" s="78"/>
      <c r="C185" s="78"/>
      <c r="D185" s="78"/>
      <c r="E185" s="78"/>
      <c r="F185" s="78"/>
    </row>
    <row r="186" spans="2:6">
      <c r="B186" s="78"/>
      <c r="C186" s="78"/>
      <c r="D186" s="78"/>
      <c r="E186" s="78"/>
      <c r="F186" s="78"/>
    </row>
    <row r="187" spans="2:6">
      <c r="B187" s="78"/>
      <c r="C187" s="78"/>
      <c r="D187" s="78"/>
      <c r="E187" s="78"/>
      <c r="F187" s="78"/>
    </row>
    <row r="188" spans="2:6">
      <c r="B188" s="78"/>
      <c r="C188" s="78"/>
      <c r="D188" s="78"/>
      <c r="E188" s="78"/>
      <c r="F188" s="78"/>
    </row>
    <row r="189" spans="2:6">
      <c r="B189" s="78"/>
      <c r="C189" s="78"/>
      <c r="D189" s="78"/>
      <c r="E189" s="78"/>
      <c r="F189" s="78"/>
    </row>
    <row r="190" spans="2:6">
      <c r="B190" s="78"/>
      <c r="C190" s="78"/>
      <c r="D190" s="78"/>
      <c r="E190" s="78"/>
      <c r="F190" s="78"/>
    </row>
    <row r="191" spans="2:6">
      <c r="B191" s="78"/>
      <c r="C191" s="78"/>
      <c r="D191" s="78"/>
      <c r="E191" s="78"/>
      <c r="F191" s="78"/>
    </row>
    <row r="192" spans="2:6">
      <c r="B192" s="78"/>
      <c r="C192" s="78"/>
      <c r="D192" s="78"/>
      <c r="E192" s="78"/>
      <c r="F192" s="78"/>
    </row>
    <row r="193" spans="2:6">
      <c r="B193" s="78"/>
      <c r="C193" s="78"/>
      <c r="D193" s="78"/>
      <c r="E193" s="78"/>
      <c r="F193" s="78"/>
    </row>
    <row r="194" spans="2:6">
      <c r="B194" s="78"/>
      <c r="C194" s="78"/>
      <c r="D194" s="78"/>
      <c r="E194" s="78"/>
      <c r="F194" s="78"/>
    </row>
    <row r="195" spans="2:6">
      <c r="B195" s="78"/>
      <c r="C195" s="78"/>
      <c r="D195" s="78"/>
      <c r="E195" s="78"/>
      <c r="F195" s="78"/>
    </row>
    <row r="196" spans="2:6">
      <c r="B196" s="78"/>
      <c r="C196" s="78"/>
      <c r="D196" s="78"/>
      <c r="E196" s="78"/>
      <c r="F196" s="78"/>
    </row>
    <row r="197" spans="2:6">
      <c r="B197" s="78"/>
      <c r="C197" s="78"/>
      <c r="D197" s="78"/>
      <c r="E197" s="78"/>
      <c r="F197" s="78"/>
    </row>
    <row r="198" spans="2:6">
      <c r="B198" s="78"/>
      <c r="C198" s="78"/>
      <c r="D198" s="78"/>
      <c r="E198" s="78"/>
      <c r="F198" s="78"/>
    </row>
    <row r="199" spans="2:6">
      <c r="B199" s="78"/>
      <c r="C199" s="78"/>
      <c r="D199" s="78"/>
      <c r="E199" s="78"/>
      <c r="F199" s="78"/>
    </row>
    <row r="200" spans="2:6">
      <c r="B200" s="78"/>
      <c r="C200" s="78"/>
      <c r="D200" s="78"/>
      <c r="E200" s="78"/>
      <c r="F200" s="78"/>
    </row>
    <row r="201" spans="2:6">
      <c r="B201" s="78"/>
      <c r="C201" s="78"/>
      <c r="D201" s="78"/>
      <c r="E201" s="78"/>
      <c r="F201" s="78"/>
    </row>
    <row r="202" spans="2:6">
      <c r="B202" s="78"/>
      <c r="C202" s="78"/>
      <c r="D202" s="78"/>
      <c r="E202" s="78"/>
      <c r="F202" s="78"/>
    </row>
    <row r="203" spans="2:6">
      <c r="B203" s="78"/>
      <c r="C203" s="78"/>
      <c r="D203" s="78"/>
      <c r="E203" s="78"/>
      <c r="F203" s="78"/>
    </row>
    <row r="204" spans="2:6">
      <c r="B204" s="78"/>
      <c r="C204" s="78"/>
      <c r="D204" s="78"/>
      <c r="E204" s="78"/>
      <c r="F204" s="78"/>
    </row>
    <row r="205" spans="2:6">
      <c r="B205" s="78"/>
      <c r="C205" s="78"/>
      <c r="D205" s="78"/>
      <c r="E205" s="78"/>
      <c r="F205" s="78"/>
    </row>
    <row r="206" spans="2:6">
      <c r="B206" s="78"/>
      <c r="C206" s="78"/>
      <c r="D206" s="78"/>
      <c r="E206" s="78"/>
      <c r="F206" s="78"/>
    </row>
    <row r="207" spans="2:6">
      <c r="B207" s="78"/>
      <c r="C207" s="78"/>
      <c r="D207" s="78"/>
      <c r="E207" s="78"/>
      <c r="F207" s="78"/>
    </row>
    <row r="208" spans="2:6">
      <c r="B208" s="78"/>
      <c r="C208" s="78"/>
      <c r="D208" s="78"/>
      <c r="E208" s="78"/>
      <c r="F208" s="78"/>
    </row>
    <row r="209" spans="2:6">
      <c r="B209" s="78"/>
      <c r="C209" s="78"/>
      <c r="D209" s="78"/>
      <c r="E209" s="78"/>
      <c r="F209" s="78"/>
    </row>
    <row r="210" spans="2:6">
      <c r="B210" s="78"/>
      <c r="C210" s="78"/>
      <c r="D210" s="78"/>
      <c r="E210" s="78"/>
      <c r="F210" s="78"/>
    </row>
    <row r="211" spans="2:6">
      <c r="B211" s="78"/>
      <c r="C211" s="78"/>
      <c r="D211" s="78"/>
      <c r="E211" s="78"/>
      <c r="F211" s="78"/>
    </row>
    <row r="212" spans="2:6">
      <c r="B212" s="78"/>
      <c r="C212" s="78"/>
      <c r="D212" s="78"/>
      <c r="E212" s="78"/>
      <c r="F212" s="78"/>
    </row>
    <row r="213" spans="2:6">
      <c r="B213" s="78"/>
      <c r="C213" s="78"/>
      <c r="D213" s="78"/>
      <c r="E213" s="78"/>
      <c r="F213" s="78"/>
    </row>
    <row r="214" spans="2:6">
      <c r="B214" s="78"/>
      <c r="C214" s="78"/>
      <c r="D214" s="78"/>
      <c r="E214" s="78"/>
      <c r="F214" s="78"/>
    </row>
    <row r="215" spans="2:6">
      <c r="B215" s="78"/>
      <c r="C215" s="78"/>
      <c r="D215" s="78"/>
      <c r="E215" s="78"/>
      <c r="F215" s="78"/>
    </row>
    <row r="216" spans="2:6">
      <c r="B216" s="78"/>
      <c r="C216" s="78"/>
      <c r="D216" s="78"/>
      <c r="E216" s="78"/>
      <c r="F216" s="78"/>
    </row>
    <row r="217" spans="2:6">
      <c r="B217" s="78"/>
      <c r="C217" s="78"/>
      <c r="D217" s="78"/>
      <c r="E217" s="78"/>
      <c r="F217" s="78"/>
    </row>
    <row r="218" spans="2:6">
      <c r="B218" s="78"/>
      <c r="C218" s="78"/>
      <c r="D218" s="78"/>
      <c r="E218" s="78"/>
      <c r="F218" s="78"/>
    </row>
    <row r="219" spans="2:6">
      <c r="B219" s="78"/>
      <c r="C219" s="78"/>
      <c r="D219" s="78"/>
      <c r="E219" s="78"/>
      <c r="F219" s="78"/>
    </row>
    <row r="220" spans="2:6">
      <c r="B220" s="78"/>
      <c r="C220" s="78"/>
      <c r="D220" s="78"/>
      <c r="E220" s="78"/>
      <c r="F220" s="78"/>
    </row>
    <row r="221" spans="2:6">
      <c r="B221" s="78"/>
      <c r="C221" s="78"/>
      <c r="D221" s="78"/>
      <c r="E221" s="78"/>
      <c r="F221" s="78"/>
    </row>
    <row r="222" spans="2:6">
      <c r="B222" s="78"/>
      <c r="C222" s="78"/>
      <c r="D222" s="78"/>
      <c r="E222" s="78"/>
      <c r="F222" s="78"/>
    </row>
    <row r="223" spans="2:6">
      <c r="B223" s="78"/>
      <c r="C223" s="78"/>
      <c r="D223" s="78"/>
      <c r="E223" s="78"/>
      <c r="F223" s="78"/>
    </row>
    <row r="224" spans="2:6">
      <c r="B224" s="78"/>
      <c r="C224" s="78"/>
      <c r="D224" s="78"/>
      <c r="E224" s="78"/>
      <c r="F224" s="78"/>
    </row>
    <row r="225" spans="2:6">
      <c r="B225" s="78"/>
      <c r="C225" s="78"/>
      <c r="D225" s="78"/>
      <c r="E225" s="78"/>
      <c r="F225" s="78"/>
    </row>
    <row r="226" spans="2:6">
      <c r="B226" s="78"/>
      <c r="C226" s="78"/>
      <c r="D226" s="78"/>
      <c r="E226" s="78"/>
      <c r="F226" s="78"/>
    </row>
    <row r="227" spans="2:6">
      <c r="B227" s="78"/>
      <c r="C227" s="78"/>
      <c r="D227" s="78"/>
      <c r="E227" s="78"/>
      <c r="F227" s="78"/>
    </row>
    <row r="228" spans="2:6">
      <c r="B228" s="78"/>
      <c r="C228" s="78"/>
      <c r="D228" s="78"/>
      <c r="E228" s="78"/>
      <c r="F228" s="78"/>
    </row>
    <row r="229" spans="2:6">
      <c r="B229" s="78"/>
      <c r="C229" s="78"/>
      <c r="D229" s="78"/>
      <c r="E229" s="78"/>
      <c r="F229" s="78"/>
    </row>
    <row r="230" spans="2:6">
      <c r="B230" s="78"/>
      <c r="C230" s="78"/>
      <c r="D230" s="78"/>
      <c r="E230" s="78"/>
      <c r="F230" s="78"/>
    </row>
    <row r="231" spans="2:6">
      <c r="B231" s="78"/>
      <c r="C231" s="78"/>
      <c r="D231" s="78"/>
      <c r="E231" s="78"/>
      <c r="F231" s="78"/>
    </row>
    <row r="232" spans="2:6">
      <c r="B232" s="78"/>
      <c r="C232" s="78"/>
      <c r="D232" s="78"/>
      <c r="E232" s="78"/>
      <c r="F232" s="78"/>
    </row>
    <row r="233" spans="2:6">
      <c r="B233" s="78"/>
      <c r="C233" s="78"/>
      <c r="D233" s="78"/>
      <c r="E233" s="78"/>
      <c r="F233" s="78"/>
    </row>
    <row r="234" spans="2:6">
      <c r="B234" s="78"/>
      <c r="C234" s="78"/>
      <c r="D234" s="78"/>
      <c r="E234" s="78"/>
      <c r="F234" s="78"/>
    </row>
    <row r="235" spans="2:6">
      <c r="B235" s="78"/>
      <c r="C235" s="78"/>
      <c r="D235" s="78"/>
      <c r="E235" s="78"/>
      <c r="F235" s="78"/>
    </row>
    <row r="236" spans="2:6">
      <c r="B236" s="78"/>
      <c r="C236" s="78"/>
      <c r="D236" s="78"/>
      <c r="E236" s="78"/>
      <c r="F236" s="78"/>
    </row>
  </sheetData>
  <sheetProtection password="F817" sheet="1" objects="1" scenarios="1" selectLockedCells="1"/>
  <mergeCells count="6">
    <mergeCell ref="D5:E5"/>
    <mergeCell ref="D6:E6"/>
    <mergeCell ref="D7:E7"/>
    <mergeCell ref="A1:F1"/>
    <mergeCell ref="D3:E3"/>
    <mergeCell ref="D4:E4"/>
  </mergeCells>
  <phoneticPr fontId="2" type="noConversion"/>
  <dataValidations count="1">
    <dataValidation type="whole" allowBlank="1" showInputMessage="1" showErrorMessage="1" sqref="F7" xr:uid="{00000000-0002-0000-0E00-000000000000}">
      <formula1>0</formula1>
      <formula2>1</formula2>
    </dataValidation>
  </dataValidations>
  <pageMargins left="0.75" right="0.75" top="1" bottom="1" header="0" footer="0"/>
  <pageSetup paperSize="9"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Empresa. ME.</dc:title>
  <dc:subject/>
  <dc:creator>JUAN CARLOS</dc:creator>
  <cp:keywords/>
  <dc:description/>
  <cp:lastModifiedBy>iago lopez gomez</cp:lastModifiedBy>
  <cp:revision/>
  <dcterms:created xsi:type="dcterms:W3CDTF">2010-11-29T12:46:21Z</dcterms:created>
  <dcterms:modified xsi:type="dcterms:W3CDTF">2024-05-21T16:15:32Z</dcterms:modified>
  <cp:category/>
  <cp:contentStatus/>
</cp:coreProperties>
</file>