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hai Aliman\Desktop\doctorat\model politica macroprudentiala\replicari\gerali 2010\"/>
    </mc:Choice>
  </mc:AlternateContent>
  <bookViews>
    <workbookView xWindow="0" yWindow="0" windowWidth="23040" windowHeight="7752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C79" i="3"/>
  <c r="B27" i="3"/>
  <c r="C27" i="3" s="1"/>
  <c r="B28" i="3"/>
  <c r="C28" i="3" s="1"/>
  <c r="B4" i="3"/>
  <c r="C4" i="3" s="1"/>
  <c r="B71" i="3"/>
  <c r="M78" i="3" s="1"/>
  <c r="B81" i="3"/>
  <c r="B53" i="3"/>
  <c r="B54" i="3"/>
  <c r="B56" i="3"/>
  <c r="B55" i="3"/>
  <c r="C55" i="3" s="1"/>
  <c r="B57" i="3"/>
  <c r="B69" i="3"/>
  <c r="I10" i="3"/>
  <c r="I14" i="3"/>
  <c r="I13" i="3"/>
  <c r="I12" i="3"/>
  <c r="I51" i="3"/>
  <c r="I49" i="3"/>
  <c r="I48" i="3"/>
  <c r="I50" i="3"/>
  <c r="I15" i="3"/>
  <c r="I7" i="3"/>
  <c r="N29" i="3" s="1"/>
  <c r="M62" i="3"/>
  <c r="M61" i="3"/>
  <c r="N81" i="3"/>
  <c r="M81" i="3"/>
  <c r="N80" i="3"/>
  <c r="M80" i="3"/>
  <c r="M79" i="3"/>
  <c r="N78" i="3"/>
  <c r="M77" i="3"/>
  <c r="M74" i="3"/>
  <c r="N77" i="3"/>
  <c r="N74" i="3"/>
  <c r="M67" i="3"/>
  <c r="M68" i="3"/>
  <c r="N68" i="3"/>
  <c r="N67" i="3"/>
  <c r="N66" i="3"/>
  <c r="M66" i="3"/>
  <c r="N64" i="3"/>
  <c r="M64" i="3"/>
  <c r="N62" i="3"/>
  <c r="N61" i="3"/>
  <c r="N60" i="3"/>
  <c r="M60" i="3"/>
  <c r="N59" i="3"/>
  <c r="M59" i="3"/>
  <c r="N58" i="3"/>
  <c r="N57" i="3"/>
  <c r="N56" i="3"/>
  <c r="N54" i="3"/>
  <c r="N53" i="3"/>
  <c r="N52" i="3"/>
  <c r="N50" i="3"/>
  <c r="M50" i="3"/>
  <c r="N49" i="3"/>
  <c r="M49" i="3"/>
  <c r="N45" i="3"/>
  <c r="M45" i="3"/>
  <c r="N44" i="3"/>
  <c r="N43" i="3"/>
  <c r="N42" i="3"/>
  <c r="M44" i="3"/>
  <c r="M43" i="3"/>
  <c r="M42" i="3"/>
  <c r="M41" i="3"/>
  <c r="M40" i="3"/>
  <c r="N39" i="3"/>
  <c r="M39" i="3"/>
  <c r="O26" i="2"/>
  <c r="M38" i="3"/>
  <c r="N37" i="3"/>
  <c r="M37" i="3"/>
  <c r="N36" i="3"/>
  <c r="M35" i="3"/>
  <c r="M34" i="3"/>
  <c r="N33" i="3"/>
  <c r="M32" i="3"/>
  <c r="M33" i="3"/>
  <c r="N32" i="3"/>
  <c r="N31" i="3"/>
  <c r="M30" i="3"/>
  <c r="M15" i="3"/>
  <c r="C15" i="3"/>
  <c r="M18" i="2"/>
  <c r="N30" i="3"/>
  <c r="N28" i="3"/>
  <c r="M27" i="3"/>
  <c r="N26" i="3"/>
  <c r="M26" i="3"/>
  <c r="N25" i="3"/>
  <c r="M25" i="3"/>
  <c r="N23" i="3"/>
  <c r="M23" i="3"/>
  <c r="N21" i="3"/>
  <c r="M21" i="3"/>
  <c r="N20" i="3"/>
  <c r="M20" i="3"/>
  <c r="N19" i="3"/>
  <c r="M19" i="3"/>
  <c r="N17" i="3"/>
  <c r="M17" i="3"/>
  <c r="M16" i="3"/>
  <c r="N15" i="3"/>
  <c r="N14" i="3"/>
  <c r="M14" i="3"/>
  <c r="N13" i="3"/>
  <c r="M13" i="3"/>
  <c r="N12" i="3"/>
  <c r="M12" i="3"/>
  <c r="M11" i="3"/>
  <c r="N11" i="3"/>
  <c r="N10" i="3"/>
  <c r="M10" i="3"/>
  <c r="C41" i="3" s="1"/>
  <c r="M28" i="3" s="1"/>
  <c r="M9" i="3"/>
  <c r="N8" i="3"/>
  <c r="M8" i="3"/>
  <c r="N7" i="3"/>
  <c r="M7" i="3"/>
  <c r="N6" i="3"/>
  <c r="M6" i="3"/>
  <c r="N5" i="3"/>
  <c r="M5" i="3"/>
  <c r="N4" i="3"/>
  <c r="M3" i="3"/>
  <c r="C30" i="3"/>
  <c r="C21" i="3"/>
  <c r="C46" i="3"/>
  <c r="C50" i="3"/>
  <c r="C40" i="3"/>
  <c r="C38" i="3"/>
  <c r="C61" i="3"/>
  <c r="C16" i="3"/>
  <c r="C29" i="3"/>
  <c r="C9" i="3"/>
  <c r="C44" i="3"/>
  <c r="C49" i="3"/>
  <c r="C73" i="3"/>
  <c r="C60" i="3"/>
  <c r="C31" i="3"/>
  <c r="C64" i="3"/>
  <c r="C43" i="3"/>
  <c r="C47" i="3"/>
  <c r="C45" i="3"/>
  <c r="C7" i="3"/>
  <c r="C80" i="3"/>
  <c r="C48" i="3"/>
  <c r="C72" i="3"/>
  <c r="C75" i="3"/>
  <c r="C20" i="3"/>
  <c r="C8" i="3"/>
  <c r="C6" i="3"/>
  <c r="C68" i="3"/>
  <c r="C67" i="3"/>
  <c r="C66" i="3"/>
  <c r="C65" i="3"/>
  <c r="C42" i="3"/>
  <c r="C59" i="3"/>
  <c r="C78" i="3"/>
  <c r="C19" i="3"/>
  <c r="M56" i="3" s="1"/>
  <c r="C12" i="3"/>
  <c r="M53" i="3" s="1"/>
  <c r="C77" i="3"/>
  <c r="C76" i="3"/>
  <c r="C63" i="3"/>
  <c r="C62" i="3"/>
  <c r="C25" i="3"/>
  <c r="C3" i="3"/>
  <c r="C23" i="3"/>
  <c r="C24" i="3"/>
  <c r="C26" i="3"/>
  <c r="C13" i="3"/>
  <c r="C74" i="3"/>
  <c r="C70" i="3"/>
  <c r="C32" i="3"/>
  <c r="C52" i="3"/>
  <c r="C18" i="3"/>
  <c r="C10" i="3"/>
  <c r="C17" i="3"/>
  <c r="M3" i="2"/>
  <c r="I41" i="3"/>
  <c r="I42" i="3"/>
  <c r="F15" i="3"/>
  <c r="F14" i="3"/>
  <c r="F12" i="3"/>
  <c r="F13" i="3"/>
  <c r="F11" i="3"/>
  <c r="F10" i="3"/>
  <c r="F9" i="3"/>
  <c r="F8" i="3"/>
  <c r="F7" i="3"/>
  <c r="F6" i="3"/>
  <c r="F5" i="3"/>
  <c r="F4" i="3"/>
  <c r="F3" i="3"/>
  <c r="B10" i="3"/>
  <c r="B33" i="3"/>
  <c r="C33" i="3" s="1"/>
  <c r="B22" i="3"/>
  <c r="C22" i="3" s="1"/>
  <c r="B37" i="3"/>
  <c r="C37" i="3" s="1"/>
  <c r="B18" i="3"/>
  <c r="B51" i="3"/>
  <c r="C51" i="3" s="1"/>
  <c r="B52" i="3"/>
  <c r="B32" i="3"/>
  <c r="B34" i="3"/>
  <c r="C34" i="3" s="1"/>
  <c r="B35" i="3"/>
  <c r="C35" i="3" s="1"/>
  <c r="C36" i="3"/>
  <c r="C39" i="3"/>
  <c r="M58" i="3" s="1"/>
  <c r="C11" i="3"/>
  <c r="M54" i="3" s="1"/>
  <c r="N55" i="3" l="1"/>
  <c r="M18" i="3"/>
  <c r="M24" i="3"/>
  <c r="N76" i="3"/>
  <c r="M76" i="3"/>
  <c r="N75" i="3"/>
  <c r="M75" i="3"/>
  <c r="M51" i="3"/>
  <c r="C71" i="3"/>
  <c r="C53" i="3"/>
  <c r="N70" i="3" s="1"/>
  <c r="M72" i="3"/>
  <c r="M47" i="3"/>
  <c r="C56" i="3"/>
  <c r="N73" i="3" s="1"/>
  <c r="N38" i="3"/>
  <c r="M70" i="3"/>
  <c r="N34" i="3"/>
  <c r="C14" i="3"/>
  <c r="C5" i="3"/>
  <c r="C69" i="3"/>
  <c r="M65" i="3" s="1"/>
  <c r="I40" i="3"/>
  <c r="N72" i="3" s="1"/>
  <c r="B79" i="2"/>
  <c r="B77" i="2"/>
  <c r="B75" i="2"/>
  <c r="B74" i="2"/>
  <c r="B64" i="2"/>
  <c r="B76" i="2" s="1"/>
  <c r="B49" i="2"/>
  <c r="B47" i="2"/>
  <c r="B44" i="2"/>
  <c r="B42" i="2"/>
  <c r="B43" i="2"/>
  <c r="B41" i="2"/>
  <c r="B40" i="2"/>
  <c r="B39" i="2"/>
  <c r="J14" i="2"/>
  <c r="D49" i="2"/>
  <c r="D18" i="2" s="1"/>
  <c r="D78" i="2" s="1"/>
  <c r="D32" i="2"/>
  <c r="J33" i="2"/>
  <c r="J32" i="2"/>
  <c r="D3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2" i="2"/>
  <c r="U23" i="2"/>
  <c r="U24" i="2"/>
  <c r="U26" i="2"/>
  <c r="U30" i="2"/>
  <c r="U31" i="2"/>
  <c r="U32" i="2"/>
  <c r="U35" i="2"/>
  <c r="U36" i="2"/>
  <c r="U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30" i="2"/>
  <c r="T31" i="2"/>
  <c r="T32" i="2"/>
  <c r="T33" i="2"/>
  <c r="T34" i="2"/>
  <c r="T36" i="2"/>
  <c r="T3" i="2"/>
  <c r="M36" i="2"/>
  <c r="O36" i="2"/>
  <c r="M35" i="2"/>
  <c r="T35" i="2" s="1"/>
  <c r="M34" i="2"/>
  <c r="O34" i="2"/>
  <c r="U34" i="2" s="1"/>
  <c r="M33" i="2"/>
  <c r="O33" i="2"/>
  <c r="U33" i="2" s="1"/>
  <c r="P30" i="2"/>
  <c r="M30" i="2"/>
  <c r="J70" i="2"/>
  <c r="C38" i="2" s="1"/>
  <c r="M29" i="2"/>
  <c r="T29" i="2" s="1"/>
  <c r="M28" i="2"/>
  <c r="T28" i="2" s="1"/>
  <c r="O28" i="2"/>
  <c r="U28" i="2" s="1"/>
  <c r="M27" i="2"/>
  <c r="O27" i="2"/>
  <c r="U27" i="2" s="1"/>
  <c r="M26" i="2"/>
  <c r="M25" i="2"/>
  <c r="O25" i="2"/>
  <c r="U25" i="2" s="1"/>
  <c r="O24" i="2"/>
  <c r="M24" i="2"/>
  <c r="O23" i="2"/>
  <c r="M23" i="2"/>
  <c r="O22" i="2"/>
  <c r="M22" i="2"/>
  <c r="O21" i="2"/>
  <c r="U21" i="2" s="1"/>
  <c r="M21" i="2"/>
  <c r="M20" i="2"/>
  <c r="O20" i="2"/>
  <c r="U20" i="2" s="1"/>
  <c r="M19" i="2"/>
  <c r="O19" i="2"/>
  <c r="O18" i="2"/>
  <c r="M17" i="2"/>
  <c r="O16" i="2"/>
  <c r="M16" i="2"/>
  <c r="O15" i="2"/>
  <c r="M15" i="2"/>
  <c r="O14" i="2"/>
  <c r="M14" i="2"/>
  <c r="O13" i="2"/>
  <c r="M13" i="2"/>
  <c r="M12" i="2"/>
  <c r="O11" i="2"/>
  <c r="M11" i="2"/>
  <c r="M10" i="2"/>
  <c r="M9" i="2"/>
  <c r="C7" i="2"/>
  <c r="O9" i="2"/>
  <c r="M6" i="2"/>
  <c r="M5" i="2"/>
  <c r="M4" i="2"/>
  <c r="D81" i="2"/>
  <c r="D79" i="2"/>
  <c r="D77" i="2"/>
  <c r="D76" i="2"/>
  <c r="D75" i="2"/>
  <c r="D74" i="2"/>
  <c r="D73" i="2"/>
  <c r="J34" i="2"/>
  <c r="D34" i="2" s="1"/>
  <c r="D72" i="2" s="1"/>
  <c r="D62" i="2"/>
  <c r="D61" i="2"/>
  <c r="B3" i="1"/>
  <c r="B5" i="1"/>
  <c r="J67" i="2"/>
  <c r="J66" i="2"/>
  <c r="C18" i="2"/>
  <c r="D60" i="2"/>
  <c r="D59" i="2"/>
  <c r="K67" i="2"/>
  <c r="K68" i="2"/>
  <c r="K66" i="2"/>
  <c r="J68" i="2"/>
  <c r="D56" i="2"/>
  <c r="D57" i="2"/>
  <c r="D55" i="2"/>
  <c r="J30" i="2"/>
  <c r="J31" i="2"/>
  <c r="B57" i="2" s="1"/>
  <c r="D17" i="2"/>
  <c r="D80" i="2"/>
  <c r="D10" i="2"/>
  <c r="O5" i="2"/>
  <c r="D37" i="2"/>
  <c r="O8" i="2"/>
  <c r="M8" i="2"/>
  <c r="M7" i="2"/>
  <c r="O7" i="2" s="1"/>
  <c r="C10" i="2" s="1"/>
  <c r="O3" i="2"/>
  <c r="G4" i="2"/>
  <c r="G6" i="2"/>
  <c r="G14" i="2"/>
  <c r="G12" i="2"/>
  <c r="G13" i="2"/>
  <c r="G9" i="2"/>
  <c r="G10" i="2"/>
  <c r="G11" i="2"/>
  <c r="G8" i="2"/>
  <c r="G7" i="2"/>
  <c r="G5" i="2"/>
  <c r="G3" i="2"/>
  <c r="G15" i="2"/>
  <c r="B62" i="2"/>
  <c r="B61" i="2"/>
  <c r="B66" i="2"/>
  <c r="B65" i="2"/>
  <c r="B60" i="2"/>
  <c r="B59" i="2"/>
  <c r="B55" i="2"/>
  <c r="B81" i="2"/>
  <c r="B80" i="2"/>
  <c r="B78" i="2"/>
  <c r="B73" i="2"/>
  <c r="B72" i="2"/>
  <c r="B71" i="2"/>
  <c r="J23" i="2"/>
  <c r="J29" i="2"/>
  <c r="J25" i="2"/>
  <c r="J5" i="2"/>
  <c r="N63" i="3" l="1"/>
  <c r="M52" i="3"/>
  <c r="N79" i="3"/>
  <c r="M55" i="3"/>
  <c r="N9" i="3"/>
  <c r="M73" i="3"/>
  <c r="M48" i="3"/>
  <c r="N40" i="3"/>
  <c r="N3" i="3"/>
  <c r="B58" i="3"/>
  <c r="C58" i="3" s="1"/>
  <c r="J35" i="2"/>
  <c r="D69" i="2" s="1"/>
  <c r="D71" i="2"/>
  <c r="C35" i="2"/>
  <c r="D51" i="2"/>
  <c r="D70" i="2" s="1"/>
  <c r="B51" i="2"/>
  <c r="B70" i="2" s="1"/>
  <c r="B56" i="2"/>
  <c r="E19" i="1"/>
  <c r="E16" i="1"/>
  <c r="E12" i="1"/>
  <c r="C81" i="3" l="1"/>
  <c r="M36" i="3"/>
  <c r="N35" i="3"/>
  <c r="M31" i="3"/>
  <c r="O29" i="2"/>
  <c r="U29" i="2" s="1"/>
  <c r="J12" i="2"/>
  <c r="J11" i="2"/>
  <c r="C19" i="1"/>
  <c r="C16" i="1"/>
  <c r="C12" i="1"/>
  <c r="M63" i="3" l="1"/>
  <c r="N65" i="3"/>
  <c r="C54" i="3"/>
  <c r="C57" i="3"/>
  <c r="B7" i="1"/>
  <c r="I3" i="1"/>
  <c r="H3" i="1"/>
  <c r="N41" i="3"/>
  <c r="M71" i="3" l="1"/>
  <c r="N71" i="3"/>
  <c r="M46" i="3"/>
  <c r="N69" i="3"/>
  <c r="M69" i="3"/>
  <c r="N27" i="3"/>
  <c r="M22" i="3"/>
  <c r="M57" i="3"/>
</calcChain>
</file>

<file path=xl/sharedStrings.xml><?xml version="1.0" encoding="utf-8"?>
<sst xmlns="http://schemas.openxmlformats.org/spreadsheetml/2006/main" count="456" uniqueCount="186">
  <si>
    <t>R_b</t>
  </si>
  <si>
    <t>-kapa_kb</t>
  </si>
  <si>
    <t>K_b</t>
  </si>
  <si>
    <t>B</t>
  </si>
  <si>
    <t>vi</t>
  </si>
  <si>
    <t>r_ib</t>
  </si>
  <si>
    <t>interestPOL</t>
  </si>
  <si>
    <t>piss</t>
  </si>
  <si>
    <t>beta_p</t>
  </si>
  <si>
    <t>eps_d</t>
  </si>
  <si>
    <t>exp(R_b)</t>
  </si>
  <si>
    <t>mk_d_ss</t>
  </si>
  <si>
    <t>eps_bh</t>
  </si>
  <si>
    <t>mk_bh_ss</t>
  </si>
  <si>
    <t>eps_bf</t>
  </si>
  <si>
    <t>mk_bf_ss</t>
  </si>
  <si>
    <t>c_p</t>
  </si>
  <si>
    <t>h_p</t>
  </si>
  <si>
    <t>d_p</t>
  </si>
  <si>
    <t>l_p</t>
  </si>
  <si>
    <t>lam_p</t>
  </si>
  <si>
    <t>J_R</t>
  </si>
  <si>
    <t>j_B</t>
  </si>
  <si>
    <t>pie_wp</t>
  </si>
  <si>
    <t>c_i</t>
  </si>
  <si>
    <t>h_i</t>
  </si>
  <si>
    <t>b_i</t>
  </si>
  <si>
    <t>l_i</t>
  </si>
  <si>
    <t>lam_i</t>
  </si>
  <si>
    <t>s_i</t>
  </si>
  <si>
    <t>pie_wi</t>
  </si>
  <si>
    <t>I</t>
  </si>
  <si>
    <t>q_k</t>
  </si>
  <si>
    <t>c_e</t>
  </si>
  <si>
    <t>k_e</t>
  </si>
  <si>
    <t>l_pd</t>
  </si>
  <si>
    <t>l_id</t>
  </si>
  <si>
    <t>b_ee</t>
  </si>
  <si>
    <t>y_e</t>
  </si>
  <si>
    <t>lam_e</t>
  </si>
  <si>
    <t>s_e</t>
  </si>
  <si>
    <t>u</t>
  </si>
  <si>
    <t>d_b</t>
  </si>
  <si>
    <t>b_h</t>
  </si>
  <si>
    <t>b_e</t>
  </si>
  <si>
    <t>r_d</t>
  </si>
  <si>
    <t>r_bh</t>
  </si>
  <si>
    <t>r_be</t>
  </si>
  <si>
    <t>pie</t>
  </si>
  <si>
    <t>x</t>
  </si>
  <si>
    <t>C</t>
  </si>
  <si>
    <t>Y</t>
  </si>
  <si>
    <t>D</t>
  </si>
  <si>
    <t>BE</t>
  </si>
  <si>
    <t>BH</t>
  </si>
  <si>
    <t>w_p</t>
  </si>
  <si>
    <t>w_i</t>
  </si>
  <si>
    <t>J_B</t>
  </si>
  <si>
    <t>q_h</t>
  </si>
  <si>
    <t>K</t>
  </si>
  <si>
    <t>PIW</t>
  </si>
  <si>
    <t>ee_z</t>
  </si>
  <si>
    <t>A_e</t>
  </si>
  <si>
    <t>ee_j</t>
  </si>
  <si>
    <t>mk_d</t>
  </si>
  <si>
    <t>mk_be</t>
  </si>
  <si>
    <t>mk_bh</t>
  </si>
  <si>
    <t>ee_qk</t>
  </si>
  <si>
    <t>m_i</t>
  </si>
  <si>
    <t>m_e</t>
  </si>
  <si>
    <t>eps_y</t>
  </si>
  <si>
    <t>eps_l</t>
  </si>
  <si>
    <t>eps_K_b</t>
  </si>
  <si>
    <t>Y1</t>
  </si>
  <si>
    <t>rr_e</t>
  </si>
  <si>
    <t>aux1</t>
  </si>
  <si>
    <t>bm</t>
  </si>
  <si>
    <t>spr_b</t>
  </si>
  <si>
    <t>Variabile endogene</t>
  </si>
  <si>
    <t>Variabile exogene</t>
  </si>
  <si>
    <t>e_A_e</t>
  </si>
  <si>
    <t>e_eps_K_b</t>
  </si>
  <si>
    <t>e_j</t>
  </si>
  <si>
    <t>e_l</t>
  </si>
  <si>
    <t>e_me</t>
  </si>
  <si>
    <t>e_mi</t>
  </si>
  <si>
    <t>e_mk_be</t>
  </si>
  <si>
    <t>e_mk_bh</t>
  </si>
  <si>
    <t>e_mk_d</t>
  </si>
  <si>
    <t>e_r_ib</t>
  </si>
  <si>
    <t>e_qk</t>
  </si>
  <si>
    <t>e_y</t>
  </si>
  <si>
    <t>e_z</t>
  </si>
  <si>
    <t>Parametrii</t>
  </si>
  <si>
    <t>j</t>
  </si>
  <si>
    <t>phi</t>
  </si>
  <si>
    <t>beta_i</t>
  </si>
  <si>
    <t>m_i_ss</t>
  </si>
  <si>
    <t>beta_e</t>
  </si>
  <si>
    <t>m_e_ss</t>
  </si>
  <si>
    <t>alpha</t>
  </si>
  <si>
    <t>eksi_1</t>
  </si>
  <si>
    <t>eksi_2</t>
  </si>
  <si>
    <t>h</t>
  </si>
  <si>
    <t>a_i</t>
  </si>
  <si>
    <t>a_p</t>
  </si>
  <si>
    <t>a_e</t>
  </si>
  <si>
    <t>gamma_p</t>
  </si>
  <si>
    <t>gamma_i</t>
  </si>
  <si>
    <t>gamma_e</t>
  </si>
  <si>
    <t>ni</t>
  </si>
  <si>
    <t>eps_l_ss</t>
  </si>
  <si>
    <t>kappa_w</t>
  </si>
  <si>
    <t>eps_be</t>
  </si>
  <si>
    <t>mk_be_ss</t>
  </si>
  <si>
    <t>r_be_ss</t>
  </si>
  <si>
    <t>r_bh_ss</t>
  </si>
  <si>
    <t>r_k_ss</t>
  </si>
  <si>
    <t>delta_kb</t>
  </si>
  <si>
    <t>kappa_kb</t>
  </si>
  <si>
    <t>eps_y_ss</t>
  </si>
  <si>
    <t>kappa_p</t>
  </si>
  <si>
    <t>ind_p</t>
  </si>
  <si>
    <t>ind_w</t>
  </si>
  <si>
    <t>kappa_i</t>
  </si>
  <si>
    <t>kappa_d</t>
  </si>
  <si>
    <t>kappa_be</t>
  </si>
  <si>
    <t>kappa_bh</t>
  </si>
  <si>
    <t>ind_d</t>
  </si>
  <si>
    <t>ind_be</t>
  </si>
  <si>
    <t>ind_bh</t>
  </si>
  <si>
    <t>rho_ib</t>
  </si>
  <si>
    <t>phi_pie</t>
  </si>
  <si>
    <t>phi_y</t>
  </si>
  <si>
    <t>r_ib_ss</t>
  </si>
  <si>
    <t>rho_ee_z</t>
  </si>
  <si>
    <t>rho_a_e</t>
  </si>
  <si>
    <t>rho_ee_j</t>
  </si>
  <si>
    <t>rho_me</t>
  </si>
  <si>
    <t>rho_mi</t>
  </si>
  <si>
    <t>rho_mk_d</t>
  </si>
  <si>
    <t>rho_mk_bh</t>
  </si>
  <si>
    <t>rho_mk_be</t>
  </si>
  <si>
    <t>rho_ee_qk</t>
  </si>
  <si>
    <t>rho_eps_y</t>
  </si>
  <si>
    <t>rho_eps_l</t>
  </si>
  <si>
    <t>rho_eps_K_b</t>
  </si>
  <si>
    <t>Valori gerali</t>
  </si>
  <si>
    <t>deltak</t>
  </si>
  <si>
    <t>eps_b</t>
  </si>
  <si>
    <t>Valori intiale gerali</t>
  </si>
  <si>
    <t>interestPol</t>
  </si>
  <si>
    <t>interestH</t>
  </si>
  <si>
    <t>interestF</t>
  </si>
  <si>
    <t>inflation</t>
  </si>
  <si>
    <t>loansH</t>
  </si>
  <si>
    <t>loansF</t>
  </si>
  <si>
    <t>output</t>
  </si>
  <si>
    <t>consumption</t>
  </si>
  <si>
    <t>investment</t>
  </si>
  <si>
    <t>deposits</t>
  </si>
  <si>
    <t>interestDep</t>
  </si>
  <si>
    <t>bankcapital</t>
  </si>
  <si>
    <t>r_k</t>
  </si>
  <si>
    <t>Valori calculate</t>
  </si>
  <si>
    <t>Ecuatii</t>
  </si>
  <si>
    <t>=</t>
  </si>
  <si>
    <t>Valori cu calcul steady state</t>
  </si>
  <si>
    <t>markdown_d_ss</t>
  </si>
  <si>
    <t>markdown be ss</t>
  </si>
  <si>
    <t>expresie cu pie</t>
  </si>
  <si>
    <t>Ecuatie rhs</t>
  </si>
  <si>
    <t>Ecuatie lhs</t>
  </si>
  <si>
    <t>exp</t>
  </si>
  <si>
    <t>Patient hh</t>
  </si>
  <si>
    <t>Impatient hh</t>
  </si>
  <si>
    <t>Capital goods producers</t>
  </si>
  <si>
    <t>Entrepreneurs</t>
  </si>
  <si>
    <t>gamma_b</t>
  </si>
  <si>
    <t>Banks</t>
  </si>
  <si>
    <t>Retailer</t>
  </si>
  <si>
    <t>Aggregation and equilibrium</t>
  </si>
  <si>
    <t>Taylor</t>
  </si>
  <si>
    <t>e_mk)_d</t>
  </si>
  <si>
    <t>Exogenous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</si>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</sst>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"/>
    <numFmt numFmtId="166" formatCode="0.000000"/>
    <numFmt numFmtId="167" formatCode="0.0000000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Alignment="1">
      <alignment wrapText="1"/>
    </xf>
    <xf numFmtId="0" fontId="1" fillId="0" borderId="0" xfId="0" applyFont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11" fontId="0" fillId="0" borderId="2" xfId="0" applyNumberFormat="1" applyBorder="1" applyAlignment="1">
      <alignment horizontal="center" wrapText="1"/>
    </xf>
    <xf numFmtId="11" fontId="0" fillId="0" borderId="4" xfId="0" applyNumberFormat="1" applyBorder="1" applyAlignment="1">
      <alignment horizontal="center" wrapText="1"/>
    </xf>
    <xf numFmtId="11" fontId="0" fillId="0" borderId="2" xfId="0" applyNumberFormat="1" applyBorder="1" applyAlignment="1">
      <alignment horizontal="center" vertical="top" wrapText="1"/>
    </xf>
    <xf numFmtId="11" fontId="0" fillId="0" borderId="3" xfId="0" applyNumberFormat="1" applyBorder="1" applyAlignment="1">
      <alignment horizontal="center" vertical="top" wrapText="1"/>
    </xf>
    <xf numFmtId="11" fontId="0" fillId="0" borderId="4" xfId="0" applyNumberFormat="1" applyBorder="1" applyAlignment="1">
      <alignment horizontal="center" vertical="top" wrapText="1"/>
    </xf>
    <xf numFmtId="11" fontId="0" fillId="0" borderId="1" xfId="0" applyNumberFormat="1" applyBorder="1" applyAlignment="1">
      <alignment vertical="top" wrapText="1"/>
    </xf>
    <xf numFmtId="11" fontId="0" fillId="0" borderId="0" xfId="0" applyNumberFormat="1" applyFont="1"/>
    <xf numFmtId="164" fontId="0" fillId="0" borderId="0" xfId="0" applyNumberFormat="1" applyFont="1"/>
    <xf numFmtId="16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H9" sqref="H9"/>
    </sheetView>
  </sheetViews>
  <sheetFormatPr defaultRowHeight="14.4" x14ac:dyDescent="0.3"/>
  <sheetData>
    <row r="2" spans="2:12" x14ac:dyDescent="0.3">
      <c r="B2" t="s">
        <v>10</v>
      </c>
      <c r="C2" s="1" t="s">
        <v>1</v>
      </c>
      <c r="D2" t="s">
        <v>2</v>
      </c>
      <c r="E2" t="s">
        <v>3</v>
      </c>
      <c r="F2" t="s">
        <v>4</v>
      </c>
      <c r="G2" t="s">
        <v>6</v>
      </c>
      <c r="H2" t="s">
        <v>5</v>
      </c>
      <c r="J2" t="s">
        <v>7</v>
      </c>
      <c r="K2" t="s">
        <v>8</v>
      </c>
      <c r="L2" t="s">
        <v>9</v>
      </c>
    </row>
    <row r="3" spans="2:12" x14ac:dyDescent="0.3">
      <c r="B3">
        <f>-C3*(EXP(D3)/EXP(E3)-F3)*(EXP(D3)/EXP(E3))^2+EXP(H3)</f>
        <v>1.011871582850187</v>
      </c>
      <c r="C3">
        <v>8.9148195803466894</v>
      </c>
      <c r="D3">
        <v>-1.2710600000000001</v>
      </c>
      <c r="E3">
        <v>1.1368799999999999</v>
      </c>
      <c r="F3">
        <v>0.12</v>
      </c>
      <c r="G3">
        <v>3.8633999999999999</v>
      </c>
      <c r="H3">
        <f>G3/400</f>
        <v>9.6585000000000004E-3</v>
      </c>
      <c r="I3">
        <f>(J3/K3-1)*(L3-1)/L3</f>
        <v>9.6584946108585878E-3</v>
      </c>
      <c r="J3">
        <v>1</v>
      </c>
      <c r="K3">
        <v>0.99429999999999996</v>
      </c>
      <c r="L3">
        <v>-1.46025</v>
      </c>
    </row>
    <row r="4" spans="2:12" x14ac:dyDescent="0.3">
      <c r="B4" t="s">
        <v>0</v>
      </c>
    </row>
    <row r="5" spans="2:12" x14ac:dyDescent="0.3">
      <c r="B5">
        <f>LN(B3-1)</f>
        <v>-4.4336077304565364</v>
      </c>
    </row>
    <row r="6" spans="2:12" x14ac:dyDescent="0.3">
      <c r="B6">
        <v>-4.63992</v>
      </c>
    </row>
    <row r="7" spans="2:12" x14ac:dyDescent="0.3">
      <c r="B7">
        <f>EXP(B6)+1</f>
        <v>1.0096584702742535</v>
      </c>
    </row>
    <row r="11" spans="2:12" x14ac:dyDescent="0.3">
      <c r="B11" t="s">
        <v>9</v>
      </c>
      <c r="C11" t="s">
        <v>11</v>
      </c>
      <c r="E11" t="s">
        <v>9</v>
      </c>
      <c r="F11" t="s">
        <v>11</v>
      </c>
    </row>
    <row r="12" spans="2:12" x14ac:dyDescent="0.3">
      <c r="B12">
        <v>-1.46025</v>
      </c>
      <c r="C12">
        <f>B12/(B12-1)</f>
        <v>0.59353724215018799</v>
      </c>
      <c r="E12">
        <f>-F12/(1-F12)</f>
        <v>-3.3638348216053657</v>
      </c>
      <c r="F12">
        <v>0.77084375534816407</v>
      </c>
    </row>
    <row r="15" spans="2:12" x14ac:dyDescent="0.3">
      <c r="B15" t="s">
        <v>12</v>
      </c>
      <c r="C15" t="s">
        <v>13</v>
      </c>
      <c r="E15" t="s">
        <v>12</v>
      </c>
      <c r="F15" t="s">
        <v>13</v>
      </c>
    </row>
    <row r="16" spans="2:12" x14ac:dyDescent="0.3">
      <c r="B16">
        <v>2.9328059999999998</v>
      </c>
      <c r="C16">
        <f>B16/(B16-1)</f>
        <v>1.5173824998473722</v>
      </c>
      <c r="E16">
        <f>-F16/(1-F16)</f>
        <v>-20.052112541151949</v>
      </c>
      <c r="F16">
        <v>0.95249882889210125</v>
      </c>
    </row>
    <row r="18" spans="2:6" x14ac:dyDescent="0.3">
      <c r="B18" t="s">
        <v>14</v>
      </c>
      <c r="C18" t="s">
        <v>15</v>
      </c>
      <c r="E18" t="s">
        <v>14</v>
      </c>
      <c r="F18" t="s">
        <v>15</v>
      </c>
    </row>
    <row r="19" spans="2:6" x14ac:dyDescent="0.3">
      <c r="B19">
        <v>2.9328059999999998</v>
      </c>
      <c r="C19">
        <f>B19/(B19-1)</f>
        <v>1.5173824998473722</v>
      </c>
      <c r="E19">
        <f>-F19/(1-F19)</f>
        <v>1.7318284823503338</v>
      </c>
      <c r="F19">
        <v>2.3664403943235564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zoomScale="85" zoomScaleNormal="85" workbookViewId="0">
      <selection activeCell="O27" sqref="O27"/>
    </sheetView>
  </sheetViews>
  <sheetFormatPr defaultRowHeight="14.4" x14ac:dyDescent="0.3"/>
  <cols>
    <col min="3" max="4" width="9.21875" customWidth="1"/>
    <col min="10" max="10" width="14.88671875" customWidth="1"/>
    <col min="11" max="11" width="10.21875" customWidth="1"/>
    <col min="13" max="13" width="13" style="6" bestFit="1" customWidth="1"/>
    <col min="14" max="14" width="2.33203125" style="6" customWidth="1"/>
    <col min="15" max="15" width="8.88671875" style="6"/>
    <col min="17" max="17" width="9.44140625" bestFit="1" customWidth="1"/>
    <col min="18" max="18" width="2" bestFit="1" customWidth="1"/>
  </cols>
  <sheetData>
    <row r="1" spans="1:21" x14ac:dyDescent="0.3">
      <c r="M1"/>
      <c r="N1"/>
      <c r="O1"/>
    </row>
    <row r="2" spans="1:21" x14ac:dyDescent="0.3">
      <c r="A2" t="s">
        <v>78</v>
      </c>
      <c r="B2" t="s">
        <v>150</v>
      </c>
      <c r="C2" t="s">
        <v>164</v>
      </c>
      <c r="D2" t="s">
        <v>167</v>
      </c>
      <c r="F2" t="s">
        <v>79</v>
      </c>
      <c r="I2" t="s">
        <v>93</v>
      </c>
      <c r="J2" t="s">
        <v>147</v>
      </c>
      <c r="L2" t="s">
        <v>165</v>
      </c>
      <c r="M2"/>
      <c r="N2"/>
      <c r="O2"/>
    </row>
    <row r="3" spans="1:21" x14ac:dyDescent="0.3">
      <c r="A3" t="s">
        <v>16</v>
      </c>
      <c r="B3">
        <v>-0.122029</v>
      </c>
      <c r="F3" t="s">
        <v>80</v>
      </c>
      <c r="G3">
        <f xml:space="preserve"> 0.0062^2</f>
        <v>3.8439999999999998E-5</v>
      </c>
      <c r="I3" t="s">
        <v>8</v>
      </c>
      <c r="J3">
        <v>0.99429999999999996</v>
      </c>
      <c r="K3">
        <v>0.99629999999999996</v>
      </c>
      <c r="L3">
        <v>1</v>
      </c>
      <c r="M3" s="6">
        <f>(1-J62)*EXP(B52)*(EXP(B3) - J62*EXP(B3))^(-1)</f>
        <v>1.1297868651243363</v>
      </c>
      <c r="N3" s="6" t="s">
        <v>166</v>
      </c>
      <c r="O3" s="6">
        <f>EXP(B7)</f>
        <v>1.1297868651243366</v>
      </c>
      <c r="Q3">
        <v>1.1297868651243363</v>
      </c>
      <c r="R3" t="s">
        <v>166</v>
      </c>
      <c r="S3">
        <v>1.1297868651243366</v>
      </c>
      <c r="T3" t="b">
        <f>Q3=M3</f>
        <v>1</v>
      </c>
      <c r="U3" t="b">
        <f>S3=O3</f>
        <v>1</v>
      </c>
    </row>
    <row r="4" spans="1:21" x14ac:dyDescent="0.3">
      <c r="A4" t="s">
        <v>17</v>
      </c>
      <c r="B4">
        <v>-5.3536599999999997E-2</v>
      </c>
      <c r="F4" t="s">
        <v>81</v>
      </c>
      <c r="G4">
        <f xml:space="preserve"> 0.05^2</f>
        <v>2.5000000000000005E-3</v>
      </c>
      <c r="I4" t="s">
        <v>96</v>
      </c>
      <c r="J4">
        <v>0.97499999999999998</v>
      </c>
      <c r="L4">
        <v>2</v>
      </c>
      <c r="M4" s="6">
        <f>J7* (EXP(B54))  / EXP(B4) - EXP(B7) * EXP(B48) + J3 * EXP(B7) * EXP(B48)</f>
        <v>-2.549488087311147E-7</v>
      </c>
      <c r="N4" s="6" t="s">
        <v>166</v>
      </c>
      <c r="O4" s="6">
        <v>0</v>
      </c>
      <c r="Q4">
        <v>-2.549488087311147E-7</v>
      </c>
      <c r="R4" t="s">
        <v>166</v>
      </c>
      <c r="S4">
        <v>0</v>
      </c>
      <c r="T4" t="b">
        <f t="shared" ref="T4:T36" si="0">Q4=M4</f>
        <v>1</v>
      </c>
      <c r="U4" t="b">
        <f t="shared" ref="U4:U36" si="1">S4=O4</f>
        <v>1</v>
      </c>
    </row>
    <row r="5" spans="1:21" x14ac:dyDescent="0.3">
      <c r="A5" t="s">
        <v>18</v>
      </c>
      <c r="B5">
        <v>0.84079700000000002</v>
      </c>
      <c r="F5" t="s">
        <v>82</v>
      </c>
      <c r="G5" s="3">
        <f>0.0658^2</f>
        <v>4.3296400000000001E-3</v>
      </c>
      <c r="I5" t="s">
        <v>98</v>
      </c>
      <c r="J5">
        <f>J4</f>
        <v>0.97499999999999998</v>
      </c>
      <c r="L5">
        <v>3</v>
      </c>
      <c r="M5" s="6">
        <f>J3* EXP(B7) * (1+EXP(B32) )/ EXP(B37)</f>
        <v>1.1297868831373645</v>
      </c>
      <c r="N5" s="6" t="s">
        <v>166</v>
      </c>
      <c r="O5" s="6">
        <f>EXP(B7)</f>
        <v>1.1297868651243366</v>
      </c>
      <c r="Q5">
        <v>1.1297868831373645</v>
      </c>
      <c r="R5" s="5" t="s">
        <v>166</v>
      </c>
      <c r="S5">
        <v>1.1297868651243366</v>
      </c>
      <c r="T5" t="b">
        <f t="shared" si="0"/>
        <v>1</v>
      </c>
      <c r="U5" t="b">
        <f t="shared" si="1"/>
        <v>1</v>
      </c>
    </row>
    <row r="6" spans="1:21" x14ac:dyDescent="0.3">
      <c r="A6" t="s">
        <v>19</v>
      </c>
      <c r="B6">
        <v>-0.26297700000000002</v>
      </c>
      <c r="F6" t="s">
        <v>83</v>
      </c>
      <c r="G6">
        <f xml:space="preserve"> 0.3721^2</f>
        <v>0.13845840999999998</v>
      </c>
      <c r="I6" t="s">
        <v>100</v>
      </c>
      <c r="J6">
        <v>0.55000000000000004</v>
      </c>
      <c r="K6">
        <v>0.55000000000000004</v>
      </c>
      <c r="L6">
        <v>4</v>
      </c>
      <c r="M6" s="8">
        <f>(1-EXP(B62)*EXP(B22)+EXP(B22)^(1+J8)/EXP(B45)*EXP(B62)/EXP(B7)-J51*(EXP(B10)-EXP(B37)^J61*J28^(1-J61))*EXP(B46)
+J3*EXP(B7)/EXP(B7)*J51*(EXP(B10)-EXP(B37)^J61*J28^(1-J61))*EXP(B10)^2/EXP(B37))</f>
        <v>0.23124211673439846</v>
      </c>
      <c r="N6" s="6" t="s">
        <v>166</v>
      </c>
      <c r="O6" s="6">
        <v>0</v>
      </c>
      <c r="Q6">
        <v>0.23124211673439846</v>
      </c>
      <c r="R6" t="s">
        <v>166</v>
      </c>
      <c r="S6">
        <v>0</v>
      </c>
      <c r="T6" t="b">
        <f t="shared" si="0"/>
        <v>1</v>
      </c>
      <c r="U6" t="b">
        <f t="shared" si="1"/>
        <v>1</v>
      </c>
    </row>
    <row r="7" spans="1:21" x14ac:dyDescent="0.3">
      <c r="A7" t="s">
        <v>20</v>
      </c>
      <c r="B7">
        <v>0.122029</v>
      </c>
      <c r="C7">
        <f>LN(M3)</f>
        <v>0.12202899999999986</v>
      </c>
      <c r="F7" t="s">
        <v>84</v>
      </c>
      <c r="G7">
        <f xml:space="preserve"> 0.0034^2</f>
        <v>1.1559999999999999E-5</v>
      </c>
      <c r="I7" t="s">
        <v>94</v>
      </c>
      <c r="J7">
        <v>0.2</v>
      </c>
      <c r="L7">
        <v>5</v>
      </c>
      <c r="M7" s="6">
        <f xml:space="preserve"> EXP(B45) / EXP(B45) * EXP(B37)</f>
        <v>1.0000000000000115</v>
      </c>
      <c r="N7" s="6" t="s">
        <v>166</v>
      </c>
      <c r="O7" s="6">
        <f>M7</f>
        <v>1.0000000000000115</v>
      </c>
      <c r="Q7" s="4">
        <v>1.0000000000000115</v>
      </c>
      <c r="R7" t="s">
        <v>166</v>
      </c>
      <c r="S7">
        <v>1.0000000000000115</v>
      </c>
      <c r="T7" t="b">
        <f t="shared" si="0"/>
        <v>1</v>
      </c>
      <c r="U7" t="b">
        <f t="shared" si="1"/>
        <v>1</v>
      </c>
    </row>
    <row r="8" spans="1:21" x14ac:dyDescent="0.3">
      <c r="A8" t="s">
        <v>21</v>
      </c>
      <c r="B8">
        <v>-1.52345</v>
      </c>
      <c r="F8" t="s">
        <v>85</v>
      </c>
      <c r="G8">
        <f xml:space="preserve"> 0.0023^2</f>
        <v>5.2900000000000002E-6</v>
      </c>
      <c r="I8" t="s">
        <v>95</v>
      </c>
      <c r="J8">
        <v>1</v>
      </c>
      <c r="K8">
        <v>7.8220000000000001</v>
      </c>
      <c r="L8">
        <v>6</v>
      </c>
      <c r="M8" s="6">
        <f>EXP(B3) + EXP(B48) * ( EXP(B4) - EXP(B4) ) + EXP(B5)</f>
        <v>3.2033365567177907</v>
      </c>
      <c r="N8" s="6" t="s">
        <v>166</v>
      </c>
      <c r="O8" s="6">
        <f xml:space="preserve"> EXP(B45) * EXP(B22)
   + (1+EXP(B32))*EXP(B5)/EXP(B37) + EXP(B8)/J16</f>
        <v>3.2033364915705507</v>
      </c>
      <c r="Q8">
        <v>3.2033365567177907</v>
      </c>
      <c r="R8" t="s">
        <v>166</v>
      </c>
      <c r="S8">
        <v>3.2033364915705507</v>
      </c>
      <c r="T8" t="b">
        <f t="shared" si="0"/>
        <v>1</v>
      </c>
      <c r="U8" t="b">
        <f t="shared" si="1"/>
        <v>1</v>
      </c>
    </row>
    <row r="9" spans="1:21" x14ac:dyDescent="0.3">
      <c r="A9" t="s">
        <v>22</v>
      </c>
      <c r="B9">
        <v>-3.7936899999999998</v>
      </c>
      <c r="F9" t="s">
        <v>86</v>
      </c>
      <c r="G9">
        <f xml:space="preserve"> 0.1454^2</f>
        <v>2.1141159999999999E-2</v>
      </c>
      <c r="I9" t="s">
        <v>103</v>
      </c>
      <c r="J9">
        <v>1</v>
      </c>
      <c r="L9">
        <v>7</v>
      </c>
      <c r="M9" s="6">
        <f>1/EXP(B11)</f>
        <v>6.8073982588212605</v>
      </c>
      <c r="N9" s="6" t="s">
        <v>166</v>
      </c>
      <c r="O9" s="6">
        <f>EXP(B15)</f>
        <v>6.8073982588212605</v>
      </c>
      <c r="Q9">
        <v>6.8073982588212605</v>
      </c>
      <c r="R9" t="s">
        <v>166</v>
      </c>
      <c r="S9">
        <v>6.8073982588212605</v>
      </c>
      <c r="T9" t="b">
        <f t="shared" si="0"/>
        <v>1</v>
      </c>
      <c r="U9" t="b">
        <f t="shared" si="1"/>
        <v>1</v>
      </c>
    </row>
    <row r="10" spans="1:21" x14ac:dyDescent="0.3">
      <c r="A10" t="s">
        <v>23</v>
      </c>
      <c r="C10" s="2">
        <f>LN(O7)</f>
        <v>1.1546319456101562E-14</v>
      </c>
      <c r="D10" s="2">
        <f>D37</f>
        <v>1.1600000000000001E-14</v>
      </c>
      <c r="F10" t="s">
        <v>87</v>
      </c>
      <c r="G10">
        <f xml:space="preserve"> 0.0051^2</f>
        <v>2.6010000000000003E-5</v>
      </c>
      <c r="I10" t="s">
        <v>110</v>
      </c>
      <c r="J10">
        <v>0.8</v>
      </c>
      <c r="L10">
        <v>8</v>
      </c>
      <c r="M10" s="6">
        <f>J7 * 1  / EXP(B12) - EXP(B15) * EXP(B48) + J4 * EXP(B15) * EXP(B48)  + EXP(B16) * EXP(B59) *EXP(B48)   * EXP(B37)</f>
        <v>-2.4617386515934925E-6</v>
      </c>
      <c r="N10" s="6" t="s">
        <v>166</v>
      </c>
      <c r="O10" s="6">
        <v>0</v>
      </c>
      <c r="Q10">
        <v>-2.4617386515934925E-6</v>
      </c>
      <c r="R10" t="s">
        <v>166</v>
      </c>
      <c r="S10">
        <v>0</v>
      </c>
      <c r="T10" t="b">
        <f t="shared" si="0"/>
        <v>1</v>
      </c>
      <c r="U10" t="b">
        <f t="shared" si="1"/>
        <v>1</v>
      </c>
    </row>
    <row r="11" spans="1:21" x14ac:dyDescent="0.3">
      <c r="A11" t="s">
        <v>24</v>
      </c>
      <c r="B11">
        <v>-1.91801</v>
      </c>
      <c r="F11" t="s">
        <v>88</v>
      </c>
      <c r="G11">
        <f xml:space="preserve"> 0.0488^2</f>
        <v>2.3814400000000003E-3</v>
      </c>
      <c r="I11" t="s">
        <v>101</v>
      </c>
      <c r="J11">
        <f>J35</f>
        <v>4.6946406588904588E-2</v>
      </c>
      <c r="L11">
        <v>9</v>
      </c>
      <c r="M11" s="6">
        <f>EXP(B15) - J4 * EXP(B15) * (1+EXP(B33)) / EXP(B37)</f>
        <v>7.6906658964724706E-2</v>
      </c>
      <c r="N11" s="6" t="s">
        <v>166</v>
      </c>
      <c r="O11" s="6">
        <f>EXP(B16) * (1+EXP(B33))</f>
        <v>7.6906567346997232E-2</v>
      </c>
      <c r="Q11">
        <v>7.6906658964724706E-2</v>
      </c>
      <c r="R11" t="s">
        <v>166</v>
      </c>
      <c r="S11">
        <v>7.6906567346997232E-2</v>
      </c>
      <c r="T11" t="b">
        <f t="shared" si="0"/>
        <v>1</v>
      </c>
      <c r="U11" t="b">
        <f t="shared" si="1"/>
        <v>1</v>
      </c>
    </row>
    <row r="12" spans="1:21" x14ac:dyDescent="0.3">
      <c r="A12" t="s">
        <v>25</v>
      </c>
      <c r="B12">
        <v>-2.95404</v>
      </c>
      <c r="F12" t="s">
        <v>89</v>
      </c>
      <c r="G12">
        <f xml:space="preserve"> 0.0018^2</f>
        <v>3.2399999999999999E-6</v>
      </c>
      <c r="I12" t="s">
        <v>102</v>
      </c>
      <c r="J12">
        <f>0.1*J35</f>
        <v>4.6946406588904595E-3</v>
      </c>
      <c r="L12">
        <v>10</v>
      </c>
      <c r="M12" s="6">
        <f>(1 - EXP(B62)) * EXP(B14) + EXP(B14) ^(1+J8) / EXP(B46) * EXP(B62)/EXP(B15)
                                         - J51 *( EXP(B37)     - EXP(B37)^J61 * J28 ^ (1-J61) ) * EXP(B37) +  J4* EXP(B15)/EXP(B15) * J51 *( EXP(B37) - EXP(B37)    ^J61 * J28 ^ (1-J61) ) * EXP(B37) ^2 / EXP(B37)</f>
        <v>1.325894133840462E-6</v>
      </c>
      <c r="N12" s="6" t="s">
        <v>166</v>
      </c>
      <c r="O12" s="6">
        <v>0</v>
      </c>
      <c r="Q12">
        <v>1.325894133840462E-6</v>
      </c>
      <c r="R12" t="s">
        <v>166</v>
      </c>
      <c r="S12">
        <v>0</v>
      </c>
      <c r="T12" t="b">
        <f t="shared" si="0"/>
        <v>1</v>
      </c>
      <c r="U12" t="b">
        <f t="shared" si="1"/>
        <v>1</v>
      </c>
    </row>
    <row r="13" spans="1:21" x14ac:dyDescent="0.3">
      <c r="A13" t="s">
        <v>26</v>
      </c>
      <c r="B13">
        <v>0.164689</v>
      </c>
      <c r="F13" t="s">
        <v>90</v>
      </c>
      <c r="G13">
        <f xml:space="preserve"> 0.0128^2</f>
        <v>1.6384E-4</v>
      </c>
      <c r="I13" t="s">
        <v>148</v>
      </c>
      <c r="J13">
        <v>2.5000000000000001E-2</v>
      </c>
      <c r="K13">
        <v>4.9000000000000002E-2</v>
      </c>
      <c r="L13">
        <v>11</v>
      </c>
      <c r="M13" s="6">
        <f>B17</f>
        <v>0</v>
      </c>
      <c r="N13" s="6" t="s">
        <v>166</v>
      </c>
      <c r="O13" s="6">
        <f>B37</f>
        <v>1.1600000000000001E-14</v>
      </c>
      <c r="Q13">
        <v>0</v>
      </c>
      <c r="R13" t="s">
        <v>166</v>
      </c>
      <c r="S13">
        <v>1.1600000000000001E-14</v>
      </c>
      <c r="T13" t="b">
        <f t="shared" si="0"/>
        <v>1</v>
      </c>
      <c r="U13" t="b">
        <f t="shared" si="1"/>
        <v>1</v>
      </c>
    </row>
    <row r="14" spans="1:21" x14ac:dyDescent="0.3">
      <c r="A14" t="s">
        <v>27</v>
      </c>
      <c r="B14">
        <v>-5.8133200000000003E-2</v>
      </c>
      <c r="F14" t="s">
        <v>91</v>
      </c>
      <c r="G14">
        <f xml:space="preserve"> 1.0099^2</f>
        <v>1.0198980100000001</v>
      </c>
      <c r="I14" t="s">
        <v>118</v>
      </c>
      <c r="J14">
        <f>J32/J15*(J22-J23+J15*J22*(J23-1))/((J23-1)*(J22-1))</f>
        <v>0.10487661450726832</v>
      </c>
      <c r="L14">
        <v>12</v>
      </c>
      <c r="M14" s="6">
        <f>EXP(B11) + (1+EXP(B33))*EXP(B13)/EXP(B37)</f>
        <v>1.3424952266649002</v>
      </c>
      <c r="N14" s="6" t="s">
        <v>166</v>
      </c>
      <c r="O14" s="6">
        <f xml:space="preserve"> EXP(B46) * EXP(B23) + EXP(B13)</f>
        <v>1.3424951734543942</v>
      </c>
      <c r="Q14">
        <v>1.3424952266649002</v>
      </c>
      <c r="R14" t="s">
        <v>166</v>
      </c>
      <c r="S14">
        <v>1.3424951734543942</v>
      </c>
      <c r="T14" t="b">
        <f t="shared" si="0"/>
        <v>1</v>
      </c>
      <c r="U14" t="b">
        <f t="shared" si="1"/>
        <v>1</v>
      </c>
    </row>
    <row r="15" spans="1:21" x14ac:dyDescent="0.3">
      <c r="A15" t="s">
        <v>28</v>
      </c>
      <c r="B15">
        <v>1.91801</v>
      </c>
      <c r="F15" t="s">
        <v>92</v>
      </c>
      <c r="G15">
        <f xml:space="preserve"> 0.0144^2</f>
        <v>2.0735999999999999E-4</v>
      </c>
      <c r="I15" t="s">
        <v>4</v>
      </c>
      <c r="J15">
        <v>0.09</v>
      </c>
      <c r="L15">
        <v>13</v>
      </c>
      <c r="M15" s="6">
        <f>(1+EXP(B33)) * EXP(B13)</f>
        <v>1.1955962261981548</v>
      </c>
      <c r="N15" s="6" t="s">
        <v>166</v>
      </c>
      <c r="O15" s="6">
        <f>EXP(B59) * EXP(B48)   *EXP(B12) * EXP(B37)</f>
        <v>1.1955962991856997</v>
      </c>
      <c r="Q15">
        <v>1.1955962261981548</v>
      </c>
      <c r="R15" t="s">
        <v>166</v>
      </c>
      <c r="S15">
        <v>1.1955962991856997</v>
      </c>
      <c r="T15" t="b">
        <f t="shared" si="0"/>
        <v>1</v>
      </c>
      <c r="U15" t="b">
        <f t="shared" si="1"/>
        <v>1</v>
      </c>
    </row>
    <row r="16" spans="1:21" x14ac:dyDescent="0.3">
      <c r="A16" t="s">
        <v>29</v>
      </c>
      <c r="B16">
        <v>-2.5791200000000001</v>
      </c>
      <c r="I16" t="s">
        <v>107</v>
      </c>
      <c r="J16">
        <v>1</v>
      </c>
      <c r="L16">
        <v>14</v>
      </c>
      <c r="M16" s="6">
        <f>J13*EXP(B21)</f>
        <v>0.14232680042705764</v>
      </c>
      <c r="N16" s="6" t="s">
        <v>166</v>
      </c>
      <c r="O16" s="6">
        <f>EXP(B18)</f>
        <v>0.1423281460072057</v>
      </c>
      <c r="Q16">
        <v>0.14232680042705764</v>
      </c>
      <c r="R16" t="s">
        <v>166</v>
      </c>
      <c r="S16">
        <v>0.1423281460072057</v>
      </c>
      <c r="T16" t="b">
        <f t="shared" si="0"/>
        <v>1</v>
      </c>
      <c r="U16" t="b">
        <f t="shared" si="1"/>
        <v>1</v>
      </c>
    </row>
    <row r="17" spans="1:21" x14ac:dyDescent="0.3">
      <c r="A17" t="s">
        <v>30</v>
      </c>
      <c r="D17" s="2">
        <f>D37</f>
        <v>1.1600000000000001E-14</v>
      </c>
      <c r="I17" t="s">
        <v>108</v>
      </c>
      <c r="J17">
        <v>1</v>
      </c>
      <c r="L17">
        <v>15</v>
      </c>
      <c r="M17" s="6">
        <f>EXP(B19) * ( 1 -  J52/2 * (EXP(B18)*EXP(B58)/EXP(B18) - 1))^2  - J52* (EXP(B18)*EXP(B58)/EXP(B18) - 1) * EXP(B18)*EXP(B58)/EXP(B18)
  + J5  * EXP(B19) *   J52* (EXP(B18)*EXP(B58)/EXP(B18) - 1) * EXP(B58) * (EXP(B18)/EXP(B18))^2</f>
        <v>1</v>
      </c>
      <c r="N17" s="6" t="s">
        <v>166</v>
      </c>
      <c r="O17" s="6">
        <v>1</v>
      </c>
      <c r="Q17">
        <v>1</v>
      </c>
      <c r="R17" t="s">
        <v>166</v>
      </c>
      <c r="S17">
        <v>1</v>
      </c>
      <c r="T17" t="b">
        <f t="shared" si="0"/>
        <v>1</v>
      </c>
      <c r="U17" t="b">
        <f t="shared" si="1"/>
        <v>1</v>
      </c>
    </row>
    <row r="18" spans="1:21" x14ac:dyDescent="0.3">
      <c r="A18" t="s">
        <v>31</v>
      </c>
      <c r="B18">
        <v>-1.9496199999999999</v>
      </c>
      <c r="C18" t="e">
        <f>LN(J13*EXP(#REF!))</f>
        <v>#REF!</v>
      </c>
      <c r="D18">
        <f>LN(J13*EXP(D49))</f>
        <v>-3.6888794541139363</v>
      </c>
      <c r="I18" t="s">
        <v>109</v>
      </c>
      <c r="J18">
        <v>1</v>
      </c>
      <c r="L18">
        <v>16</v>
      </c>
      <c r="M18" s="6">
        <f>1/EXP(B20)</f>
        <v>9.0180669138182381</v>
      </c>
      <c r="N18" s="6" t="s">
        <v>166</v>
      </c>
      <c r="O18" s="6">
        <f>EXP(B26)</f>
        <v>9.0180669138182381</v>
      </c>
      <c r="Q18">
        <v>9.0180669138182381</v>
      </c>
      <c r="R18" t="s">
        <v>166</v>
      </c>
      <c r="S18">
        <v>9.0180669138182381</v>
      </c>
      <c r="T18" t="b">
        <f t="shared" si="0"/>
        <v>1</v>
      </c>
      <c r="U18" t="b">
        <f t="shared" si="1"/>
        <v>1</v>
      </c>
    </row>
    <row r="19" spans="1:21" x14ac:dyDescent="0.3">
      <c r="A19" t="s">
        <v>32</v>
      </c>
      <c r="I19" t="s">
        <v>128</v>
      </c>
      <c r="J19">
        <v>0</v>
      </c>
      <c r="L19">
        <v>17</v>
      </c>
      <c r="M19" s="6">
        <f>EXP(B27)*EXP(B60)*EXP(B19)*EXP(B37)*(1-J13)+J5*EXP(B26)*(EXP(B19)*(1-J13)+EXP(B69))*EXP(B28)
-(J11*(EXP(B28)-1)+J12/2*((EXP(B28)-1)^2))</f>
        <v>9.0278643371091256</v>
      </c>
      <c r="N19" s="6" t="s">
        <v>166</v>
      </c>
      <c r="O19" s="6">
        <f>EXP(B26) * EXP(B19)</f>
        <v>9.0180669138182381</v>
      </c>
      <c r="Q19">
        <v>9.0278643371091256</v>
      </c>
      <c r="R19" t="s">
        <v>166</v>
      </c>
      <c r="S19">
        <v>9.0180669138182381</v>
      </c>
      <c r="T19" t="b">
        <f t="shared" si="0"/>
        <v>1</v>
      </c>
      <c r="U19" t="b">
        <f t="shared" si="1"/>
        <v>1</v>
      </c>
    </row>
    <row r="20" spans="1:21" x14ac:dyDescent="0.3">
      <c r="A20" t="s">
        <v>33</v>
      </c>
      <c r="B20">
        <v>-2.19923</v>
      </c>
      <c r="I20" t="s">
        <v>129</v>
      </c>
      <c r="J20">
        <v>0</v>
      </c>
      <c r="L20">
        <v>18</v>
      </c>
      <c r="M20" s="6">
        <f>EXP(B45)</f>
        <v>0.85055772296658494</v>
      </c>
      <c r="N20" s="6" t="s">
        <v>166</v>
      </c>
      <c r="O20" s="6">
        <f>J10* (1-J6) * EXP(B25) / ( EXP(B6) * EXP(B38) )</f>
        <v>0.51033482578523237</v>
      </c>
      <c r="Q20">
        <v>0.85055772296658494</v>
      </c>
      <c r="R20" t="s">
        <v>166</v>
      </c>
      <c r="S20">
        <v>0.85055804297538751</v>
      </c>
      <c r="T20" t="b">
        <f t="shared" si="0"/>
        <v>1</v>
      </c>
      <c r="U20" t="b">
        <f t="shared" si="1"/>
        <v>0</v>
      </c>
    </row>
    <row r="21" spans="1:21" x14ac:dyDescent="0.3">
      <c r="A21" t="s">
        <v>34</v>
      </c>
      <c r="B21">
        <v>1.73925</v>
      </c>
      <c r="I21" t="s">
        <v>130</v>
      </c>
      <c r="J21">
        <v>0</v>
      </c>
      <c r="L21">
        <v>19</v>
      </c>
      <c r="M21" s="6">
        <f>EXP(B46)</f>
        <v>0.17325340282144272</v>
      </c>
      <c r="N21" s="6" t="s">
        <v>166</v>
      </c>
      <c r="O21" s="6">
        <f>(1-J10) * (1-J6) * EXP(B25) / ( EXP(B14) * EXP(B38) )</f>
        <v>0.10395196010240774</v>
      </c>
      <c r="Q21">
        <v>0.17325340282144272</v>
      </c>
      <c r="R21" t="s">
        <v>166</v>
      </c>
      <c r="S21">
        <v>0.17325326683734624</v>
      </c>
      <c r="T21" t="b">
        <f t="shared" si="0"/>
        <v>1</v>
      </c>
      <c r="U21" t="b">
        <f t="shared" si="1"/>
        <v>0</v>
      </c>
    </row>
    <row r="22" spans="1:21" x14ac:dyDescent="0.3">
      <c r="A22" t="s">
        <v>35</v>
      </c>
      <c r="B22">
        <v>-0.26297700000000002</v>
      </c>
      <c r="I22" t="s">
        <v>9</v>
      </c>
      <c r="J22">
        <v>-1.46025</v>
      </c>
      <c r="L22">
        <v>20</v>
      </c>
      <c r="M22" s="6">
        <f>EXP(B26) - EXP(B27)  * (1+EXP(B34))</f>
        <v>8.9161843032233694</v>
      </c>
      <c r="N22" s="6" t="s">
        <v>166</v>
      </c>
      <c r="O22" s="6">
        <f>J5 * EXP(B26) * (1+EXP(B34)) / EXP(B37)</f>
        <v>8.9161852006742546</v>
      </c>
      <c r="Q22">
        <v>8.9161843032233694</v>
      </c>
      <c r="R22" t="s">
        <v>166</v>
      </c>
      <c r="S22">
        <v>8.9161852006742546</v>
      </c>
      <c r="T22" t="b">
        <f t="shared" si="0"/>
        <v>1</v>
      </c>
      <c r="U22" t="b">
        <f t="shared" si="1"/>
        <v>1</v>
      </c>
    </row>
    <row r="23" spans="1:21" x14ac:dyDescent="0.3">
      <c r="A23" t="s">
        <v>36</v>
      </c>
      <c r="B23">
        <v>-5.8133200000000003E-2</v>
      </c>
      <c r="I23" t="s">
        <v>149</v>
      </c>
      <c r="J23">
        <f>AVERAGE(J24:J25)</f>
        <v>2.9328059999999998</v>
      </c>
      <c r="L23">
        <v>21</v>
      </c>
      <c r="M23" s="6">
        <f>EXP(B69)</f>
        <v>4.7855941476672333E-2</v>
      </c>
      <c r="N23" s="6" t="s">
        <v>166</v>
      </c>
      <c r="O23" s="6">
        <f>J11 + J12 * (EXP(B28)-1)</f>
        <v>4.6946406588904588E-2</v>
      </c>
      <c r="Q23">
        <v>4.7855941476672333E-2</v>
      </c>
      <c r="R23" t="s">
        <v>166</v>
      </c>
      <c r="S23">
        <v>4.6946406588904588E-2</v>
      </c>
      <c r="T23" t="b">
        <f t="shared" si="0"/>
        <v>1</v>
      </c>
      <c r="U23" t="b">
        <f t="shared" si="1"/>
        <v>1</v>
      </c>
    </row>
    <row r="24" spans="1:21" x14ac:dyDescent="0.3">
      <c r="A24" t="s">
        <v>37</v>
      </c>
      <c r="B24">
        <v>0.31368699999999999</v>
      </c>
      <c r="I24" t="s">
        <v>12</v>
      </c>
      <c r="J24">
        <v>2.9328059999999998</v>
      </c>
      <c r="L24">
        <v>22</v>
      </c>
      <c r="M24" s="6">
        <f>EXP(B20) + ((1+EXP(B34)) * EXP(B24) / EXP(B37) ) +  (EXP(B45)*EXP(B22) + EXP(B46)*EXP(B23)) + EXP(B19) * EXP(B21)
   + ( J11*(EXP(B28)-1)+J12/2*(EXP(B28)-1)^2 ) * EXP(B21)</f>
        <v>8.0089971827283506</v>
      </c>
      <c r="N24" s="6" t="s">
        <v>166</v>
      </c>
      <c r="O24" s="6">
        <f>EXP(B25) / EXP(B38) + EXP(B24) + EXP(B19) * (1-J13) * EXP(B21)</f>
        <v>8.0089976288858011</v>
      </c>
      <c r="Q24">
        <v>8.0089971827283506</v>
      </c>
      <c r="R24" t="s">
        <v>166</v>
      </c>
      <c r="S24">
        <v>8.0089976288858011</v>
      </c>
      <c r="T24" t="b">
        <f t="shared" si="0"/>
        <v>1</v>
      </c>
      <c r="U24" t="b">
        <f t="shared" si="1"/>
        <v>1</v>
      </c>
    </row>
    <row r="25" spans="1:21" x14ac:dyDescent="0.3">
      <c r="A25" t="s">
        <v>38</v>
      </c>
      <c r="B25">
        <v>0.26830799999999999</v>
      </c>
      <c r="I25" t="s">
        <v>113</v>
      </c>
      <c r="J25">
        <f>J24</f>
        <v>2.9328059999999998</v>
      </c>
      <c r="L25">
        <v>23</v>
      </c>
      <c r="M25" s="6">
        <f>EXP(B25)</f>
        <v>1.307749864950517</v>
      </c>
      <c r="N25" s="6" t="s">
        <v>166</v>
      </c>
      <c r="O25" s="6">
        <f>EXP(B53) * (EXP(B28)*EXP(B21))^J6 * ( EXP(B6)^J10* EXP(B14)^(1-J10) ) ^ (1-J6)</f>
        <v>2.3553369410735461</v>
      </c>
      <c r="Q25">
        <v>1.307749864950517</v>
      </c>
      <c r="R25" t="s">
        <v>166</v>
      </c>
      <c r="S25">
        <v>1.3077476679325895</v>
      </c>
      <c r="T25" t="b">
        <f t="shared" si="0"/>
        <v>1</v>
      </c>
      <c r="U25" t="b">
        <f t="shared" si="1"/>
        <v>0</v>
      </c>
    </row>
    <row r="26" spans="1:21" x14ac:dyDescent="0.3">
      <c r="A26" t="s">
        <v>39</v>
      </c>
      <c r="B26">
        <v>2.19923</v>
      </c>
      <c r="I26" t="s">
        <v>120</v>
      </c>
      <c r="J26">
        <v>6</v>
      </c>
      <c r="L26">
        <v>24</v>
      </c>
      <c r="M26" s="6">
        <f>(1+EXP(B34)) * EXP(B24)</f>
        <v>1.387693470358798</v>
      </c>
      <c r="N26" s="6" t="s">
        <v>166</v>
      </c>
      <c r="O26" s="6">
        <f>EXP(B60) * EXP(B19)  *EXP(B37) * EXP(B21) * (1-J13)</f>
        <v>1.9427608258293587</v>
      </c>
      <c r="Q26">
        <v>1.387693470358798</v>
      </c>
      <c r="R26" t="s">
        <v>166</v>
      </c>
      <c r="S26">
        <v>1.9427608258293587</v>
      </c>
      <c r="T26" t="b">
        <f t="shared" si="0"/>
        <v>1</v>
      </c>
      <c r="U26" t="b">
        <f t="shared" si="1"/>
        <v>1</v>
      </c>
    </row>
    <row r="27" spans="1:21" x14ac:dyDescent="0.3">
      <c r="A27" t="s">
        <v>40</v>
      </c>
      <c r="B27">
        <v>-2.2978900000000002</v>
      </c>
      <c r="I27" t="s">
        <v>111</v>
      </c>
      <c r="J27">
        <v>5</v>
      </c>
      <c r="L27">
        <v>25</v>
      </c>
      <c r="M27" s="6">
        <f>EXP(B69)</f>
        <v>4.7855941476672333E-2</v>
      </c>
      <c r="N27" s="6" t="s">
        <v>166</v>
      </c>
      <c r="O27" s="6">
        <f xml:space="preserve"> J6 * EXP(B53) * EXP(B28)^(J6-1) * EXP(B21)^(J6-1) * ( EXP(B6)^J10 * EXP(B14)^(1-J10) ) ^ (1-J6) /EXP(B38)</f>
        <v>0.18962151710576272</v>
      </c>
      <c r="Q27">
        <v>4.7855941476672333E-2</v>
      </c>
      <c r="R27" t="s">
        <v>166</v>
      </c>
      <c r="S27">
        <v>4.7855939508841282E-2</v>
      </c>
      <c r="T27" t="b">
        <f t="shared" si="0"/>
        <v>1</v>
      </c>
      <c r="U27" t="b">
        <f t="shared" si="1"/>
        <v>0</v>
      </c>
    </row>
    <row r="28" spans="1:21" x14ac:dyDescent="0.3">
      <c r="A28" t="s">
        <v>41</v>
      </c>
      <c r="I28" t="s">
        <v>7</v>
      </c>
      <c r="J28">
        <v>1</v>
      </c>
      <c r="L28">
        <v>26</v>
      </c>
      <c r="M28" s="6">
        <f>EXP(B35)</f>
        <v>1.0027439437292352E-2</v>
      </c>
      <c r="N28" s="6" t="s">
        <v>166</v>
      </c>
      <c r="O28" s="6">
        <f xml:space="preserve"> - J56* ( EXP(B36) / EXP(B44) - J15 ) * (EXP(B36)/EXP(B44)) ^2  + EXP(B51)</f>
        <v>1.0287166266263716E-2</v>
      </c>
      <c r="Q28">
        <v>1.0027439437292352E-2</v>
      </c>
      <c r="R28" t="s">
        <v>166</v>
      </c>
      <c r="S28">
        <v>1.0287163113743707E-2</v>
      </c>
      <c r="T28" t="b">
        <f t="shared" si="0"/>
        <v>1</v>
      </c>
      <c r="U28" t="b">
        <f t="shared" si="1"/>
        <v>0</v>
      </c>
    </row>
    <row r="29" spans="1:21" x14ac:dyDescent="0.3">
      <c r="A29" t="s">
        <v>42</v>
      </c>
      <c r="B29">
        <v>0.94079699999999999</v>
      </c>
      <c r="I29" t="s">
        <v>11</v>
      </c>
      <c r="J29">
        <f>J22/(J22-1)</f>
        <v>0.59353724215018799</v>
      </c>
      <c r="L29">
        <v>27</v>
      </c>
      <c r="M29" s="6">
        <f>EXP(B36) * EXP(B37)</f>
        <v>0.20745517225004623</v>
      </c>
      <c r="N29" s="6" t="s">
        <v>166</v>
      </c>
      <c r="O29" s="6">
        <f xml:space="preserve"> (1-J14) * EXP(B36)  + EXP(B9)</f>
        <v>0.20821035384567652</v>
      </c>
      <c r="Q29">
        <v>0.20745517225004623</v>
      </c>
      <c r="R29" t="s">
        <v>166</v>
      </c>
      <c r="S29">
        <v>0.20821035384567652</v>
      </c>
      <c r="T29" t="b">
        <f t="shared" si="0"/>
        <v>1</v>
      </c>
      <c r="U29" t="b">
        <f t="shared" si="1"/>
        <v>1</v>
      </c>
    </row>
    <row r="30" spans="1:21" x14ac:dyDescent="0.3">
      <c r="A30" t="s">
        <v>43</v>
      </c>
      <c r="B30">
        <v>0.164689</v>
      </c>
      <c r="I30" t="s">
        <v>114</v>
      </c>
      <c r="J30">
        <f>J25/(J25-1)</f>
        <v>1.5173824998473722</v>
      </c>
      <c r="L30">
        <v>28</v>
      </c>
      <c r="M30" s="6">
        <f>- 1 + EXP(B55)/(EXP(B55)-1)  - EXP(B55)/(EXP(B55)-1)  * EXP(B51)/EXP(B32)  - J53
  + J3 * J53  * ( 1-1^J19)</f>
        <v>-3.5029802982524125</v>
      </c>
      <c r="N30" s="6" t="s">
        <v>166</v>
      </c>
      <c r="O30" s="6">
        <v>0</v>
      </c>
      <c r="P30">
        <f>-1+EXP(B55)/(EXP(B55)-1)-EXP(B55)/(EXP(B55)-1)*EXP(B51)/EXP(B32)-J53*(EXP(B32)/EXP(B32)-(EXP(B32)/EXP(B32))^J19)*EXP(B32)/EXP(B32)+J3*(EXP(B7)/EXP(B7))*J53*(EXP(B32)/EXP(B32)-(EXP(B32)/EXP(B32)^J19)*((EXP(B32)/EXP(B32))^2)*(EXP(B29)/EXP(B29)))</f>
        <v>3.4630325821174623</v>
      </c>
      <c r="Q30">
        <v>-3.5029802982524125</v>
      </c>
      <c r="R30" t="s">
        <v>166</v>
      </c>
      <c r="S30">
        <v>0</v>
      </c>
      <c r="T30" t="b">
        <f t="shared" si="0"/>
        <v>1</v>
      </c>
      <c r="U30" t="b">
        <f t="shared" si="1"/>
        <v>1</v>
      </c>
    </row>
    <row r="31" spans="1:21" x14ac:dyDescent="0.3">
      <c r="A31" t="s">
        <v>44</v>
      </c>
      <c r="B31">
        <v>0.31368699999999999</v>
      </c>
      <c r="I31" t="s">
        <v>13</v>
      </c>
      <c r="J31">
        <f>J24/(J24-1)</f>
        <v>1.5173824998473722</v>
      </c>
      <c r="L31">
        <v>29</v>
      </c>
      <c r="N31" s="6" t="s">
        <v>166</v>
      </c>
      <c r="R31" t="s">
        <v>166</v>
      </c>
      <c r="T31" t="b">
        <f t="shared" si="0"/>
        <v>1</v>
      </c>
      <c r="U31" t="b">
        <f t="shared" si="1"/>
        <v>1</v>
      </c>
    </row>
    <row r="32" spans="1:21" x14ac:dyDescent="0.3">
      <c r="A32" t="s">
        <v>45</v>
      </c>
      <c r="B32">
        <v>-5.1615700000000002</v>
      </c>
      <c r="D32">
        <f>LN((EXP(D37)/J3)-1)</f>
        <v>-5.1615727971434797</v>
      </c>
      <c r="E32" t="s">
        <v>49</v>
      </c>
      <c r="I32" t="s">
        <v>134</v>
      </c>
      <c r="J32">
        <f>(J28/J3-1)*(J22-1)/J22</f>
        <v>9.6584946108585878E-3</v>
      </c>
      <c r="L32">
        <v>30</v>
      </c>
      <c r="N32" s="6" t="s">
        <v>166</v>
      </c>
      <c r="R32" t="s">
        <v>166</v>
      </c>
      <c r="T32" t="b">
        <f t="shared" si="0"/>
        <v>1</v>
      </c>
      <c r="U32" t="b">
        <f t="shared" si="1"/>
        <v>1</v>
      </c>
    </row>
    <row r="33" spans="1:21" x14ac:dyDescent="0.3">
      <c r="A33" t="s">
        <v>46</v>
      </c>
      <c r="B33">
        <v>-4.2648599999999997</v>
      </c>
      <c r="D33">
        <f>LN(J33)</f>
        <v>-4.2229306694173081</v>
      </c>
      <c r="E33" t="s">
        <v>49</v>
      </c>
      <c r="I33" t="s">
        <v>115</v>
      </c>
      <c r="J33">
        <f>J32*J25/(J25-1)</f>
        <v>1.4655630697386977E-2</v>
      </c>
      <c r="L33">
        <v>31</v>
      </c>
      <c r="M33" s="6">
        <f>EXP(B9)</f>
        <v>2.2512377723239489E-2</v>
      </c>
      <c r="N33" s="6" t="s">
        <v>166</v>
      </c>
      <c r="O33" s="6">
        <f>+ EXP(B33)  *  EXP(B30)
           + EXP(B34)  *  EXP(B24)
           - EXP(B32)   *  EXP(B29)
           - J53/2  * ( (EXP(B32)/EXP(B32)-1)^2)   * EXP(B32) *EXP(B29)
           - J54/2 * ( (EXP(B34)/EXP(B34)-1)^2) * EXP(B34)*EXP(B31)
           - J55/2 * ( (EXP(B33)/EXP(B33)-1)^2) * EXP(B33)*EXP(B30)
           - J56/2 * ( (EXP(B36) / EXP(B44)  - J15) ^2) * EXP(B36)</f>
        <v>2.1030464937651365E-2</v>
      </c>
      <c r="Q33">
        <v>2.2512377723239489E-2</v>
      </c>
      <c r="R33" t="s">
        <v>166</v>
      </c>
      <c r="S33">
        <v>2.1030466007288109E-2</v>
      </c>
      <c r="T33" t="b">
        <f t="shared" si="0"/>
        <v>1</v>
      </c>
      <c r="U33" t="b">
        <f t="shared" si="1"/>
        <v>0</v>
      </c>
    </row>
    <row r="34" spans="1:21" x14ac:dyDescent="0.3">
      <c r="A34" t="s">
        <v>47</v>
      </c>
      <c r="B34">
        <v>-4.2648599999999997</v>
      </c>
      <c r="D34">
        <f>LN(J34)</f>
        <v>-4.2229306694173081</v>
      </c>
      <c r="E34" t="s">
        <v>49</v>
      </c>
      <c r="I34" t="s">
        <v>116</v>
      </c>
      <c r="J34">
        <f>J32*J24/(J24-1)</f>
        <v>1.4655630697386977E-2</v>
      </c>
      <c r="L34">
        <v>32</v>
      </c>
      <c r="M34" s="6">
        <f>EXP(B8)</f>
        <v>0.2179586310557865</v>
      </c>
      <c r="N34" s="6" t="s">
        <v>166</v>
      </c>
      <c r="O34" s="6" t="e">
        <f>EXP(#REF!)*(1-(1/EXP(B38))-(J50/2)*(EXP(B37)-(EXP(B37))^J60*J28^(1-J60)))^2</f>
        <v>#REF!</v>
      </c>
      <c r="Q34">
        <v>0.2179586310557865</v>
      </c>
      <c r="R34" t="s">
        <v>166</v>
      </c>
      <c r="S34">
        <v>3.6326546138331091E-2</v>
      </c>
      <c r="T34" t="b">
        <f t="shared" si="0"/>
        <v>1</v>
      </c>
      <c r="U34" t="e">
        <f t="shared" si="1"/>
        <v>#REF!</v>
      </c>
    </row>
    <row r="35" spans="1:21" x14ac:dyDescent="0.3">
      <c r="A35" t="s">
        <v>0</v>
      </c>
      <c r="B35">
        <v>-4.60243</v>
      </c>
      <c r="C35">
        <f>K67*EXP(J33)</f>
        <v>-0.66875922921477304</v>
      </c>
      <c r="I35" t="s">
        <v>117</v>
      </c>
      <c r="J35">
        <f>-(1-J13)-J37*(1-J13)*J28/J5*(1/(1+J33)-J5/J28)+1/J5</f>
        <v>4.6946406588904588E-2</v>
      </c>
      <c r="L35">
        <v>33</v>
      </c>
      <c r="M35" s="6" t="e">
        <f>1 - EXP(B61) + EXP(B61) / EXP(B38) -    J50 * (EXP(B37)     - ( EXP(B37)) ^ J60 * J28 ^ (1-J60 )) * EXP(B37)
    + J3*(EXP(B7)/EXP(B7)* J50 * (EXP(B37) - ( EXP(B37)     ^ J60 * J28 ^ (1-J60) )) * EXP(B37) * (EXP(#REF!))/EXP(#REF!))</f>
        <v>#REF!</v>
      </c>
      <c r="N35" s="6" t="s">
        <v>166</v>
      </c>
      <c r="O35" s="6">
        <v>0</v>
      </c>
      <c r="Q35">
        <v>-2.2160297373087158E-6</v>
      </c>
      <c r="R35" t="s">
        <v>166</v>
      </c>
      <c r="S35">
        <v>0</v>
      </c>
      <c r="T35" t="e">
        <f t="shared" si="0"/>
        <v>#REF!</v>
      </c>
      <c r="U35" t="b">
        <f t="shared" si="1"/>
        <v>1</v>
      </c>
    </row>
    <row r="36" spans="1:21" x14ac:dyDescent="0.3">
      <c r="A36" t="s">
        <v>2</v>
      </c>
      <c r="B36">
        <v>-1.57284</v>
      </c>
      <c r="I36" t="s">
        <v>97</v>
      </c>
      <c r="J36">
        <v>0.7</v>
      </c>
      <c r="L36">
        <v>34</v>
      </c>
      <c r="M36" s="6">
        <f>EXP(B51)+1</f>
        <v>1.0096584946108587</v>
      </c>
      <c r="N36" s="6" t="s">
        <v>166</v>
      </c>
      <c r="O36" s="6">
        <f>(1+J32)^(1 - J58 ) * (1+EXP(B51))^J58 * (( EXP(B37) / J28 ) ^J57 *
             (EXP(Y1)/EXP(Y1))^J59 ) ^ ( 1 - J58 )</f>
        <v>1.009658494610864</v>
      </c>
      <c r="Q36">
        <v>1.0096584946108587</v>
      </c>
      <c r="R36" t="s">
        <v>166</v>
      </c>
      <c r="S36">
        <v>1.009658494610864</v>
      </c>
      <c r="T36" t="b">
        <f t="shared" si="0"/>
        <v>1</v>
      </c>
      <c r="U36" t="b">
        <f t="shared" si="1"/>
        <v>1</v>
      </c>
    </row>
    <row r="37" spans="1:21" x14ac:dyDescent="0.3">
      <c r="A37" s="9" t="s">
        <v>48</v>
      </c>
      <c r="B37" s="2">
        <v>1.1600000000000001E-14</v>
      </c>
      <c r="D37" s="2">
        <f>B37</f>
        <v>1.1600000000000001E-14</v>
      </c>
      <c r="E37" t="s">
        <v>49</v>
      </c>
      <c r="I37" t="s">
        <v>99</v>
      </c>
      <c r="J37">
        <v>0.35</v>
      </c>
    </row>
    <row r="38" spans="1:21" x14ac:dyDescent="0.3">
      <c r="A38" t="s">
        <v>49</v>
      </c>
      <c r="B38">
        <v>0.18232200000000001</v>
      </c>
      <c r="C38" t="e">
        <f>LN(1/J70-1)</f>
        <v>#NUM!</v>
      </c>
      <c r="I38" t="s">
        <v>135</v>
      </c>
      <c r="J38" s="2">
        <v>0.39352753242570498</v>
      </c>
    </row>
    <row r="39" spans="1:21" x14ac:dyDescent="0.3">
      <c r="A39" t="s">
        <v>50</v>
      </c>
      <c r="B39">
        <f>LN(J16 * EXP(B3) + J17* EXP(B11) + J18 * EXP(B20))</f>
        <v>0.13357782502457427</v>
      </c>
      <c r="I39" t="s">
        <v>136</v>
      </c>
      <c r="J39" s="2">
        <v>0.93900015678945403</v>
      </c>
    </row>
    <row r="40" spans="1:21" x14ac:dyDescent="0.3">
      <c r="A40" t="s">
        <v>51</v>
      </c>
      <c r="B40">
        <f>LN(J18*EXP(B25))</f>
        <v>0.26830799999999999</v>
      </c>
      <c r="I40" t="s">
        <v>137</v>
      </c>
      <c r="J40" s="2">
        <v>0.92117909414787202</v>
      </c>
    </row>
    <row r="41" spans="1:21" x14ac:dyDescent="0.3">
      <c r="A41" t="s">
        <v>52</v>
      </c>
      <c r="B41">
        <f>LN(J16*EXP(B5))</f>
        <v>0.84079700000000002</v>
      </c>
      <c r="I41" t="s">
        <v>138</v>
      </c>
      <c r="J41" s="2">
        <v>0.89386514435074604</v>
      </c>
    </row>
    <row r="42" spans="1:21" x14ac:dyDescent="0.3">
      <c r="A42" t="s">
        <v>53</v>
      </c>
      <c r="B42">
        <f>LN(EXP(B24))</f>
        <v>0.31368700000000005</v>
      </c>
      <c r="I42" t="s">
        <v>139</v>
      </c>
      <c r="J42" s="2">
        <v>0.92864864780617695</v>
      </c>
    </row>
    <row r="43" spans="1:21" x14ac:dyDescent="0.3">
      <c r="A43" t="s">
        <v>54</v>
      </c>
      <c r="B43">
        <f>LN(EXP(B30))</f>
        <v>0.16468900000000003</v>
      </c>
      <c r="I43" t="s">
        <v>140</v>
      </c>
      <c r="J43" s="2">
        <v>0.83804796415016702</v>
      </c>
    </row>
    <row r="44" spans="1:21" x14ac:dyDescent="0.3">
      <c r="A44" t="s">
        <v>3</v>
      </c>
      <c r="B44">
        <f>LN(EXP(B42)+EXP(B43))</f>
        <v>0.93510766788481148</v>
      </c>
      <c r="I44" t="s">
        <v>141</v>
      </c>
      <c r="J44" s="2">
        <v>0.81946217303357605</v>
      </c>
    </row>
    <row r="45" spans="1:21" x14ac:dyDescent="0.3">
      <c r="A45" t="s">
        <v>55</v>
      </c>
      <c r="B45">
        <v>-0.16186300000000001</v>
      </c>
      <c r="I45" t="s">
        <v>142</v>
      </c>
      <c r="J45" s="2">
        <v>0.83428100562221197</v>
      </c>
    </row>
    <row r="46" spans="1:21" x14ac:dyDescent="0.3">
      <c r="A46" t="s">
        <v>56</v>
      </c>
      <c r="B46">
        <v>-1.7529999999999999</v>
      </c>
      <c r="I46" t="s">
        <v>143</v>
      </c>
      <c r="J46" s="2">
        <v>0.54749146204441301</v>
      </c>
    </row>
    <row r="47" spans="1:21" x14ac:dyDescent="0.3">
      <c r="A47" t="s">
        <v>57</v>
      </c>
      <c r="B47">
        <f>LN(EXP(B9))</f>
        <v>-3.7936899999999998</v>
      </c>
      <c r="I47" t="s">
        <v>144</v>
      </c>
      <c r="J47" s="2">
        <v>0.30473409634573601</v>
      </c>
    </row>
    <row r="48" spans="1:21" x14ac:dyDescent="0.3">
      <c r="A48" t="s">
        <v>58</v>
      </c>
      <c r="B48">
        <v>3.48936</v>
      </c>
      <c r="I48" t="s">
        <v>145</v>
      </c>
      <c r="J48" s="2">
        <v>0.63992225476484699</v>
      </c>
    </row>
    <row r="49" spans="1:10" x14ac:dyDescent="0.3">
      <c r="A49" t="s">
        <v>59</v>
      </c>
      <c r="B49">
        <f>J18*B21</f>
        <v>1.73925</v>
      </c>
      <c r="D49">
        <f>J18*D21</f>
        <v>0</v>
      </c>
      <c r="I49" t="s">
        <v>146</v>
      </c>
      <c r="J49" s="2">
        <v>0.81297958524412695</v>
      </c>
    </row>
    <row r="50" spans="1:10" x14ac:dyDescent="0.3">
      <c r="A50" t="s">
        <v>60</v>
      </c>
      <c r="I50" t="s">
        <v>121</v>
      </c>
      <c r="J50" s="2">
        <v>28.650196538695202</v>
      </c>
    </row>
    <row r="51" spans="1:10" x14ac:dyDescent="0.3">
      <c r="A51" t="s">
        <v>5</v>
      </c>
      <c r="B51">
        <f>LN(J32)</f>
        <v>-4.639917480286857</v>
      </c>
      <c r="D51">
        <f>LN(J32)</f>
        <v>-4.639917480286857</v>
      </c>
      <c r="E51" t="s">
        <v>49</v>
      </c>
      <c r="I51" t="s">
        <v>112</v>
      </c>
      <c r="J51" s="2">
        <v>99.898283585301797</v>
      </c>
    </row>
    <row r="52" spans="1:10" x14ac:dyDescent="0.3">
      <c r="A52" t="s">
        <v>61</v>
      </c>
      <c r="B52">
        <v>0</v>
      </c>
      <c r="I52" t="s">
        <v>124</v>
      </c>
      <c r="J52" s="2">
        <v>10.1821556708393</v>
      </c>
    </row>
    <row r="53" spans="1:10" x14ac:dyDescent="0.3">
      <c r="A53" t="s">
        <v>62</v>
      </c>
      <c r="I53" t="s">
        <v>125</v>
      </c>
      <c r="J53" s="2">
        <v>3.5029734165847399</v>
      </c>
    </row>
    <row r="54" spans="1:10" x14ac:dyDescent="0.3">
      <c r="A54" t="s">
        <v>63</v>
      </c>
      <c r="I54" t="s">
        <v>126</v>
      </c>
      <c r="J54" s="2">
        <v>9.3638233191517308</v>
      </c>
    </row>
    <row r="55" spans="1:10" x14ac:dyDescent="0.3">
      <c r="A55" t="s">
        <v>64</v>
      </c>
      <c r="B55">
        <f>LN(J29)</f>
        <v>-0.52165531685867617</v>
      </c>
      <c r="D55">
        <f>LN(J29)</f>
        <v>-0.52165531685867617</v>
      </c>
      <c r="E55" t="s">
        <v>49</v>
      </c>
      <c r="I55" t="s">
        <v>127</v>
      </c>
      <c r="J55" s="2">
        <v>10.086654447226399</v>
      </c>
    </row>
    <row r="56" spans="1:10" x14ac:dyDescent="0.3">
      <c r="A56" t="s">
        <v>65</v>
      </c>
      <c r="B56">
        <f t="shared" ref="B56:B57" si="2">LN(J30)</f>
        <v>0.41698681086954853</v>
      </c>
      <c r="D56">
        <f t="shared" ref="D56:D57" si="3">LN(J30)</f>
        <v>0.41698681086954853</v>
      </c>
      <c r="E56" t="s">
        <v>49</v>
      </c>
      <c r="I56" t="s">
        <v>119</v>
      </c>
      <c r="J56" s="2">
        <v>11.0683355407919</v>
      </c>
    </row>
    <row r="57" spans="1:10" x14ac:dyDescent="0.3">
      <c r="A57" t="s">
        <v>66</v>
      </c>
      <c r="B57">
        <f t="shared" si="2"/>
        <v>0.41698681086954853</v>
      </c>
      <c r="D57">
        <f t="shared" si="3"/>
        <v>0.41698681086954853</v>
      </c>
      <c r="E57" t="s">
        <v>49</v>
      </c>
      <c r="I57" t="s">
        <v>132</v>
      </c>
      <c r="J57" s="2">
        <v>1.98160265619103</v>
      </c>
    </row>
    <row r="58" spans="1:10" x14ac:dyDescent="0.3">
      <c r="A58" t="s">
        <v>67</v>
      </c>
      <c r="I58" t="s">
        <v>131</v>
      </c>
      <c r="J58" s="2">
        <v>0.76855514559469496</v>
      </c>
    </row>
    <row r="59" spans="1:10" x14ac:dyDescent="0.3">
      <c r="A59" t="s">
        <v>68</v>
      </c>
      <c r="B59">
        <f>LN(J36)</f>
        <v>-0.35667494393873245</v>
      </c>
      <c r="D59">
        <f>LN(J36)</f>
        <v>-0.35667494393873245</v>
      </c>
      <c r="E59" t="s">
        <v>49</v>
      </c>
      <c r="I59" t="s">
        <v>133</v>
      </c>
      <c r="J59" s="2">
        <v>0.34591496570351998</v>
      </c>
    </row>
    <row r="60" spans="1:10" x14ac:dyDescent="0.3">
      <c r="A60" t="s">
        <v>69</v>
      </c>
      <c r="B60">
        <f>LN(J37)</f>
        <v>-1.0498221244986778</v>
      </c>
      <c r="D60">
        <f>LN(J37)</f>
        <v>-1.0498221244986778</v>
      </c>
      <c r="E60" t="s">
        <v>49</v>
      </c>
      <c r="I60" t="s">
        <v>122</v>
      </c>
      <c r="J60" s="2">
        <v>0.16051347848216099</v>
      </c>
    </row>
    <row r="61" spans="1:10" x14ac:dyDescent="0.3">
      <c r="A61" t="s">
        <v>70</v>
      </c>
      <c r="B61">
        <f>LN(J26)</f>
        <v>1.791759469228055</v>
      </c>
      <c r="D61">
        <f>LN(J26)</f>
        <v>1.791759469228055</v>
      </c>
      <c r="E61" t="s">
        <v>49</v>
      </c>
      <c r="I61" t="s">
        <v>123</v>
      </c>
      <c r="J61" s="2">
        <v>0.275696240583164</v>
      </c>
    </row>
    <row r="62" spans="1:10" x14ac:dyDescent="0.3">
      <c r="A62" t="s">
        <v>71</v>
      </c>
      <c r="B62">
        <f>LN(J27)</f>
        <v>1.6094379124341003</v>
      </c>
      <c r="D62">
        <f>LN(J27)</f>
        <v>1.6094379124341003</v>
      </c>
      <c r="E62" t="s">
        <v>49</v>
      </c>
      <c r="I62" t="s">
        <v>104</v>
      </c>
      <c r="J62" s="2">
        <v>0.85595219718425597</v>
      </c>
    </row>
    <row r="63" spans="1:10" x14ac:dyDescent="0.3">
      <c r="A63" t="s">
        <v>72</v>
      </c>
      <c r="I63" t="s">
        <v>106</v>
      </c>
      <c r="J63">
        <v>0</v>
      </c>
    </row>
    <row r="64" spans="1:10" x14ac:dyDescent="0.3">
      <c r="A64" t="s">
        <v>73</v>
      </c>
      <c r="B64">
        <f xml:space="preserve"> EXP(B39) +    1     * (EXP(B49)-(1-J13)*EXP(B49))</f>
        <v>1.2852370101162602</v>
      </c>
      <c r="I64" t="s">
        <v>105</v>
      </c>
      <c r="J64">
        <v>0</v>
      </c>
    </row>
    <row r="65" spans="1:11" x14ac:dyDescent="0.3">
      <c r="A65" t="s">
        <v>74</v>
      </c>
      <c r="B65">
        <f>EXP(B27)</f>
        <v>0.10047061322131151</v>
      </c>
    </row>
    <row r="66" spans="1:11" x14ac:dyDescent="0.3">
      <c r="A66" t="s">
        <v>75</v>
      </c>
      <c r="B66">
        <f>EXP(B16)</f>
        <v>7.5840714494688141E-2</v>
      </c>
      <c r="I66" t="s">
        <v>168</v>
      </c>
      <c r="J66">
        <f>EXP(D55)/(EXP(D55)-1)</f>
        <v>-1.46025</v>
      </c>
      <c r="K66">
        <f>(1-J66)/J66</f>
        <v>-1.6848142441362781</v>
      </c>
    </row>
    <row r="67" spans="1:11" x14ac:dyDescent="0.3">
      <c r="A67" t="s">
        <v>76</v>
      </c>
      <c r="B67">
        <v>-4.8832899999999997</v>
      </c>
      <c r="I67" t="s">
        <v>169</v>
      </c>
      <c r="J67">
        <f>EXP(D56)/(EXP(D56)-1)</f>
        <v>2.9328059999999998</v>
      </c>
      <c r="K67">
        <f t="shared" ref="K67:K68" si="4">(1-J67)/J67</f>
        <v>-0.65902961191432363</v>
      </c>
    </row>
    <row r="68" spans="1:11" x14ac:dyDescent="0.3">
      <c r="A68" t="s">
        <v>77</v>
      </c>
      <c r="B68">
        <v>-4.9964500000000003</v>
      </c>
      <c r="I68" t="s">
        <v>169</v>
      </c>
      <c r="J68">
        <f t="shared" ref="J68" si="5">EXP(D57)/(EXP(D57)-1)</f>
        <v>2.9328059999999998</v>
      </c>
      <c r="K68">
        <f t="shared" si="4"/>
        <v>-0.65902961191432363</v>
      </c>
    </row>
    <row r="69" spans="1:11" x14ac:dyDescent="0.3">
      <c r="A69" t="s">
        <v>163</v>
      </c>
      <c r="B69">
        <v>-3.0395599999999998</v>
      </c>
      <c r="D69">
        <f>LN(J35)</f>
        <v>-3.0587486132345072</v>
      </c>
      <c r="E69" t="s">
        <v>49</v>
      </c>
    </row>
    <row r="70" spans="1:11" x14ac:dyDescent="0.3">
      <c r="A70" t="s">
        <v>151</v>
      </c>
      <c r="B70">
        <f>400*EXP(B51)</f>
        <v>3.8633978443434343</v>
      </c>
      <c r="D70">
        <f>400*EXP(D51)</f>
        <v>3.8633978443434343</v>
      </c>
      <c r="I70" t="s">
        <v>170</v>
      </c>
      <c r="J70" s="7">
        <f>-    J50 * (EXP(B37)     - ( EXP(B37) ^ J60 * J28 ^ (1-J60) )) * EXP(B37)
    + J3*J50 * (EXP(B37) - ( EXP(B37)     ^ J60 * J28 ^ (1-J60) )) * EXP(B37)</f>
        <v>-1.5954946901219541E-15</v>
      </c>
      <c r="K70" s="3"/>
    </row>
    <row r="71" spans="1:11" x14ac:dyDescent="0.3">
      <c r="A71" t="s">
        <v>152</v>
      </c>
      <c r="B71">
        <f>400*EXP(B33)</f>
        <v>5.6215338128637553</v>
      </c>
      <c r="D71">
        <f>400*EXP(D33)</f>
        <v>5.8622522789547906</v>
      </c>
    </row>
    <row r="72" spans="1:11" x14ac:dyDescent="0.3">
      <c r="A72" t="s">
        <v>153</v>
      </c>
      <c r="B72">
        <f>400*EXP(B34)</f>
        <v>5.6215338128637553</v>
      </c>
      <c r="D72">
        <f>400*EXP(D34)</f>
        <v>5.8622522789547906</v>
      </c>
    </row>
    <row r="73" spans="1:11" x14ac:dyDescent="0.3">
      <c r="A73" t="s">
        <v>154</v>
      </c>
      <c r="B73">
        <f>B37*100</f>
        <v>1.1600000000000001E-12</v>
      </c>
      <c r="D73" s="2">
        <f>D37*100</f>
        <v>1.1600000000000001E-12</v>
      </c>
    </row>
    <row r="74" spans="1:11" x14ac:dyDescent="0.3">
      <c r="A74" t="s">
        <v>155</v>
      </c>
      <c r="B74">
        <f>B43*100</f>
        <v>16.468900000000001</v>
      </c>
      <c r="D74">
        <f>D43*100</f>
        <v>0</v>
      </c>
    </row>
    <row r="75" spans="1:11" x14ac:dyDescent="0.3">
      <c r="A75" t="s">
        <v>156</v>
      </c>
      <c r="B75">
        <f>B42*100</f>
        <v>31.368700000000004</v>
      </c>
      <c r="D75">
        <f>D42*100</f>
        <v>0</v>
      </c>
    </row>
    <row r="76" spans="1:11" x14ac:dyDescent="0.3">
      <c r="A76" t="s">
        <v>157</v>
      </c>
      <c r="B76">
        <f>B64*100</f>
        <v>128.52370101162603</v>
      </c>
      <c r="D76">
        <f>D64*100</f>
        <v>0</v>
      </c>
    </row>
    <row r="77" spans="1:11" x14ac:dyDescent="0.3">
      <c r="A77" t="s">
        <v>158</v>
      </c>
      <c r="B77">
        <f>B39*100</f>
        <v>13.357782502457427</v>
      </c>
      <c r="D77">
        <f>D39*100</f>
        <v>0</v>
      </c>
    </row>
    <row r="78" spans="1:11" x14ac:dyDescent="0.3">
      <c r="A78" t="s">
        <v>159</v>
      </c>
      <c r="B78">
        <f>B18*100</f>
        <v>-194.96199999999999</v>
      </c>
      <c r="D78">
        <f>D18*100</f>
        <v>-368.88794541139362</v>
      </c>
    </row>
    <row r="79" spans="1:11" x14ac:dyDescent="0.3">
      <c r="A79" t="s">
        <v>160</v>
      </c>
      <c r="B79">
        <f>B41*100</f>
        <v>84.079700000000003</v>
      </c>
      <c r="D79">
        <f>D41*100</f>
        <v>0</v>
      </c>
    </row>
    <row r="80" spans="1:11" x14ac:dyDescent="0.3">
      <c r="A80" t="s">
        <v>161</v>
      </c>
      <c r="B80">
        <f>400*(EXP(B32))</f>
        <v>2.2930769159214646</v>
      </c>
      <c r="D80">
        <f>400*EXP(D32)</f>
        <v>2.2930705018652917</v>
      </c>
    </row>
    <row r="81" spans="1:4" x14ac:dyDescent="0.3">
      <c r="A81" t="s">
        <v>162</v>
      </c>
      <c r="B81">
        <f>100*B36</f>
        <v>-157.28399999999999</v>
      </c>
      <c r="D81">
        <f>100*D36</f>
        <v>0</v>
      </c>
    </row>
  </sheetData>
  <conditionalFormatting sqref="T3:U36">
    <cfRule type="containsText" dxfId="0" priority="1" operator="containsText" text="FALSE">
      <formula>NOT(ISERROR(SEARCH("FALSE",T3)))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tabSelected="1" topLeftCell="A58" workbookViewId="0">
      <selection activeCell="N75" sqref="M75:N76"/>
    </sheetView>
  </sheetViews>
  <sheetFormatPr defaultRowHeight="14.4" x14ac:dyDescent="0.3"/>
  <cols>
    <col min="1" max="1" width="16.6640625" bestFit="1" customWidth="1"/>
    <col min="13" max="13" width="12.77734375" style="4" bestFit="1" customWidth="1"/>
    <col min="14" max="14" width="9.21875" style="4" bestFit="1" customWidth="1"/>
  </cols>
  <sheetData>
    <row r="2" spans="1:14" x14ac:dyDescent="0.3">
      <c r="A2" t="s">
        <v>78</v>
      </c>
      <c r="B2" t="s">
        <v>150</v>
      </c>
      <c r="C2" t="s">
        <v>173</v>
      </c>
      <c r="E2" t="s">
        <v>79</v>
      </c>
      <c r="H2" t="s">
        <v>93</v>
      </c>
      <c r="I2" t="s">
        <v>147</v>
      </c>
      <c r="M2" s="4" t="s">
        <v>171</v>
      </c>
      <c r="N2" s="4" t="s">
        <v>172</v>
      </c>
    </row>
    <row r="3" spans="1:14" x14ac:dyDescent="0.3">
      <c r="A3" t="s">
        <v>62</v>
      </c>
      <c r="C3">
        <f>EXP(B3)</f>
        <v>1</v>
      </c>
      <c r="E3" t="s">
        <v>80</v>
      </c>
      <c r="F3">
        <f xml:space="preserve"> 0.0062^2</f>
        <v>3.8439999999999998E-5</v>
      </c>
      <c r="H3" t="s">
        <v>106</v>
      </c>
      <c r="I3">
        <v>0</v>
      </c>
      <c r="L3">
        <v>1</v>
      </c>
      <c r="M3" s="4">
        <f>B36</f>
        <v>0</v>
      </c>
      <c r="N3" s="4">
        <f>400*C69</f>
        <v>3.8633978443434343</v>
      </c>
    </row>
    <row r="4" spans="1:14" x14ac:dyDescent="0.3">
      <c r="A4" t="s">
        <v>75</v>
      </c>
      <c r="B4">
        <f>C73</f>
        <v>7.5840714494688141E-2</v>
      </c>
      <c r="C4">
        <f>EXP(B4)</f>
        <v>1.0787907247453703</v>
      </c>
      <c r="E4" t="s">
        <v>81</v>
      </c>
      <c r="F4">
        <f xml:space="preserve"> 0.05^2</f>
        <v>2.5000000000000005E-3</v>
      </c>
      <c r="H4" t="s">
        <v>104</v>
      </c>
      <c r="I4" s="2">
        <v>0.86700376630640397</v>
      </c>
      <c r="J4" s="2"/>
      <c r="L4">
        <v>2</v>
      </c>
      <c r="M4" s="4" t="e">
        <f>B35</f>
        <v>#REF!</v>
      </c>
      <c r="N4" s="4">
        <f>400*C67</f>
        <v>5.6215338128637553</v>
      </c>
    </row>
    <row r="5" spans="1:14" x14ac:dyDescent="0.3">
      <c r="A5" t="s">
        <v>3</v>
      </c>
      <c r="B5">
        <v>0.93510700000000002</v>
      </c>
      <c r="C5">
        <f>EXP(B5)</f>
        <v>2.5474860241610293</v>
      </c>
      <c r="E5" t="s">
        <v>82</v>
      </c>
      <c r="F5" s="3">
        <f>0.0658^2</f>
        <v>4.3296400000000001E-3</v>
      </c>
      <c r="H5" t="s">
        <v>105</v>
      </c>
      <c r="I5">
        <v>0</v>
      </c>
      <c r="L5">
        <v>3</v>
      </c>
      <c r="M5" s="4" t="e">
        <f>B34</f>
        <v>#REF!</v>
      </c>
      <c r="N5" s="4">
        <f>400*C66</f>
        <v>5.6215338128637553</v>
      </c>
    </row>
    <row r="6" spans="1:14" x14ac:dyDescent="0.3">
      <c r="A6" t="s">
        <v>44</v>
      </c>
      <c r="B6">
        <v>0.31368699999999999</v>
      </c>
      <c r="C6">
        <f>EXP(B6)</f>
        <v>1.3684613411072202</v>
      </c>
      <c r="E6" t="s">
        <v>83</v>
      </c>
      <c r="F6">
        <f xml:space="preserve"> 0.3721^2</f>
        <v>0.13845840999999998</v>
      </c>
      <c r="H6" t="s">
        <v>100</v>
      </c>
      <c r="I6">
        <v>0.55000000000000004</v>
      </c>
      <c r="L6">
        <v>4</v>
      </c>
      <c r="M6" s="23" t="e">
        <f>B32</f>
        <v>#REF!</v>
      </c>
      <c r="N6" s="4">
        <f>B59*100</f>
        <v>1.1600000000000001E-12</v>
      </c>
    </row>
    <row r="7" spans="1:14" x14ac:dyDescent="0.3">
      <c r="A7" t="s">
        <v>37</v>
      </c>
      <c r="B7">
        <v>0.31368699999999999</v>
      </c>
      <c r="C7">
        <f>EXP(B7)</f>
        <v>1.3684613411072202</v>
      </c>
      <c r="E7" t="s">
        <v>84</v>
      </c>
      <c r="F7">
        <f xml:space="preserve"> 0.0034^2</f>
        <v>1.1559999999999999E-5</v>
      </c>
      <c r="H7" t="s">
        <v>98</v>
      </c>
      <c r="I7">
        <f>I8</f>
        <v>0.97499999999999998</v>
      </c>
      <c r="L7">
        <v>5</v>
      </c>
      <c r="M7" s="4">
        <f>B52</f>
        <v>84.079700000000003</v>
      </c>
      <c r="N7" s="4">
        <f>B12*100</f>
        <v>16.468900000000001</v>
      </c>
    </row>
    <row r="8" spans="1:14" x14ac:dyDescent="0.3">
      <c r="A8" t="s">
        <v>43</v>
      </c>
      <c r="B8">
        <v>0.164689</v>
      </c>
      <c r="C8">
        <f>EXP(B8)</f>
        <v>1.1790263844816</v>
      </c>
      <c r="E8" t="s">
        <v>85</v>
      </c>
      <c r="F8">
        <f xml:space="preserve"> 0.0023^2</f>
        <v>5.2900000000000002E-6</v>
      </c>
      <c r="H8" t="s">
        <v>96</v>
      </c>
      <c r="I8">
        <v>0.97499999999999998</v>
      </c>
      <c r="L8">
        <v>6</v>
      </c>
      <c r="M8" s="4" t="e">
        <f>B51</f>
        <v>#REF!</v>
      </c>
      <c r="N8" s="4">
        <f>B11*100</f>
        <v>31.3687</v>
      </c>
    </row>
    <row r="9" spans="1:14" x14ac:dyDescent="0.3">
      <c r="A9" t="s">
        <v>26</v>
      </c>
      <c r="B9">
        <v>0.164689</v>
      </c>
      <c r="C9">
        <f>EXP(B9)</f>
        <v>1.1790263844816</v>
      </c>
      <c r="E9" t="s">
        <v>86</v>
      </c>
      <c r="F9">
        <f xml:space="preserve"> 0.1454^2</f>
        <v>2.1141159999999999E-2</v>
      </c>
      <c r="H9" t="s">
        <v>8</v>
      </c>
      <c r="I9">
        <v>0.99429999999999996</v>
      </c>
      <c r="L9">
        <v>7</v>
      </c>
      <c r="M9" s="4">
        <f>B58</f>
        <v>-26.297700000000003</v>
      </c>
      <c r="N9" s="4">
        <f>B81*100</f>
        <v>26.8308</v>
      </c>
    </row>
    <row r="10" spans="1:14" x14ac:dyDescent="0.3">
      <c r="A10" t="s">
        <v>162</v>
      </c>
      <c r="B10" t="e">
        <f>100*#REF!</f>
        <v>#REF!</v>
      </c>
      <c r="C10" t="e">
        <f>EXP(B10)</f>
        <v>#REF!</v>
      </c>
      <c r="E10" t="s">
        <v>87</v>
      </c>
      <c r="F10">
        <f xml:space="preserve"> 0.0051^2</f>
        <v>2.6010000000000003E-5</v>
      </c>
      <c r="H10" t="s">
        <v>118</v>
      </c>
      <c r="I10">
        <f>I50/I65*(I17-I14+I65*I17*(I14-1))/((I14*-1)*(I17-1))</f>
        <v>-6.9116794557613159E-2</v>
      </c>
      <c r="L10">
        <v>8</v>
      </c>
      <c r="M10" s="4" t="e">
        <f>B18</f>
        <v>#REF!</v>
      </c>
      <c r="N10" s="4">
        <f>B14*100</f>
        <v>13.357699999999999</v>
      </c>
    </row>
    <row r="11" spans="1:14" x14ac:dyDescent="0.3">
      <c r="A11" t="s">
        <v>53</v>
      </c>
      <c r="B11">
        <v>0.31368699999999999</v>
      </c>
      <c r="C11">
        <f>EXP(B11)</f>
        <v>1.3684613411072202</v>
      </c>
      <c r="E11" t="s">
        <v>88</v>
      </c>
      <c r="F11">
        <f xml:space="preserve"> 0.0488^2</f>
        <v>2.3814400000000003E-3</v>
      </c>
      <c r="H11" t="s">
        <v>148</v>
      </c>
      <c r="I11">
        <v>2.5000000000000001E-2</v>
      </c>
      <c r="L11">
        <v>9</v>
      </c>
      <c r="M11" s="4" t="e">
        <f>B37</f>
        <v>#REF!</v>
      </c>
      <c r="N11" s="4">
        <f>B31*100</f>
        <v>-194.96199999999999</v>
      </c>
    </row>
    <row r="12" spans="1:14" x14ac:dyDescent="0.3">
      <c r="A12" t="s">
        <v>54</v>
      </c>
      <c r="B12">
        <v>0.164689</v>
      </c>
      <c r="C12">
        <f>EXP(B12)</f>
        <v>1.1790263844816</v>
      </c>
      <c r="E12" t="s">
        <v>90</v>
      </c>
      <c r="F12">
        <f xml:space="preserve"> 0.0128^2</f>
        <v>1.6384E-4</v>
      </c>
      <c r="H12" t="s">
        <v>101</v>
      </c>
      <c r="I12">
        <f>I51</f>
        <v>4.6946406588904588E-2</v>
      </c>
      <c r="L12">
        <v>10</v>
      </c>
      <c r="M12" s="4" t="e">
        <f>B22</f>
        <v>#REF!</v>
      </c>
      <c r="N12" s="4">
        <f>B19*100</f>
        <v>84.079700000000003</v>
      </c>
    </row>
    <row r="13" spans="1:14" x14ac:dyDescent="0.3">
      <c r="A13" t="s">
        <v>76</v>
      </c>
      <c r="B13">
        <v>-4.8832899999999997</v>
      </c>
      <c r="C13">
        <f>EXP(B13)</f>
        <v>7.5720609217937588E-3</v>
      </c>
      <c r="E13" t="s">
        <v>89</v>
      </c>
      <c r="F13">
        <f xml:space="preserve"> 0.0018^2</f>
        <v>3.2399999999999999E-6</v>
      </c>
      <c r="H13" t="s">
        <v>102</v>
      </c>
      <c r="I13">
        <f>0.1*I12</f>
        <v>4.6946406588904595E-3</v>
      </c>
      <c r="L13">
        <v>11</v>
      </c>
      <c r="M13" s="4" t="e">
        <f>B33</f>
        <v>#REF!</v>
      </c>
      <c r="N13" s="4">
        <f>400*C68</f>
        <v>2.2930769159214646</v>
      </c>
    </row>
    <row r="14" spans="1:14" x14ac:dyDescent="0.3">
      <c r="A14" t="s">
        <v>50</v>
      </c>
      <c r="B14">
        <v>0.133577</v>
      </c>
      <c r="C14">
        <f>EXP(B14)</f>
        <v>1.1429092667605822</v>
      </c>
      <c r="E14" t="s">
        <v>91</v>
      </c>
      <c r="F14">
        <f xml:space="preserve"> 1.0099^2</f>
        <v>1.0198980100000001</v>
      </c>
      <c r="H14" t="s">
        <v>149</v>
      </c>
      <c r="I14">
        <f>AVERAGE(I15:I16)</f>
        <v>2.9328059999999998</v>
      </c>
      <c r="L14">
        <v>12</v>
      </c>
      <c r="M14" s="4" t="e">
        <f>B10</f>
        <v>#REF!</v>
      </c>
      <c r="N14" s="4">
        <f>100*B42</f>
        <v>-157.28399999999999</v>
      </c>
    </row>
    <row r="15" spans="1:14" x14ac:dyDescent="0.3">
      <c r="A15" t="s">
        <v>33</v>
      </c>
      <c r="B15">
        <v>-2.19923</v>
      </c>
      <c r="C15">
        <f>EXP(B15)</f>
        <v>0.11088850965030168</v>
      </c>
      <c r="E15" t="s">
        <v>92</v>
      </c>
      <c r="F15">
        <f xml:space="preserve"> 0.0144^2</f>
        <v>2.0735999999999999E-4</v>
      </c>
      <c r="H15" t="s">
        <v>113</v>
      </c>
      <c r="I15">
        <f>I16</f>
        <v>2.9328059999999998</v>
      </c>
      <c r="K15" s="10" t="s">
        <v>174</v>
      </c>
      <c r="L15">
        <v>13</v>
      </c>
      <c r="M15" s="4">
        <f>(1-I4)*C25/(C17-I4*C17)</f>
        <v>1.1297868651243366</v>
      </c>
      <c r="N15" s="4">
        <f>C50</f>
        <v>1.1297868651243366</v>
      </c>
    </row>
    <row r="16" spans="1:14" x14ac:dyDescent="0.3">
      <c r="A16" t="s">
        <v>24</v>
      </c>
      <c r="B16">
        <v>-1.91801</v>
      </c>
      <c r="C16">
        <f>EXP(B16)</f>
        <v>0.14689900046675919</v>
      </c>
      <c r="H16" t="s">
        <v>12</v>
      </c>
      <c r="I16">
        <v>2.9328059999999998</v>
      </c>
      <c r="K16" s="11"/>
      <c r="L16">
        <v>14</v>
      </c>
      <c r="M16" s="4">
        <f>I30*C23/C30-C50*C63+C50*C63*I9</f>
        <v>-2.5494880162568734E-7</v>
      </c>
      <c r="N16" s="4">
        <v>0</v>
      </c>
    </row>
    <row r="17" spans="1:14" x14ac:dyDescent="0.3">
      <c r="A17" t="s">
        <v>16</v>
      </c>
      <c r="B17">
        <v>-0.122029</v>
      </c>
      <c r="C17">
        <f>EXP(B17)</f>
        <v>0.88512269957214185</v>
      </c>
      <c r="H17" t="s">
        <v>9</v>
      </c>
      <c r="I17">
        <v>-1.46025</v>
      </c>
      <c r="K17" s="11"/>
      <c r="L17">
        <v>15</v>
      </c>
      <c r="M17" s="4">
        <f>C50</f>
        <v>1.1297868651243366</v>
      </c>
      <c r="N17" s="4">
        <f>I9*C50*(1+C68)/C59</f>
        <v>1.1297868831373645</v>
      </c>
    </row>
    <row r="18" spans="1:14" x14ac:dyDescent="0.3">
      <c r="A18" t="s">
        <v>158</v>
      </c>
      <c r="B18" t="e">
        <f>#REF!*100</f>
        <v>#REF!</v>
      </c>
      <c r="C18" t="e">
        <f>EXP(B18)</f>
        <v>#REF!</v>
      </c>
      <c r="H18" t="s">
        <v>111</v>
      </c>
      <c r="I18">
        <v>5</v>
      </c>
      <c r="K18" s="11"/>
      <c r="L18">
        <v>16</v>
      </c>
      <c r="M18" s="4">
        <f>(1-C27)*C46+C46^(1+I44)/C77*C27/C50-I37*(C61-C59^I29*I47^(1-I29))*C61+I9*C50/C50*I37*(C61-C59^I29*I47^(1-I29))*C61^2/C59</f>
        <v>1.6953127878839303E-6</v>
      </c>
      <c r="N18" s="4">
        <v>0</v>
      </c>
    </row>
    <row r="19" spans="1:14" x14ac:dyDescent="0.3">
      <c r="A19" t="s">
        <v>52</v>
      </c>
      <c r="B19">
        <v>0.84079700000000002</v>
      </c>
      <c r="C19">
        <f>EXP(B19)</f>
        <v>2.3182138571456488</v>
      </c>
      <c r="H19" t="s">
        <v>120</v>
      </c>
      <c r="I19">
        <v>6</v>
      </c>
      <c r="K19" s="11"/>
      <c r="L19">
        <v>17</v>
      </c>
      <c r="M19" s="4">
        <f>C61</f>
        <v>1</v>
      </c>
      <c r="N19" s="4">
        <f>C77/C77*C59</f>
        <v>1.0000000000000115</v>
      </c>
    </row>
    <row r="20" spans="1:14" x14ac:dyDescent="0.3">
      <c r="A20" t="s">
        <v>42</v>
      </c>
      <c r="B20">
        <v>0.94079699999999999</v>
      </c>
      <c r="C20">
        <f>EXP(B20)</f>
        <v>2.5620225367973446</v>
      </c>
      <c r="H20" t="s">
        <v>178</v>
      </c>
      <c r="I20">
        <v>1</v>
      </c>
      <c r="K20" s="12"/>
      <c r="L20">
        <v>18</v>
      </c>
      <c r="M20" s="4">
        <f>C17+C63*(C30-C30)+C21</f>
        <v>3.2033365567177907</v>
      </c>
      <c r="N20" s="4">
        <f>C46*C77+(1+C68)*C21/C59+C40/I23</f>
        <v>3.2033364915705507</v>
      </c>
    </row>
    <row r="21" spans="1:14" x14ac:dyDescent="0.3">
      <c r="A21" t="s">
        <v>18</v>
      </c>
      <c r="B21">
        <v>0.84079700000000002</v>
      </c>
      <c r="C21">
        <f>EXP(B21)</f>
        <v>2.3182138571456488</v>
      </c>
      <c r="H21" t="s">
        <v>109</v>
      </c>
      <c r="I21">
        <v>1</v>
      </c>
      <c r="K21" s="13" t="s">
        <v>175</v>
      </c>
      <c r="L21">
        <v>19</v>
      </c>
      <c r="M21" s="4">
        <f>(1-I4)*C25/(C16-C16*I4)</f>
        <v>6.807398258821264</v>
      </c>
      <c r="N21" s="4">
        <f>C49</f>
        <v>6.8073982588212605</v>
      </c>
    </row>
    <row r="22" spans="1:14" x14ac:dyDescent="0.3">
      <c r="A22" t="s">
        <v>160</v>
      </c>
      <c r="B22" t="e">
        <f>#REF!*100</f>
        <v>#REF!</v>
      </c>
      <c r="C22" t="e">
        <f>EXP(B22)</f>
        <v>#REF!</v>
      </c>
      <c r="H22" t="s">
        <v>108</v>
      </c>
      <c r="I22">
        <v>1</v>
      </c>
      <c r="K22" s="14"/>
      <c r="L22">
        <v>20</v>
      </c>
      <c r="M22" s="4">
        <f>I30*C23/C29-C49*C63+I8*C49*C63+C73*C63*C54*C59</f>
        <v>-2.4617386515934925E-6</v>
      </c>
      <c r="N22" s="4">
        <v>0</v>
      </c>
    </row>
    <row r="23" spans="1:14" x14ac:dyDescent="0.3">
      <c r="A23" t="s">
        <v>63</v>
      </c>
      <c r="C23">
        <f>EXP(B23)</f>
        <v>1</v>
      </c>
      <c r="H23" t="s">
        <v>107</v>
      </c>
      <c r="I23">
        <v>1</v>
      </c>
      <c r="K23" s="14"/>
      <c r="L23">
        <v>21</v>
      </c>
      <c r="M23" s="4">
        <f>C49-I8*C49*(1+C67)/C59</f>
        <v>7.6906658964724706E-2</v>
      </c>
      <c r="N23" s="4">
        <f>C73*(1+C67)</f>
        <v>7.6906567346997232E-2</v>
      </c>
    </row>
    <row r="24" spans="1:14" x14ac:dyDescent="0.3">
      <c r="A24" t="s">
        <v>67</v>
      </c>
      <c r="C24">
        <f>EXP(B24)</f>
        <v>1</v>
      </c>
      <c r="H24" t="s">
        <v>103</v>
      </c>
      <c r="I24">
        <v>1</v>
      </c>
      <c r="K24" s="14"/>
      <c r="L24">
        <v>22</v>
      </c>
      <c r="M24" s="4">
        <f>(1-C27)*C44+C44^(1+I44)/C76*C27/C49-I37*(C60-C59^I29*I47^(1-I29))*C60+I8*C49/C49*I37*(C60-C59^I29*I47^(1-I29))*C60^2/C59</f>
        <v>1.3258941644480195E-6</v>
      </c>
      <c r="N24" s="4">
        <v>0</v>
      </c>
    </row>
    <row r="25" spans="1:14" x14ac:dyDescent="0.3">
      <c r="A25" t="s">
        <v>61</v>
      </c>
      <c r="B25">
        <v>0</v>
      </c>
      <c r="C25">
        <f>EXP(B25)</f>
        <v>1</v>
      </c>
      <c r="H25" t="s">
        <v>129</v>
      </c>
      <c r="I25">
        <v>0</v>
      </c>
      <c r="K25" s="14"/>
      <c r="L25">
        <v>23</v>
      </c>
      <c r="M25" s="4">
        <f>C60</f>
        <v>1</v>
      </c>
      <c r="N25" s="4">
        <f>C76/C76*C59</f>
        <v>1.0000000000000115</v>
      </c>
    </row>
    <row r="26" spans="1:14" x14ac:dyDescent="0.3">
      <c r="A26" t="s">
        <v>72</v>
      </c>
      <c r="C26">
        <f>EXP(B26)</f>
        <v>1</v>
      </c>
      <c r="H26" t="s">
        <v>130</v>
      </c>
      <c r="I26">
        <v>0</v>
      </c>
      <c r="K26" s="14"/>
      <c r="L26">
        <v>24</v>
      </c>
      <c r="M26" s="4">
        <f>C16+C63*(C29-C29)+(1+C67)*C9/C59</f>
        <v>1.3424952266649002</v>
      </c>
      <c r="N26" s="4">
        <f>C76*C44+C9</f>
        <v>1.3424951734543942</v>
      </c>
    </row>
    <row r="27" spans="1:14" x14ac:dyDescent="0.3">
      <c r="A27" t="s">
        <v>71</v>
      </c>
      <c r="B27">
        <f>LN(I18)</f>
        <v>1.6094379124341003</v>
      </c>
      <c r="C27">
        <f>EXP(B27)</f>
        <v>4.9999999999999991</v>
      </c>
      <c r="H27" t="s">
        <v>128</v>
      </c>
      <c r="I27">
        <v>0</v>
      </c>
      <c r="J27" s="2"/>
      <c r="K27" s="15"/>
      <c r="L27">
        <v>25</v>
      </c>
      <c r="M27" s="4">
        <f>(1+C67)*C9</f>
        <v>1.1955962261981548</v>
      </c>
      <c r="N27" s="4">
        <f>C54*C63*C29*C59</f>
        <v>1.1955962991856997</v>
      </c>
    </row>
    <row r="28" spans="1:14" x14ac:dyDescent="0.3">
      <c r="A28" t="s">
        <v>70</v>
      </c>
      <c r="B28">
        <f>LN(I19)</f>
        <v>1.791759469228055</v>
      </c>
      <c r="C28">
        <f>EXP(B28)</f>
        <v>6</v>
      </c>
      <c r="H28" t="s">
        <v>122</v>
      </c>
      <c r="I28" s="2">
        <v>0.158112794106546</v>
      </c>
      <c r="J28" s="2"/>
      <c r="K28" s="13" t="s">
        <v>176</v>
      </c>
      <c r="L28">
        <v>26</v>
      </c>
      <c r="M28" s="24">
        <f>C41</f>
        <v>5.6930720170823053</v>
      </c>
      <c r="N28" s="24">
        <f>(1-I11)*C41+(1-I34/2*(C31*C24/C31-1)^2)</f>
        <v>6.5507452166552476</v>
      </c>
    </row>
    <row r="29" spans="1:14" x14ac:dyDescent="0.3">
      <c r="A29" t="s">
        <v>25</v>
      </c>
      <c r="B29">
        <v>-2.95404</v>
      </c>
      <c r="C29">
        <f>EXP(B29)</f>
        <v>5.2128680095646571E-2</v>
      </c>
      <c r="H29" t="s">
        <v>123</v>
      </c>
      <c r="I29" s="22">
        <v>0.30019780401748902</v>
      </c>
      <c r="K29" s="15"/>
      <c r="L29">
        <v>27</v>
      </c>
      <c r="M29" s="4">
        <v>1</v>
      </c>
      <c r="N29" s="4">
        <f>C64*(1-I34/2*(C31/C31*C24-1)^2-I34*(C31/C31*C24-1)*C31/C31*C24)+I7*C48/C48*C64*I34*(C31/C31*C24-1)*C24*C31/C31</f>
        <v>1</v>
      </c>
    </row>
    <row r="30" spans="1:14" x14ac:dyDescent="0.3">
      <c r="A30" t="s">
        <v>17</v>
      </c>
      <c r="B30">
        <v>-5.3536599999999997E-2</v>
      </c>
      <c r="C30">
        <f>EXP(B30)</f>
        <v>0.94787124828124314</v>
      </c>
      <c r="H30" t="s">
        <v>94</v>
      </c>
      <c r="I30">
        <v>0.2</v>
      </c>
      <c r="J30" s="2"/>
      <c r="K30" s="13" t="s">
        <v>177</v>
      </c>
      <c r="L30">
        <v>28</v>
      </c>
      <c r="M30" s="4">
        <f>(1-I4)/(C15-I4*C15)</f>
        <v>9.0180669138182417</v>
      </c>
      <c r="N30" s="4">
        <f>C48</f>
        <v>9.0180669138182381</v>
      </c>
    </row>
    <row r="31" spans="1:14" x14ac:dyDescent="0.3">
      <c r="A31" t="s">
        <v>31</v>
      </c>
      <c r="B31">
        <v>-1.9496199999999999</v>
      </c>
      <c r="C31">
        <f>EXP(B31)</f>
        <v>0.1423281460072057</v>
      </c>
      <c r="H31" t="s">
        <v>126</v>
      </c>
      <c r="I31" s="2">
        <v>7.9800595904463698</v>
      </c>
      <c r="J31" s="2"/>
      <c r="K31" s="14"/>
      <c r="L31">
        <v>29</v>
      </c>
      <c r="M31" s="24">
        <f>C72*C53*C64*C59*(1-I11)+I7*C48*C64*(1-I11)*C70*C75-(I12*C75-1)+I13/2*(C75-1)^2</f>
        <v>1.3975985985617867</v>
      </c>
      <c r="N31" s="24">
        <f>C48*C64</f>
        <v>9.0180669138182381</v>
      </c>
    </row>
    <row r="32" spans="1:14" x14ac:dyDescent="0.3">
      <c r="A32" t="s">
        <v>154</v>
      </c>
      <c r="B32" t="e">
        <f>#REF!*100</f>
        <v>#REF!</v>
      </c>
      <c r="C32" t="e">
        <f>EXP(B32)</f>
        <v>#REF!</v>
      </c>
      <c r="H32" t="s">
        <v>127</v>
      </c>
      <c r="I32" s="2">
        <v>9.0442671874948193</v>
      </c>
      <c r="J32" s="2"/>
      <c r="K32" s="14"/>
      <c r="L32">
        <v>30</v>
      </c>
      <c r="M32" s="24">
        <f>C77</f>
        <v>0.85055772296658494</v>
      </c>
      <c r="N32" s="24">
        <f>I43*(1-I6)*C80/(C78*C47)</f>
        <v>0.51033482578523237</v>
      </c>
    </row>
    <row r="33" spans="1:14" x14ac:dyDescent="0.3">
      <c r="A33" t="s">
        <v>161</v>
      </c>
      <c r="B33" t="e">
        <f>400*(EXP(#REF!))</f>
        <v>#REF!</v>
      </c>
      <c r="C33" t="e">
        <f>EXP(B33)</f>
        <v>#REF!</v>
      </c>
      <c r="H33" t="s">
        <v>125</v>
      </c>
      <c r="I33" s="2">
        <v>2.7753737710421298</v>
      </c>
      <c r="J33" s="2"/>
      <c r="K33" s="14"/>
      <c r="L33">
        <v>31</v>
      </c>
      <c r="M33" s="24">
        <f>C76</f>
        <v>0.17325340282144272</v>
      </c>
      <c r="N33" s="24">
        <f>(1-I43)*(1-I6)*C80/(C78*C45)</f>
        <v>0.10395196010240774</v>
      </c>
    </row>
    <row r="34" spans="1:14" x14ac:dyDescent="0.3">
      <c r="A34" t="s">
        <v>153</v>
      </c>
      <c r="B34" t="e">
        <f>400*EXP(#REF!)</f>
        <v>#REF!</v>
      </c>
      <c r="C34" t="e">
        <f>EXP(B34)</f>
        <v>#REF!</v>
      </c>
      <c r="H34" t="s">
        <v>124</v>
      </c>
      <c r="I34" s="2">
        <v>10.030556224800799</v>
      </c>
      <c r="J34" s="2"/>
      <c r="K34" s="14"/>
      <c r="L34">
        <v>32</v>
      </c>
      <c r="M34" s="4">
        <f>C48-C72*(1+C66)</f>
        <v>8.9161843032233694</v>
      </c>
      <c r="N34" s="4">
        <f>I7*C48*(1+C66)/C59</f>
        <v>8.9161852006742546</v>
      </c>
    </row>
    <row r="35" spans="1:14" x14ac:dyDescent="0.3">
      <c r="A35" t="s">
        <v>152</v>
      </c>
      <c r="B35" t="e">
        <f>400*EXP(#REF!)</f>
        <v>#REF!</v>
      </c>
      <c r="C35" t="e">
        <f>EXP(B35)</f>
        <v>#REF!</v>
      </c>
      <c r="H35" t="s">
        <v>119</v>
      </c>
      <c r="I35" s="22">
        <v>8.9148195803466894</v>
      </c>
      <c r="J35" s="2"/>
      <c r="K35" s="14"/>
      <c r="L35">
        <v>33</v>
      </c>
      <c r="M35" s="4">
        <f>C70</f>
        <v>4.7855941476672333E-2</v>
      </c>
      <c r="N35" s="4">
        <f>I12+I13*(C75-1)</f>
        <v>4.6946406588904588E-2</v>
      </c>
    </row>
    <row r="36" spans="1:14" x14ac:dyDescent="0.3">
      <c r="A36" t="s">
        <v>151</v>
      </c>
      <c r="C36">
        <f>EXP(B36)</f>
        <v>1</v>
      </c>
      <c r="H36" t="s">
        <v>121</v>
      </c>
      <c r="I36" s="2">
        <v>33.770526501639502</v>
      </c>
      <c r="J36" s="2"/>
      <c r="K36" s="14"/>
      <c r="L36">
        <v>34</v>
      </c>
      <c r="M36" s="4">
        <f>C15+(1+C66)*C7/C59+C77*C47+C76*C45+C64*C43+(I12*(C75-1)+I13/2*(C75-1)^2)*C43</f>
        <v>8.0089971827283506</v>
      </c>
      <c r="N36" s="4">
        <f>C80/C78+C7+C64*(1-I11)*C43</f>
        <v>8.0089976288858011</v>
      </c>
    </row>
    <row r="37" spans="1:14" x14ac:dyDescent="0.3">
      <c r="A37" t="s">
        <v>159</v>
      </c>
      <c r="B37" t="e">
        <f>#REF!*100</f>
        <v>#REF!</v>
      </c>
      <c r="C37" t="e">
        <f>EXP(B37)</f>
        <v>#REF!</v>
      </c>
      <c r="H37" t="s">
        <v>112</v>
      </c>
      <c r="I37" s="2">
        <v>107.352040072465</v>
      </c>
      <c r="K37" s="14"/>
      <c r="L37">
        <v>35</v>
      </c>
      <c r="M37" s="24">
        <f>C80</f>
        <v>1.307749864950517</v>
      </c>
      <c r="N37" s="24">
        <f>C3*(C75*C43)^I6*(C47^I43*C45^(1-I43))^(1-I6)</f>
        <v>2.3553369410735461</v>
      </c>
    </row>
    <row r="38" spans="1:14" x14ac:dyDescent="0.3">
      <c r="A38" t="s">
        <v>22</v>
      </c>
      <c r="B38">
        <v>-3.7936899999999998</v>
      </c>
      <c r="C38">
        <f>EXP(B38)</f>
        <v>2.2512377723239489E-2</v>
      </c>
      <c r="H38" t="s">
        <v>99</v>
      </c>
      <c r="I38">
        <v>0.35</v>
      </c>
      <c r="K38" s="14"/>
      <c r="L38">
        <v>36</v>
      </c>
      <c r="M38" s="24">
        <f>(1+C66)*C7</f>
        <v>1.387693470358798</v>
      </c>
      <c r="N38" s="24">
        <f>C53*C64*C59*C43*(1-I11)</f>
        <v>1.9427608258293587</v>
      </c>
    </row>
    <row r="39" spans="1:14" x14ac:dyDescent="0.3">
      <c r="A39" t="s">
        <v>57</v>
      </c>
      <c r="B39">
        <v>-3.7936899999999998</v>
      </c>
      <c r="C39">
        <f>EXP(B39)</f>
        <v>2.2512377723239489E-2</v>
      </c>
      <c r="H39" t="s">
        <v>97</v>
      </c>
      <c r="I39">
        <v>0.7</v>
      </c>
      <c r="K39" s="15"/>
      <c r="L39">
        <v>37</v>
      </c>
      <c r="M39" s="24">
        <f>C70</f>
        <v>4.7855941476672333E-2</v>
      </c>
      <c r="N39" s="24">
        <f>I6*C75^(I6-1)*C43^(I6-1)*(C47^I43*C45^(1-I43))^(1-I6)/C78</f>
        <v>0.18962151710576272</v>
      </c>
    </row>
    <row r="40" spans="1:14" x14ac:dyDescent="0.3">
      <c r="A40" t="s">
        <v>21</v>
      </c>
      <c r="B40">
        <v>-1.52345</v>
      </c>
      <c r="C40">
        <f>EXP(B40)</f>
        <v>0.2179586310557865</v>
      </c>
      <c r="H40" t="s">
        <v>114</v>
      </c>
      <c r="I40">
        <f>I35/(I35-1)</f>
        <v>1.1263452678672681</v>
      </c>
      <c r="K40" s="18" t="s">
        <v>179</v>
      </c>
      <c r="L40">
        <v>38</v>
      </c>
      <c r="M40" s="4">
        <f>C65</f>
        <v>1.0027439437292352E-2</v>
      </c>
      <c r="N40" s="4">
        <f>-I35*(C42/C5-I65)*(C42/C5)^2+C69</f>
        <v>1.0164845927947997E-2</v>
      </c>
    </row>
    <row r="41" spans="1:14" x14ac:dyDescent="0.3">
      <c r="A41" t="s">
        <v>59</v>
      </c>
      <c r="B41">
        <v>1.73925</v>
      </c>
      <c r="C41">
        <f>EXP(B41)</f>
        <v>5.6930720170823053</v>
      </c>
      <c r="H41" t="s">
        <v>13</v>
      </c>
      <c r="I41">
        <f>I34/(I34-1)</f>
        <v>1.1107351502063272</v>
      </c>
      <c r="K41" s="19"/>
      <c r="L41">
        <v>39</v>
      </c>
      <c r="M41" s="24">
        <f>C42*C59</f>
        <v>0.20745517225004623</v>
      </c>
      <c r="N41" s="24">
        <f>(1-I10)*C42/C26+C38</f>
        <v>0.24430618649360389</v>
      </c>
    </row>
    <row r="42" spans="1:14" x14ac:dyDescent="0.3">
      <c r="A42" t="s">
        <v>2</v>
      </c>
      <c r="B42">
        <v>-1.57284</v>
      </c>
      <c r="C42">
        <f>EXP(B42)</f>
        <v>0.20745517225004384</v>
      </c>
      <c r="H42" t="s">
        <v>11</v>
      </c>
      <c r="I42">
        <f>I35/(I35-1)</f>
        <v>1.1263452678672681</v>
      </c>
      <c r="K42" s="19"/>
      <c r="L42">
        <v>40</v>
      </c>
      <c r="M42" s="24">
        <f>I20*C20</f>
        <v>2.5620225367973446</v>
      </c>
      <c r="N42" s="24">
        <f>I23*C21</f>
        <v>2.3182138571456488</v>
      </c>
    </row>
    <row r="43" spans="1:14" x14ac:dyDescent="0.3">
      <c r="A43" t="s">
        <v>34</v>
      </c>
      <c r="B43">
        <v>1.73925</v>
      </c>
      <c r="C43">
        <f>EXP(B43)</f>
        <v>5.6930720170823053</v>
      </c>
      <c r="H43" t="s">
        <v>110</v>
      </c>
      <c r="I43">
        <v>0.8</v>
      </c>
      <c r="K43" s="19"/>
      <c r="L43">
        <v>41</v>
      </c>
      <c r="M43" s="4">
        <f>I20*C8</f>
        <v>1.1790263844816</v>
      </c>
      <c r="N43" s="4">
        <f>I22*C9</f>
        <v>1.1790263844816</v>
      </c>
    </row>
    <row r="44" spans="1:14" x14ac:dyDescent="0.3">
      <c r="A44" t="s">
        <v>27</v>
      </c>
      <c r="B44">
        <v>-5.8133200000000003E-2</v>
      </c>
      <c r="C44">
        <f>EXP(B44)</f>
        <v>0.94352426163466019</v>
      </c>
      <c r="H44" t="s">
        <v>95</v>
      </c>
      <c r="I44">
        <v>1</v>
      </c>
      <c r="J44" s="2"/>
      <c r="K44" s="19"/>
      <c r="L44">
        <v>42</v>
      </c>
      <c r="M44" s="4">
        <f>I20*C6</f>
        <v>1.3684613411072202</v>
      </c>
      <c r="N44" s="4">
        <f>I21*C7</f>
        <v>1.3684613411072202</v>
      </c>
    </row>
    <row r="45" spans="1:14" x14ac:dyDescent="0.3">
      <c r="A45" t="s">
        <v>36</v>
      </c>
      <c r="B45">
        <v>-5.8133200000000003E-2</v>
      </c>
      <c r="C45">
        <f>EXP(B45)</f>
        <v>0.94352426163466019</v>
      </c>
      <c r="H45" t="s">
        <v>132</v>
      </c>
      <c r="I45" s="22">
        <v>2.0038478018082402</v>
      </c>
      <c r="J45" s="2"/>
      <c r="K45" s="19"/>
      <c r="L45">
        <v>43</v>
      </c>
      <c r="M45" s="24">
        <f>C8+C6</f>
        <v>2.5474877255888204</v>
      </c>
      <c r="N45" s="24">
        <f>C20+C42</f>
        <v>2.7694777090473885</v>
      </c>
    </row>
    <row r="46" spans="1:14" x14ac:dyDescent="0.3">
      <c r="A46" t="s">
        <v>19</v>
      </c>
      <c r="B46">
        <v>-0.26297700000000002</v>
      </c>
      <c r="C46">
        <f>EXP(B46)</f>
        <v>0.76875957857813226</v>
      </c>
      <c r="H46" t="s">
        <v>133</v>
      </c>
      <c r="I46" s="2">
        <v>0.303247771697294</v>
      </c>
      <c r="K46" s="19"/>
      <c r="L46">
        <v>44</v>
      </c>
      <c r="M46" s="24">
        <f>-1+C57/(C57-1)-C57/(C57-1)*C69/C68-I33*(C68/C68-C68/C68^I27)*C68/C68+I9*C50/C50*I33*(C68/C68-C68/C68^I27)*C68/C68^2*C20/C20</f>
        <v>468.74743378310853</v>
      </c>
      <c r="N46" s="24">
        <v>0</v>
      </c>
    </row>
    <row r="47" spans="1:14" x14ac:dyDescent="0.3">
      <c r="A47" t="s">
        <v>35</v>
      </c>
      <c r="B47">
        <v>-0.26297700000000002</v>
      </c>
      <c r="C47">
        <f>EXP(B47)</f>
        <v>0.76875957857813226</v>
      </c>
      <c r="H47" t="s">
        <v>7</v>
      </c>
      <c r="I47">
        <v>1</v>
      </c>
      <c r="K47" s="19"/>
      <c r="L47">
        <v>45</v>
      </c>
      <c r="M47" s="24">
        <f>1-C55/(C55-1)+C55/(C55-1)*C65/C66-I31*(C66/C66-C66/C66^I25)*C66/C66+I9*C50/C50*I31*(C66/C66-C66/C66^I25)*(C66/C66)^2*C6/C6</f>
        <v>-1.5989248143260824</v>
      </c>
      <c r="N47" s="24">
        <v>0</v>
      </c>
    </row>
    <row r="48" spans="1:14" x14ac:dyDescent="0.3">
      <c r="A48" t="s">
        <v>39</v>
      </c>
      <c r="B48">
        <v>2.19923</v>
      </c>
      <c r="C48">
        <f>EXP(B48)</f>
        <v>9.0180669138182381</v>
      </c>
      <c r="H48" t="s">
        <v>115</v>
      </c>
      <c r="I48">
        <f>I50*I15/(I15-1)</f>
        <v>1.4655630697386977E-2</v>
      </c>
      <c r="K48" s="19"/>
      <c r="L48">
        <v>46</v>
      </c>
      <c r="M48" s="24">
        <f>1-C56/(C56-1)+C56/(C56-1)*C65/C67-I32*(C67/C67-C67/C67^I25)*C67/C67+I9*C50/C50*I32*(C67/C67-C67/C67^I25)*(C67/C67)^2*C8/C8</f>
        <v>-1.9245618334306425</v>
      </c>
      <c r="N48" s="24">
        <v>0</v>
      </c>
    </row>
    <row r="49" spans="1:14" x14ac:dyDescent="0.3">
      <c r="A49" t="s">
        <v>28</v>
      </c>
      <c r="B49">
        <v>1.91801</v>
      </c>
      <c r="C49">
        <f>EXP(B49)</f>
        <v>6.8073982588212605</v>
      </c>
      <c r="H49" t="s">
        <v>116</v>
      </c>
      <c r="I49">
        <f>I50*I16/(I16-1)</f>
        <v>1.4655630697386977E-2</v>
      </c>
      <c r="K49" s="20"/>
      <c r="L49">
        <v>47</v>
      </c>
      <c r="M49" s="24">
        <f>C38</f>
        <v>2.2512377723239489E-2</v>
      </c>
      <c r="N49" s="24">
        <f>C67*C8+C66*C6-C68*C20-I33/2*((C68/C68-1)^2*C68*C20)-I31/2*((C66/C66-1)^2*C66*C6)-I32/2*((C67/C67-1)^2*C67*C8)-I35/2*((C42/C6-I65)^2*C42)</f>
        <v>1.7606103194363076E-2</v>
      </c>
    </row>
    <row r="50" spans="1:14" x14ac:dyDescent="0.3">
      <c r="A50" t="s">
        <v>20</v>
      </c>
      <c r="B50">
        <v>0.122029</v>
      </c>
      <c r="C50">
        <f>EXP(B50)</f>
        <v>1.1297868651243366</v>
      </c>
      <c r="H50" t="s">
        <v>134</v>
      </c>
      <c r="I50">
        <f>(I47/I9-1)*(I17-1)/I17</f>
        <v>9.6584946108585878E-3</v>
      </c>
      <c r="K50" s="16" t="s">
        <v>180</v>
      </c>
      <c r="L50">
        <v>48</v>
      </c>
      <c r="M50" s="24">
        <f>C40</f>
        <v>0.2179586310557865</v>
      </c>
      <c r="N50" s="24">
        <f>C82*(1-1/C78-I36/2*(C59-C59^I28*I47^(1-I28))^2)</f>
        <v>0</v>
      </c>
    </row>
    <row r="51" spans="1:14" x14ac:dyDescent="0.3">
      <c r="A51" t="s">
        <v>156</v>
      </c>
      <c r="B51" t="e">
        <f>B18*100</f>
        <v>#REF!</v>
      </c>
      <c r="C51" t="e">
        <f>EXP(B51)</f>
        <v>#REF!</v>
      </c>
      <c r="H51" t="s">
        <v>117</v>
      </c>
      <c r="I51">
        <f>-(1-I11)-I38*(1-I11)*I47/I7*(1/(1+I48)-I7/I47)+1/I7</f>
        <v>4.6946406588904588E-2</v>
      </c>
      <c r="J51" s="2"/>
      <c r="K51" s="17"/>
      <c r="L51">
        <v>49</v>
      </c>
      <c r="M51" s="4" t="e">
        <f>1-C28+C28/C78-I36*(C59-C59^I28*I47^(1-I28))*C59+I9*C50/C50*I36*(C59-C59^I28*I47^(1-I28))*C59*C82/C82</f>
        <v>#DIV/0!</v>
      </c>
      <c r="N51" s="4">
        <v>0</v>
      </c>
    </row>
    <row r="52" spans="1:14" ht="14.4" customHeight="1" x14ac:dyDescent="0.3">
      <c r="A52" t="s">
        <v>155</v>
      </c>
      <c r="B52">
        <f>B21*100</f>
        <v>84.079700000000003</v>
      </c>
      <c r="C52">
        <f>EXP(B52)</f>
        <v>3.2760441811662184E+36</v>
      </c>
      <c r="H52" t="s">
        <v>136</v>
      </c>
      <c r="I52" s="2">
        <v>0.93816527333293998</v>
      </c>
      <c r="J52" s="2"/>
      <c r="K52" s="18" t="s">
        <v>181</v>
      </c>
      <c r="L52">
        <v>50</v>
      </c>
      <c r="M52" s="4">
        <f>C14</f>
        <v>1.1429092667605822</v>
      </c>
      <c r="N52" s="4">
        <f>I23*C17+I22*C16+I21*C15</f>
        <v>1.1429102096892025</v>
      </c>
    </row>
    <row r="53" spans="1:14" x14ac:dyDescent="0.3">
      <c r="A53" t="s">
        <v>69</v>
      </c>
      <c r="B53">
        <f>LN(I38)</f>
        <v>-1.0498221244986778</v>
      </c>
      <c r="C53">
        <f>EXP(B53)</f>
        <v>0.34999999999999992</v>
      </c>
      <c r="H53" t="s">
        <v>137</v>
      </c>
      <c r="I53" s="2">
        <v>0.92187271910220603</v>
      </c>
      <c r="J53" s="2"/>
      <c r="K53" s="19"/>
      <c r="L53">
        <v>51</v>
      </c>
      <c r="M53" s="4">
        <f>C12</f>
        <v>1.1790263844816</v>
      </c>
      <c r="N53" s="4">
        <f>I20*C8</f>
        <v>1.1790263844816</v>
      </c>
    </row>
    <row r="54" spans="1:14" x14ac:dyDescent="0.3">
      <c r="A54" t="s">
        <v>68</v>
      </c>
      <c r="B54">
        <f>LN(I39)</f>
        <v>-0.35667494393873245</v>
      </c>
      <c r="C54">
        <f>EXP(B54)</f>
        <v>0.7</v>
      </c>
      <c r="H54" t="s">
        <v>143</v>
      </c>
      <c r="I54" s="2">
        <v>0.57169238371417097</v>
      </c>
      <c r="J54" s="2"/>
      <c r="K54" s="19"/>
      <c r="L54">
        <v>52</v>
      </c>
      <c r="M54" s="4">
        <f>C11</f>
        <v>1.3684613411072202</v>
      </c>
      <c r="N54" s="4">
        <f>I20*C6</f>
        <v>1.3684613411072202</v>
      </c>
    </row>
    <row r="55" spans="1:14" x14ac:dyDescent="0.3">
      <c r="A55" t="s">
        <v>65</v>
      </c>
      <c r="B55">
        <f>LN(I40)</f>
        <v>0.11897811492439229</v>
      </c>
      <c r="C55">
        <f>EXP(B55)</f>
        <v>1.1263452678672681</v>
      </c>
      <c r="H55" t="s">
        <v>135</v>
      </c>
      <c r="I55" s="2">
        <v>0.38595343816817801</v>
      </c>
      <c r="J55" s="2"/>
      <c r="K55" s="19"/>
      <c r="L55">
        <v>53</v>
      </c>
      <c r="M55" s="4">
        <f>C5</f>
        <v>2.5474860241610293</v>
      </c>
      <c r="N55" s="4">
        <f>C11+C12</f>
        <v>2.5474877255888204</v>
      </c>
    </row>
    <row r="56" spans="1:14" x14ac:dyDescent="0.3">
      <c r="A56" t="s">
        <v>66</v>
      </c>
      <c r="B56">
        <f>LN(I41)</f>
        <v>0.1050220935852305</v>
      </c>
      <c r="C56">
        <f>EXP(B56)</f>
        <v>1.1107351502063272</v>
      </c>
      <c r="H56" t="s">
        <v>146</v>
      </c>
      <c r="I56" s="2">
        <v>0.813022758608552</v>
      </c>
      <c r="J56" s="2"/>
      <c r="K56" s="19"/>
      <c r="L56">
        <v>54</v>
      </c>
      <c r="M56" s="4">
        <f>C19</f>
        <v>2.3182138571456488</v>
      </c>
      <c r="N56" s="4">
        <f>I23*C21</f>
        <v>2.3182138571456488</v>
      </c>
    </row>
    <row r="57" spans="1:14" x14ac:dyDescent="0.3">
      <c r="A57" t="s">
        <v>64</v>
      </c>
      <c r="B57">
        <f>LN(I42)</f>
        <v>0.11897811492439229</v>
      </c>
      <c r="C57">
        <f>EXP(B57)</f>
        <v>1.1263452678672681</v>
      </c>
      <c r="H57" t="s">
        <v>145</v>
      </c>
      <c r="I57" s="2">
        <v>0.59618644088413197</v>
      </c>
      <c r="J57" s="2"/>
      <c r="K57" s="19"/>
      <c r="L57">
        <v>55</v>
      </c>
      <c r="M57" s="4">
        <f>C79</f>
        <v>1.307749864950517</v>
      </c>
      <c r="N57" s="4">
        <f>I21*C80</f>
        <v>1.307749864950517</v>
      </c>
    </row>
    <row r="58" spans="1:14" x14ac:dyDescent="0.3">
      <c r="A58" t="s">
        <v>157</v>
      </c>
      <c r="B58">
        <f>B46*100</f>
        <v>-26.297700000000003</v>
      </c>
      <c r="C58">
        <f>EXP(B58)</f>
        <v>3.7936215461900084E-12</v>
      </c>
      <c r="H58" t="s">
        <v>144</v>
      </c>
      <c r="I58" s="2">
        <v>0.29418223956738399</v>
      </c>
      <c r="J58" s="2"/>
      <c r="K58" s="19"/>
      <c r="L58">
        <v>56</v>
      </c>
      <c r="M58" s="4">
        <f>C39</f>
        <v>2.2512377723239489E-2</v>
      </c>
      <c r="N58" s="4">
        <f>I20*C38</f>
        <v>2.2512377723239489E-2</v>
      </c>
    </row>
    <row r="59" spans="1:14" x14ac:dyDescent="0.3">
      <c r="A59" s="9" t="s">
        <v>48</v>
      </c>
      <c r="B59" s="2">
        <v>1.1600000000000001E-14</v>
      </c>
      <c r="C59">
        <f>EXP(B59)</f>
        <v>1.0000000000000115</v>
      </c>
      <c r="H59" t="s">
        <v>131</v>
      </c>
      <c r="I59" s="2">
        <v>0.75048187308431102</v>
      </c>
      <c r="J59" s="2"/>
      <c r="K59" s="19"/>
      <c r="L59">
        <v>57</v>
      </c>
      <c r="M59" s="4">
        <f>I21*C47</f>
        <v>0.76875957857813226</v>
      </c>
      <c r="N59" s="4">
        <f>I23*C46</f>
        <v>0.76875957857813226</v>
      </c>
    </row>
    <row r="60" spans="1:14" x14ac:dyDescent="0.3">
      <c r="A60" t="s">
        <v>30</v>
      </c>
      <c r="C60">
        <f>EXP(B60)</f>
        <v>1</v>
      </c>
      <c r="H60" t="s">
        <v>138</v>
      </c>
      <c r="I60" s="2">
        <v>0.90129485520181996</v>
      </c>
      <c r="J60" s="2"/>
      <c r="K60" s="19"/>
      <c r="L60">
        <v>58</v>
      </c>
      <c r="M60" s="4">
        <f>I21*C45</f>
        <v>0.94352426163466019</v>
      </c>
      <c r="N60" s="4">
        <f>I22*C44</f>
        <v>0.94352426163466019</v>
      </c>
    </row>
    <row r="61" spans="1:14" x14ac:dyDescent="0.3">
      <c r="A61" t="s">
        <v>23</v>
      </c>
      <c r="C61">
        <f>EXP(B61)</f>
        <v>1</v>
      </c>
      <c r="H61" t="s">
        <v>139</v>
      </c>
      <c r="I61" s="2">
        <v>0.92237838275307804</v>
      </c>
      <c r="J61" s="2"/>
      <c r="K61" s="19"/>
      <c r="L61">
        <v>59</v>
      </c>
      <c r="M61" s="4">
        <f>I24</f>
        <v>1</v>
      </c>
      <c r="N61" s="4">
        <f>I23*C30+I22*C29</f>
        <v>0.99999992837688967</v>
      </c>
    </row>
    <row r="62" spans="1:14" x14ac:dyDescent="0.3">
      <c r="A62" t="s">
        <v>60</v>
      </c>
      <c r="C62">
        <f>EXP(B62)</f>
        <v>1</v>
      </c>
      <c r="H62" t="s">
        <v>142</v>
      </c>
      <c r="I62" s="2">
        <v>0.87390121347579897</v>
      </c>
      <c r="J62" s="2"/>
      <c r="K62" s="19"/>
      <c r="L62">
        <v>60</v>
      </c>
      <c r="M62" s="4">
        <f>C41</f>
        <v>5.6930720170823053</v>
      </c>
      <c r="N62" s="4">
        <f>I21*C43</f>
        <v>5.6930720170823053</v>
      </c>
    </row>
    <row r="63" spans="1:14" x14ac:dyDescent="0.3">
      <c r="A63" t="s">
        <v>58</v>
      </c>
      <c r="B63">
        <v>3.48936</v>
      </c>
      <c r="C63">
        <f>EXP(B63)</f>
        <v>32.76497141282978</v>
      </c>
      <c r="H63" t="s">
        <v>141</v>
      </c>
      <c r="I63" s="2">
        <v>0.85122967386455495</v>
      </c>
      <c r="J63" s="2"/>
      <c r="K63" s="19"/>
      <c r="L63">
        <v>61</v>
      </c>
      <c r="M63" s="24">
        <f>C81</f>
        <v>1.307749864950517</v>
      </c>
      <c r="N63" s="24">
        <f>C14+1*(C41-(1-I11)*C41)</f>
        <v>1.2852360671876399</v>
      </c>
    </row>
    <row r="64" spans="1:14" x14ac:dyDescent="0.3">
      <c r="A64" t="s">
        <v>32</v>
      </c>
      <c r="C64">
        <f>EXP(B64)</f>
        <v>1</v>
      </c>
      <c r="H64" t="s">
        <v>140</v>
      </c>
      <c r="I64" s="2">
        <v>0.89273135289954697</v>
      </c>
      <c r="K64" s="19"/>
      <c r="L64">
        <v>62</v>
      </c>
      <c r="M64" s="4">
        <f>C62</f>
        <v>1</v>
      </c>
      <c r="N64" s="4">
        <f>(C77+C76)/(C76+C77)*C59</f>
        <v>1.0000000000000115</v>
      </c>
    </row>
    <row r="65" spans="1:14" x14ac:dyDescent="0.3">
      <c r="A65" t="s">
        <v>0</v>
      </c>
      <c r="B65">
        <v>-4.60243</v>
      </c>
      <c r="C65">
        <f>EXP(B65)</f>
        <v>1.0027439437292352E-2</v>
      </c>
      <c r="H65" t="s">
        <v>4</v>
      </c>
      <c r="I65">
        <v>0.09</v>
      </c>
      <c r="K65" s="21" t="s">
        <v>182</v>
      </c>
      <c r="L65">
        <v>63</v>
      </c>
      <c r="M65" s="4">
        <f>(1+C69)</f>
        <v>1.0096584946108587</v>
      </c>
      <c r="N65" s="4">
        <f>(1+I50)^(1-I59)*(1+C69)^I59*((C59/I47)^I45*(C81/C81)^I46)^(1-I59)*(1+I66)</f>
        <v>1.0096584946108644</v>
      </c>
    </row>
    <row r="66" spans="1:14" x14ac:dyDescent="0.3">
      <c r="A66" t="s">
        <v>47</v>
      </c>
      <c r="B66">
        <v>-4.2648599999999997</v>
      </c>
      <c r="C66">
        <f>EXP(B66)</f>
        <v>1.4053834532159389E-2</v>
      </c>
      <c r="H66" t="s">
        <v>89</v>
      </c>
      <c r="I66" s="2">
        <v>0</v>
      </c>
      <c r="K66" s="13" t="s">
        <v>184</v>
      </c>
      <c r="L66">
        <v>64</v>
      </c>
      <c r="M66" s="4">
        <f>C25</f>
        <v>1</v>
      </c>
      <c r="N66" s="4">
        <f>1-I55*1+I55*C25+I67</f>
        <v>1</v>
      </c>
    </row>
    <row r="67" spans="1:14" x14ac:dyDescent="0.3">
      <c r="A67" t="s">
        <v>46</v>
      </c>
      <c r="B67">
        <v>-4.2648599999999997</v>
      </c>
      <c r="C67">
        <f>EXP(B67)</f>
        <v>1.4053834532159389E-2</v>
      </c>
      <c r="H67" t="s">
        <v>92</v>
      </c>
      <c r="I67" s="2">
        <v>0</v>
      </c>
      <c r="K67" s="14"/>
      <c r="L67">
        <v>65</v>
      </c>
      <c r="M67" s="4">
        <f>C23</f>
        <v>1</v>
      </c>
      <c r="N67" s="4">
        <f>1-I52*1+I52*C3+I68</f>
        <v>1</v>
      </c>
    </row>
    <row r="68" spans="1:14" x14ac:dyDescent="0.3">
      <c r="A68" t="s">
        <v>45</v>
      </c>
      <c r="B68">
        <v>-5.1615700000000002</v>
      </c>
      <c r="C68">
        <f>EXP(B68)</f>
        <v>5.7326922898036613E-3</v>
      </c>
      <c r="H68" t="s">
        <v>80</v>
      </c>
      <c r="I68" s="2">
        <v>0</v>
      </c>
      <c r="K68" s="14"/>
      <c r="L68">
        <v>66</v>
      </c>
      <c r="M68" s="4">
        <f>C3</f>
        <v>1</v>
      </c>
      <c r="N68" s="4">
        <f>1-I53*1+I53*C23+I69</f>
        <v>1</v>
      </c>
    </row>
    <row r="69" spans="1:14" x14ac:dyDescent="0.3">
      <c r="A69" t="s">
        <v>5</v>
      </c>
      <c r="B69">
        <f>LN(I50)</f>
        <v>-4.639917480286857</v>
      </c>
      <c r="C69">
        <f>EXP(B69)</f>
        <v>9.658494610858586E-3</v>
      </c>
      <c r="H69" t="s">
        <v>82</v>
      </c>
      <c r="I69" s="2">
        <v>0</v>
      </c>
      <c r="K69" s="14"/>
      <c r="L69">
        <v>67</v>
      </c>
      <c r="M69" s="4">
        <f>C54</f>
        <v>0.7</v>
      </c>
      <c r="N69" s="4">
        <f>(1-I61)*I39+I61*C54+I70</f>
        <v>0.7</v>
      </c>
    </row>
    <row r="70" spans="1:14" x14ac:dyDescent="0.3">
      <c r="A70" t="s">
        <v>163</v>
      </c>
      <c r="B70">
        <v>-3.0395599999999998</v>
      </c>
      <c r="C70">
        <f>EXP(B70)</f>
        <v>4.7855941476672333E-2</v>
      </c>
      <c r="H70" t="s">
        <v>85</v>
      </c>
      <c r="I70" s="2">
        <v>0</v>
      </c>
      <c r="K70" s="14"/>
      <c r="L70">
        <v>68</v>
      </c>
      <c r="M70" s="4">
        <f>C53</f>
        <v>0.34999999999999992</v>
      </c>
      <c r="N70" s="4">
        <f>(1-I60)*I38+I60*C53+I71</f>
        <v>0.34999999999999992</v>
      </c>
    </row>
    <row r="71" spans="1:14" x14ac:dyDescent="0.3">
      <c r="A71" t="s">
        <v>74</v>
      </c>
      <c r="B71">
        <f>C72</f>
        <v>0.10047061322131151</v>
      </c>
      <c r="C71">
        <f>EXP(B71)</f>
        <v>1.1056911485255654</v>
      </c>
      <c r="H71" t="s">
        <v>84</v>
      </c>
      <c r="I71" s="2">
        <v>0</v>
      </c>
      <c r="K71" s="14"/>
      <c r="L71">
        <v>69</v>
      </c>
      <c r="M71" s="4">
        <f>C57</f>
        <v>1.1263452678672681</v>
      </c>
      <c r="N71" s="4">
        <f>(1-I64)*I42+I64*C57+I72</f>
        <v>1.1263452678672681</v>
      </c>
    </row>
    <row r="72" spans="1:14" x14ac:dyDescent="0.3">
      <c r="A72" t="s">
        <v>40</v>
      </c>
      <c r="B72">
        <v>-2.2978900000000002</v>
      </c>
      <c r="C72">
        <f>EXP(B72)</f>
        <v>0.10047061322131151</v>
      </c>
      <c r="H72" t="s">
        <v>183</v>
      </c>
      <c r="I72" s="2">
        <v>0</v>
      </c>
      <c r="K72" s="14"/>
      <c r="L72">
        <v>70</v>
      </c>
      <c r="M72" s="4">
        <f>C55</f>
        <v>1.1263452678672681</v>
      </c>
      <c r="N72" s="4">
        <f>(1-I62)*I40+I62*C55+I73</f>
        <v>1.1263452678672681</v>
      </c>
    </row>
    <row r="73" spans="1:14" x14ac:dyDescent="0.3">
      <c r="A73" t="s">
        <v>29</v>
      </c>
      <c r="B73">
        <v>-2.5791200000000001</v>
      </c>
      <c r="C73">
        <f>EXP(B73)</f>
        <v>7.5840714494688141E-2</v>
      </c>
      <c r="H73" t="s">
        <v>86</v>
      </c>
      <c r="I73" s="2">
        <v>0</v>
      </c>
      <c r="K73" s="14"/>
      <c r="L73">
        <v>71</v>
      </c>
      <c r="M73" s="4">
        <f>C56</f>
        <v>1.1107351502063272</v>
      </c>
      <c r="N73" s="4">
        <f>(1-I63)*I41+I63*C56+I74</f>
        <v>1.1107351502063272</v>
      </c>
    </row>
    <row r="74" spans="1:14" x14ac:dyDescent="0.3">
      <c r="A74" t="s">
        <v>77</v>
      </c>
      <c r="B74">
        <v>-4.9964500000000003</v>
      </c>
      <c r="C74">
        <f>EXP(B74)</f>
        <v>6.7619092187067289E-3</v>
      </c>
      <c r="H74" t="s">
        <v>87</v>
      </c>
      <c r="I74" s="2">
        <v>0</v>
      </c>
      <c r="K74" s="14"/>
      <c r="L74">
        <v>72</v>
      </c>
      <c r="M74" s="4">
        <f>C24</f>
        <v>1</v>
      </c>
      <c r="N74" s="4">
        <f>1-I54*1+I54*C24+I75</f>
        <v>1</v>
      </c>
    </row>
    <row r="75" spans="1:14" x14ac:dyDescent="0.3">
      <c r="A75" t="s">
        <v>41</v>
      </c>
      <c r="C75">
        <f>EXP(B75)</f>
        <v>1</v>
      </c>
      <c r="H75" t="s">
        <v>90</v>
      </c>
      <c r="I75" s="2">
        <v>0</v>
      </c>
      <c r="K75" s="14"/>
      <c r="L75">
        <v>73</v>
      </c>
      <c r="M75" s="24">
        <f>C28</f>
        <v>6</v>
      </c>
      <c r="N75" s="24">
        <f>(1-I58)*I39+I58*C28+I76</f>
        <v>2.2591658697071351</v>
      </c>
    </row>
    <row r="76" spans="1:14" x14ac:dyDescent="0.3">
      <c r="A76" t="s">
        <v>56</v>
      </c>
      <c r="B76">
        <v>-1.7529999999999999</v>
      </c>
      <c r="C76">
        <f>EXP(B76)</f>
        <v>0.17325340282144272</v>
      </c>
      <c r="H76" t="s">
        <v>91</v>
      </c>
      <c r="I76" s="2">
        <v>0</v>
      </c>
      <c r="K76" s="14"/>
      <c r="L76">
        <v>74</v>
      </c>
      <c r="M76" s="24">
        <f>C27</f>
        <v>4.9999999999999991</v>
      </c>
      <c r="N76" s="24">
        <f>(1-I57)*I39+I57*C27+I77</f>
        <v>3.2636016958017668</v>
      </c>
    </row>
    <row r="77" spans="1:14" x14ac:dyDescent="0.3">
      <c r="A77" t="s">
        <v>55</v>
      </c>
      <c r="B77">
        <v>-0.16186300000000001</v>
      </c>
      <c r="C77">
        <f>EXP(B77)</f>
        <v>0.85055772296658494</v>
      </c>
      <c r="H77" t="s">
        <v>83</v>
      </c>
      <c r="I77" s="2">
        <v>0</v>
      </c>
      <c r="K77" s="15"/>
      <c r="L77">
        <v>75</v>
      </c>
      <c r="M77" s="4">
        <f>C26</f>
        <v>1</v>
      </c>
      <c r="N77" s="4">
        <f>1-I56*1+I56*C26+I78</f>
        <v>1</v>
      </c>
    </row>
    <row r="78" spans="1:14" x14ac:dyDescent="0.3">
      <c r="A78" t="s">
        <v>49</v>
      </c>
      <c r="B78">
        <v>0.18232200000000001</v>
      </c>
      <c r="C78">
        <f>EXP(B78)</f>
        <v>1.2000005318473723</v>
      </c>
      <c r="H78" t="s">
        <v>81</v>
      </c>
      <c r="I78" s="2">
        <v>0</v>
      </c>
      <c r="K78" s="13" t="s">
        <v>185</v>
      </c>
      <c r="L78">
        <v>76</v>
      </c>
      <c r="M78" s="4">
        <f>B71</f>
        <v>0.10047061322131151</v>
      </c>
      <c r="N78" s="4">
        <f>C48-I7*C48*(1+C66)/C59</f>
        <v>0.10188171314398353</v>
      </c>
    </row>
    <row r="79" spans="1:14" x14ac:dyDescent="0.3">
      <c r="A79" t="s">
        <v>51</v>
      </c>
      <c r="B79">
        <v>0.26830799999999999</v>
      </c>
      <c r="C79">
        <f>EXP(B79)</f>
        <v>1.307749864950517</v>
      </c>
      <c r="K79" s="14"/>
      <c r="L79">
        <v>77</v>
      </c>
      <c r="M79" s="4">
        <f>B4</f>
        <v>7.5840714494688141E-2</v>
      </c>
      <c r="N79" s="4">
        <f>C42/C5</f>
        <v>8.1435254318368885E-2</v>
      </c>
    </row>
    <row r="80" spans="1:14" x14ac:dyDescent="0.3">
      <c r="A80" t="s">
        <v>38</v>
      </c>
      <c r="B80">
        <v>0.26830799999999999</v>
      </c>
      <c r="C80">
        <f>EXP(B80)</f>
        <v>1.307749864950517</v>
      </c>
      <c r="K80" s="14"/>
      <c r="L80">
        <v>78</v>
      </c>
      <c r="M80" s="4">
        <f>C13</f>
        <v>7.5720609217937588E-3</v>
      </c>
      <c r="N80" s="4">
        <f>C8/(C8+C6)*C67+C6/(C8+C6)*C66-C68</f>
        <v>8.3211422423557259E-3</v>
      </c>
    </row>
    <row r="81" spans="1:14" x14ac:dyDescent="0.3">
      <c r="A81" t="s">
        <v>73</v>
      </c>
      <c r="B81">
        <f>B79</f>
        <v>0.26830799999999999</v>
      </c>
      <c r="C81">
        <f>EXP(B81)</f>
        <v>1.307749864950517</v>
      </c>
      <c r="K81" s="15"/>
      <c r="L81">
        <v>79</v>
      </c>
      <c r="M81" s="4">
        <f>C74</f>
        <v>6.7619092187067289E-3</v>
      </c>
      <c r="N81" s="4">
        <f>0.5*C67+0.5*C66-C68</f>
        <v>8.3211422423557276E-3</v>
      </c>
    </row>
  </sheetData>
  <sortState ref="E2:F15">
    <sortCondition ref="E15"/>
  </sortState>
  <mergeCells count="9">
    <mergeCell ref="K52:K64"/>
    <mergeCell ref="K66:K77"/>
    <mergeCell ref="K78:K81"/>
    <mergeCell ref="K15:K20"/>
    <mergeCell ref="K21:K27"/>
    <mergeCell ref="K28:K29"/>
    <mergeCell ref="K30:K39"/>
    <mergeCell ref="K40:K49"/>
    <mergeCell ref="K50:K5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Aliman</dc:creator>
  <cp:lastModifiedBy>Mihai Aliman</cp:lastModifiedBy>
  <dcterms:created xsi:type="dcterms:W3CDTF">2022-05-29T12:09:14Z</dcterms:created>
  <dcterms:modified xsi:type="dcterms:W3CDTF">2023-04-17T19:32:25Z</dcterms:modified>
</cp:coreProperties>
</file>