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sktop\doctorat\articol pol. macroprudentiala\replicare gerali 2010\"/>
    </mc:Choice>
  </mc:AlternateContent>
  <bookViews>
    <workbookView xWindow="0" yWindow="0" windowWidth="28800" windowHeight="11100" activeTab="4"/>
  </bookViews>
  <sheets>
    <sheet name="Sheet1" sheetId="1" r:id="rId1"/>
    <sheet name="Sheet2" sheetId="2" r:id="rId2"/>
    <sheet name="initial" sheetId="3" r:id="rId3"/>
    <sheet name="alpha" sheetId="4" r:id="rId4"/>
    <sheet name="Sheet4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9" i="5" l="1"/>
  <c r="D70" i="5"/>
  <c r="D71" i="5"/>
  <c r="D72" i="5"/>
  <c r="D73" i="5"/>
  <c r="D74" i="5"/>
  <c r="D75" i="5"/>
  <c r="D76" i="5"/>
  <c r="D77" i="5"/>
  <c r="D78" i="5"/>
  <c r="D79" i="5"/>
  <c r="D80" i="5"/>
  <c r="D81" i="5"/>
  <c r="D68" i="5"/>
  <c r="AU103" i="5"/>
  <c r="M92" i="4" l="1"/>
  <c r="C82" i="4"/>
  <c r="N82" i="4" s="1"/>
  <c r="M82" i="4" l="1"/>
  <c r="D27" i="1"/>
  <c r="E27" i="1" s="1"/>
  <c r="E34" i="1"/>
  <c r="E35" i="1"/>
  <c r="E33" i="1"/>
  <c r="E30" i="1"/>
  <c r="E29" i="1"/>
  <c r="D30" i="1"/>
  <c r="D29" i="1"/>
  <c r="B69" i="4"/>
  <c r="G3" i="1"/>
  <c r="E3" i="1"/>
  <c r="D3" i="1"/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2" i="5"/>
  <c r="B3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8" i="4"/>
  <c r="B59" i="4"/>
  <c r="B60" i="4"/>
  <c r="B61" i="4"/>
  <c r="B62" i="4"/>
  <c r="B63" i="4"/>
  <c r="B64" i="4"/>
  <c r="B66" i="4"/>
  <c r="B67" i="4"/>
  <c r="B68" i="4"/>
  <c r="B70" i="4"/>
  <c r="B71" i="4"/>
  <c r="B72" i="4"/>
  <c r="B73" i="4"/>
  <c r="B74" i="4"/>
  <c r="B75" i="4"/>
  <c r="B76" i="4"/>
  <c r="B77" i="4"/>
  <c r="B78" i="4"/>
  <c r="B79" i="4"/>
  <c r="B80" i="4"/>
  <c r="B81" i="4"/>
  <c r="B4" i="4"/>
  <c r="B5" i="4"/>
  <c r="B6" i="4"/>
  <c r="B7" i="4"/>
  <c r="B8" i="4"/>
  <c r="B9" i="4"/>
  <c r="C64" i="4" l="1"/>
  <c r="P16" i="4"/>
  <c r="P18" i="4"/>
  <c r="P22" i="4"/>
  <c r="P24" i="4"/>
  <c r="P46" i="4"/>
  <c r="P47" i="4"/>
  <c r="P48" i="4"/>
  <c r="P51" i="4"/>
  <c r="O29" i="4"/>
  <c r="O61" i="4"/>
  <c r="C81" i="4"/>
  <c r="M63" i="4" s="1"/>
  <c r="O63" i="4" s="1"/>
  <c r="C80" i="4"/>
  <c r="N57" i="4" s="1"/>
  <c r="C79" i="4"/>
  <c r="M57" i="4" s="1"/>
  <c r="O57" i="4" s="1"/>
  <c r="M78" i="4"/>
  <c r="O78" i="4" s="1"/>
  <c r="C78" i="4"/>
  <c r="C77" i="4"/>
  <c r="C76" i="4"/>
  <c r="M33" i="4" s="1"/>
  <c r="O33" i="4" s="1"/>
  <c r="C75" i="4"/>
  <c r="C74" i="4"/>
  <c r="M81" i="4" s="1"/>
  <c r="O81" i="4" s="1"/>
  <c r="C73" i="4"/>
  <c r="C72" i="4"/>
  <c r="C71" i="4"/>
  <c r="C70" i="4"/>
  <c r="M39" i="4" s="1"/>
  <c r="O39" i="4" s="1"/>
  <c r="C68" i="4"/>
  <c r="N13" i="4" s="1"/>
  <c r="C67" i="4"/>
  <c r="C66" i="4"/>
  <c r="N5" i="4" s="1"/>
  <c r="C65" i="4"/>
  <c r="M40" i="4" s="1"/>
  <c r="O40" i="4" s="1"/>
  <c r="C63" i="4"/>
  <c r="C62" i="4"/>
  <c r="M64" i="4" s="1"/>
  <c r="O64" i="4" s="1"/>
  <c r="M61" i="4"/>
  <c r="C61" i="4"/>
  <c r="M19" i="4" s="1"/>
  <c r="O19" i="4" s="1"/>
  <c r="C60" i="4"/>
  <c r="M25" i="4" s="1"/>
  <c r="O25" i="4" s="1"/>
  <c r="C59" i="4"/>
  <c r="C58" i="4"/>
  <c r="C57" i="4"/>
  <c r="M71" i="4" s="1"/>
  <c r="C56" i="4"/>
  <c r="M73" i="4" s="1"/>
  <c r="C55" i="4"/>
  <c r="C54" i="4"/>
  <c r="C53" i="4"/>
  <c r="C52" i="4"/>
  <c r="C51" i="4"/>
  <c r="I50" i="4"/>
  <c r="I49" i="4" s="1"/>
  <c r="C50" i="4"/>
  <c r="C49" i="4"/>
  <c r="N21" i="4" s="1"/>
  <c r="P21" i="4" s="1"/>
  <c r="C48" i="4"/>
  <c r="N30" i="4" s="1"/>
  <c r="P30" i="4" s="1"/>
  <c r="C47" i="4"/>
  <c r="M59" i="4" s="1"/>
  <c r="O59" i="4" s="1"/>
  <c r="C46" i="4"/>
  <c r="N59" i="4" s="1"/>
  <c r="C45" i="4"/>
  <c r="M60" i="4" s="1"/>
  <c r="O60" i="4" s="1"/>
  <c r="C44" i="4"/>
  <c r="N60" i="4" s="1"/>
  <c r="C43" i="4"/>
  <c r="I42" i="4"/>
  <c r="C42" i="4"/>
  <c r="I41" i="4"/>
  <c r="C41" i="4"/>
  <c r="I40" i="4"/>
  <c r="C40" i="4"/>
  <c r="M50" i="4" s="1"/>
  <c r="O50" i="4" s="1"/>
  <c r="C39" i="4"/>
  <c r="M58" i="4" s="1"/>
  <c r="O58" i="4" s="1"/>
  <c r="C38" i="4"/>
  <c r="N58" i="4" s="1"/>
  <c r="P58" i="4" s="1"/>
  <c r="C37" i="4"/>
  <c r="C36" i="4"/>
  <c r="C35" i="4"/>
  <c r="C34" i="4"/>
  <c r="C33" i="4"/>
  <c r="C32" i="4"/>
  <c r="C31" i="4"/>
  <c r="C30" i="4"/>
  <c r="C29" i="4"/>
  <c r="C28" i="4"/>
  <c r="M75" i="4" s="1"/>
  <c r="O75" i="4" s="1"/>
  <c r="C27" i="4"/>
  <c r="C26" i="4"/>
  <c r="N77" i="4" s="1"/>
  <c r="C25" i="4"/>
  <c r="N66" i="4" s="1"/>
  <c r="C24" i="4"/>
  <c r="N74" i="4" s="1"/>
  <c r="C23" i="4"/>
  <c r="M12" i="4"/>
  <c r="O12" i="4" s="1"/>
  <c r="C21" i="4"/>
  <c r="N56" i="4" s="1"/>
  <c r="C20" i="4"/>
  <c r="M42" i="4" s="1"/>
  <c r="O42" i="4" s="1"/>
  <c r="C19" i="4"/>
  <c r="M56" i="4" s="1"/>
  <c r="O56" i="4" s="1"/>
  <c r="C18" i="4"/>
  <c r="C17" i="4"/>
  <c r="C16" i="4"/>
  <c r="F15" i="4"/>
  <c r="C15" i="4"/>
  <c r="M30" i="4" s="1"/>
  <c r="O30" i="4" s="1"/>
  <c r="N14" i="4"/>
  <c r="M14" i="4"/>
  <c r="O14" i="4" s="1"/>
  <c r="I14" i="4"/>
  <c r="F14" i="4"/>
  <c r="C14" i="4"/>
  <c r="M13" i="4"/>
  <c r="O13" i="4" s="1"/>
  <c r="F13" i="4"/>
  <c r="C13" i="4"/>
  <c r="M80" i="4" s="1"/>
  <c r="O80" i="4" s="1"/>
  <c r="N12" i="4"/>
  <c r="F12" i="4"/>
  <c r="C12" i="4"/>
  <c r="M53" i="4" s="1"/>
  <c r="O53" i="4" s="1"/>
  <c r="N11" i="4"/>
  <c r="M11" i="4"/>
  <c r="O11" i="4" s="1"/>
  <c r="F11" i="4"/>
  <c r="C11" i="4"/>
  <c r="N55" i="4" s="1"/>
  <c r="P55" i="4" s="1"/>
  <c r="N10" i="4"/>
  <c r="P10" i="4" s="1"/>
  <c r="F10" i="4"/>
  <c r="C10" i="4"/>
  <c r="M9" i="4"/>
  <c r="O9" i="4" s="1"/>
  <c r="F9" i="4"/>
  <c r="C9" i="4"/>
  <c r="N43" i="4" s="1"/>
  <c r="P43" i="4" s="1"/>
  <c r="N8" i="4"/>
  <c r="M8" i="4"/>
  <c r="O8" i="4" s="1"/>
  <c r="F8" i="4"/>
  <c r="C8" i="4"/>
  <c r="M43" i="4" s="1"/>
  <c r="N7" i="4"/>
  <c r="M7" i="4"/>
  <c r="O7" i="4" s="1"/>
  <c r="I7" i="4"/>
  <c r="F7" i="4"/>
  <c r="C7" i="4"/>
  <c r="N44" i="4" s="1"/>
  <c r="P44" i="4" s="1"/>
  <c r="N6" i="4"/>
  <c r="M6" i="4"/>
  <c r="O6" i="4" s="1"/>
  <c r="F6" i="4"/>
  <c r="C6" i="4"/>
  <c r="N54" i="4" s="1"/>
  <c r="P54" i="4" s="1"/>
  <c r="M5" i="4"/>
  <c r="O5" i="4" s="1"/>
  <c r="F5" i="4"/>
  <c r="C5" i="4"/>
  <c r="M55" i="4" s="1"/>
  <c r="O55" i="4" s="1"/>
  <c r="M4" i="4"/>
  <c r="O4" i="4" s="1"/>
  <c r="F4" i="4"/>
  <c r="M79" i="4"/>
  <c r="O79" i="4" s="1"/>
  <c r="M3" i="4"/>
  <c r="O3" i="4" s="1"/>
  <c r="F3" i="4"/>
  <c r="C3" i="4"/>
  <c r="N67" i="4" s="1"/>
  <c r="M81" i="3"/>
  <c r="N80" i="3"/>
  <c r="N79" i="3"/>
  <c r="N76" i="3"/>
  <c r="N75" i="3"/>
  <c r="M51" i="3"/>
  <c r="N50" i="3"/>
  <c r="M49" i="3"/>
  <c r="M47" i="3"/>
  <c r="M48" i="3"/>
  <c r="M46" i="3"/>
  <c r="N45" i="3"/>
  <c r="M45" i="3"/>
  <c r="N42" i="3"/>
  <c r="M42" i="3"/>
  <c r="N41" i="3"/>
  <c r="M41" i="3"/>
  <c r="C70" i="3"/>
  <c r="N39" i="3"/>
  <c r="M39" i="3"/>
  <c r="N38" i="3"/>
  <c r="M38" i="3"/>
  <c r="N37" i="3"/>
  <c r="M37" i="3"/>
  <c r="N32" i="3"/>
  <c r="M32" i="3"/>
  <c r="M31" i="3"/>
  <c r="N31" i="3"/>
  <c r="N28" i="3"/>
  <c r="M28" i="3"/>
  <c r="I10" i="4" l="1"/>
  <c r="N41" i="4" s="1"/>
  <c r="N73" i="4"/>
  <c r="O73" i="4"/>
  <c r="M41" i="4"/>
  <c r="O41" i="4" s="1"/>
  <c r="M28" i="4"/>
  <c r="O28" i="4" s="1"/>
  <c r="M62" i="4"/>
  <c r="O62" i="4" s="1"/>
  <c r="N62" i="4"/>
  <c r="P62" i="4" s="1"/>
  <c r="N76" i="4"/>
  <c r="P76" i="4" s="1"/>
  <c r="M24" i="4"/>
  <c r="M18" i="4"/>
  <c r="M72" i="4"/>
  <c r="O72" i="4" s="1"/>
  <c r="N72" i="4"/>
  <c r="N39" i="4"/>
  <c r="P39" i="4" s="1"/>
  <c r="Q12" i="4"/>
  <c r="N63" i="4"/>
  <c r="P63" i="4" s="1"/>
  <c r="P12" i="4"/>
  <c r="N29" i="4"/>
  <c r="Q29" i="4" s="1"/>
  <c r="N50" i="4"/>
  <c r="P50" i="4" s="1"/>
  <c r="N64" i="4"/>
  <c r="Q64" i="4" s="1"/>
  <c r="Q57" i="4"/>
  <c r="M35" i="4"/>
  <c r="O35" i="4" s="1"/>
  <c r="M74" i="4"/>
  <c r="O74" i="4" s="1"/>
  <c r="N61" i="4"/>
  <c r="P61" i="4" s="1"/>
  <c r="P74" i="4"/>
  <c r="Q11" i="4"/>
  <c r="P11" i="4"/>
  <c r="P77" i="4"/>
  <c r="P59" i="4"/>
  <c r="Q59" i="4"/>
  <c r="Q60" i="4"/>
  <c r="P60" i="4"/>
  <c r="Q13" i="4"/>
  <c r="P13" i="4"/>
  <c r="Q58" i="4"/>
  <c r="M23" i="4"/>
  <c r="O23" i="4" s="1"/>
  <c r="Q14" i="4"/>
  <c r="P14" i="4"/>
  <c r="Q5" i="4"/>
  <c r="P5" i="4"/>
  <c r="M17" i="4"/>
  <c r="O17" i="4" s="1"/>
  <c r="N17" i="4"/>
  <c r="Q6" i="4"/>
  <c r="P56" i="4"/>
  <c r="Q56" i="4"/>
  <c r="N81" i="4"/>
  <c r="N4" i="4"/>
  <c r="M34" i="4"/>
  <c r="O34" i="4" s="1"/>
  <c r="N52" i="4"/>
  <c r="P52" i="4" s="1"/>
  <c r="N23" i="4"/>
  <c r="P6" i="4"/>
  <c r="Q7" i="4"/>
  <c r="Q8" i="4"/>
  <c r="M22" i="4"/>
  <c r="N25" i="4"/>
  <c r="P66" i="4"/>
  <c r="M26" i="4"/>
  <c r="O26" i="4" s="1"/>
  <c r="Q43" i="4"/>
  <c r="P8" i="4"/>
  <c r="P7" i="4"/>
  <c r="Q30" i="4"/>
  <c r="M20" i="4"/>
  <c r="Q55" i="4"/>
  <c r="N80" i="4"/>
  <c r="M44" i="4"/>
  <c r="O44" i="4" s="1"/>
  <c r="O43" i="4"/>
  <c r="M38" i="4"/>
  <c r="O38" i="4" s="1"/>
  <c r="P57" i="4"/>
  <c r="M37" i="4"/>
  <c r="M47" i="4"/>
  <c r="M48" i="4"/>
  <c r="M70" i="4"/>
  <c r="O70" i="4" s="1"/>
  <c r="N70" i="4"/>
  <c r="N38" i="4"/>
  <c r="O71" i="4"/>
  <c r="N71" i="4"/>
  <c r="N27" i="4"/>
  <c r="P27" i="4" s="1"/>
  <c r="N69" i="4"/>
  <c r="M69" i="4"/>
  <c r="O69" i="4" s="1"/>
  <c r="N75" i="4"/>
  <c r="N79" i="4"/>
  <c r="C4" i="4"/>
  <c r="N9" i="4"/>
  <c r="M27" i="4"/>
  <c r="N36" i="4"/>
  <c r="M67" i="4"/>
  <c r="O67" i="4" s="1"/>
  <c r="M77" i="4"/>
  <c r="O77" i="4" s="1"/>
  <c r="N78" i="4"/>
  <c r="M10" i="4"/>
  <c r="O10" i="4" s="1"/>
  <c r="M15" i="4"/>
  <c r="N19" i="4"/>
  <c r="C22" i="4"/>
  <c r="N26" i="4"/>
  <c r="N28" i="4"/>
  <c r="N31" i="4"/>
  <c r="P31" i="4" s="1"/>
  <c r="N32" i="4"/>
  <c r="N33" i="4"/>
  <c r="N34" i="4"/>
  <c r="I48" i="4"/>
  <c r="I51" i="4" s="1"/>
  <c r="I12" i="4" s="1"/>
  <c r="M49" i="4"/>
  <c r="O49" i="4" s="1"/>
  <c r="M52" i="4"/>
  <c r="O52" i="4" s="1"/>
  <c r="M54" i="4"/>
  <c r="O54" i="4" s="1"/>
  <c r="M66" i="4"/>
  <c r="O66" i="4" s="1"/>
  <c r="C69" i="4"/>
  <c r="N40" i="4" s="1"/>
  <c r="M76" i="4"/>
  <c r="O76" i="4" s="1"/>
  <c r="N45" i="4"/>
  <c r="P45" i="4" s="1"/>
  <c r="M68" i="4"/>
  <c r="M16" i="4"/>
  <c r="N20" i="4"/>
  <c r="P20" i="4" s="1"/>
  <c r="M32" i="4"/>
  <c r="O32" i="4" s="1"/>
  <c r="N37" i="4"/>
  <c r="P37" i="4" s="1"/>
  <c r="N68" i="4"/>
  <c r="P68" i="4" s="1"/>
  <c r="N15" i="4"/>
  <c r="P15" i="4" s="1"/>
  <c r="M21" i="4"/>
  <c r="N42" i="4"/>
  <c r="M45" i="4"/>
  <c r="N49" i="4"/>
  <c r="M51" i="4"/>
  <c r="N53" i="4"/>
  <c r="M4" i="3"/>
  <c r="C79" i="3"/>
  <c r="B27" i="3"/>
  <c r="C27" i="3" s="1"/>
  <c r="B28" i="3"/>
  <c r="C28" i="3" s="1"/>
  <c r="B4" i="3"/>
  <c r="C4" i="3" s="1"/>
  <c r="B71" i="3"/>
  <c r="M78" i="3" s="1"/>
  <c r="B81" i="3"/>
  <c r="B53" i="3"/>
  <c r="B54" i="3"/>
  <c r="B56" i="3"/>
  <c r="B55" i="3"/>
  <c r="C55" i="3" s="1"/>
  <c r="B57" i="3"/>
  <c r="B69" i="3"/>
  <c r="I10" i="3"/>
  <c r="I14" i="3"/>
  <c r="I13" i="3"/>
  <c r="I12" i="3"/>
  <c r="I51" i="3"/>
  <c r="I49" i="3"/>
  <c r="I48" i="3"/>
  <c r="I50" i="3"/>
  <c r="I15" i="3"/>
  <c r="I7" i="3"/>
  <c r="N29" i="3" s="1"/>
  <c r="M62" i="3"/>
  <c r="M61" i="3"/>
  <c r="N81" i="3"/>
  <c r="M80" i="3"/>
  <c r="M79" i="3"/>
  <c r="N78" i="3"/>
  <c r="M77" i="3"/>
  <c r="M74" i="3"/>
  <c r="N77" i="3"/>
  <c r="N74" i="3"/>
  <c r="M67" i="3"/>
  <c r="M68" i="3"/>
  <c r="N68" i="3"/>
  <c r="N67" i="3"/>
  <c r="N66" i="3"/>
  <c r="M66" i="3"/>
  <c r="N64" i="3"/>
  <c r="M64" i="3"/>
  <c r="N62" i="3"/>
  <c r="N61" i="3"/>
  <c r="N60" i="3"/>
  <c r="M60" i="3"/>
  <c r="N59" i="3"/>
  <c r="M59" i="3"/>
  <c r="N58" i="3"/>
  <c r="N57" i="3"/>
  <c r="N56" i="3"/>
  <c r="N54" i="3"/>
  <c r="N53" i="3"/>
  <c r="N52" i="3"/>
  <c r="M50" i="3"/>
  <c r="N49" i="3"/>
  <c r="N44" i="3"/>
  <c r="N43" i="3"/>
  <c r="M44" i="3"/>
  <c r="M43" i="3"/>
  <c r="M40" i="3"/>
  <c r="O26" i="2"/>
  <c r="N36" i="3"/>
  <c r="M35" i="3"/>
  <c r="M34" i="3"/>
  <c r="N33" i="3"/>
  <c r="M33" i="3"/>
  <c r="M30" i="3"/>
  <c r="M15" i="3"/>
  <c r="C15" i="3"/>
  <c r="M18" i="2"/>
  <c r="N30" i="3"/>
  <c r="M27" i="3"/>
  <c r="N26" i="3"/>
  <c r="M26" i="3"/>
  <c r="N25" i="3"/>
  <c r="M25" i="3"/>
  <c r="N23" i="3"/>
  <c r="M23" i="3"/>
  <c r="N21" i="3"/>
  <c r="M21" i="3"/>
  <c r="N20" i="3"/>
  <c r="M20" i="3"/>
  <c r="N19" i="3"/>
  <c r="M19" i="3"/>
  <c r="N17" i="3"/>
  <c r="M17" i="3"/>
  <c r="M16" i="3"/>
  <c r="N15" i="3"/>
  <c r="N14" i="3"/>
  <c r="M14" i="3"/>
  <c r="N13" i="3"/>
  <c r="M13" i="3"/>
  <c r="N12" i="3"/>
  <c r="M12" i="3"/>
  <c r="M11" i="3"/>
  <c r="N11" i="3"/>
  <c r="N10" i="3"/>
  <c r="M10" i="3"/>
  <c r="C41" i="3" s="1"/>
  <c r="M9" i="3"/>
  <c r="N8" i="3"/>
  <c r="M8" i="3"/>
  <c r="N7" i="3"/>
  <c r="M7" i="3"/>
  <c r="N6" i="3"/>
  <c r="M6" i="3"/>
  <c r="N5" i="3"/>
  <c r="M5" i="3"/>
  <c r="N4" i="3"/>
  <c r="M3" i="3"/>
  <c r="C30" i="3"/>
  <c r="C21" i="3"/>
  <c r="C46" i="3"/>
  <c r="C50" i="3"/>
  <c r="C40" i="3"/>
  <c r="C38" i="3"/>
  <c r="C61" i="3"/>
  <c r="C16" i="3"/>
  <c r="C29" i="3"/>
  <c r="C9" i="3"/>
  <c r="C44" i="3"/>
  <c r="C49" i="3"/>
  <c r="C73" i="3"/>
  <c r="C60" i="3"/>
  <c r="C31" i="3"/>
  <c r="C64" i="3"/>
  <c r="C43" i="3"/>
  <c r="C47" i="3"/>
  <c r="C45" i="3"/>
  <c r="C7" i="3"/>
  <c r="C80" i="3"/>
  <c r="C48" i="3"/>
  <c r="C72" i="3"/>
  <c r="C75" i="3"/>
  <c r="C20" i="3"/>
  <c r="C8" i="3"/>
  <c r="C6" i="3"/>
  <c r="C68" i="3"/>
  <c r="C67" i="3"/>
  <c r="C66" i="3"/>
  <c r="C65" i="3"/>
  <c r="C42" i="3"/>
  <c r="C59" i="3"/>
  <c r="C78" i="3"/>
  <c r="C19" i="3"/>
  <c r="M56" i="3" s="1"/>
  <c r="C12" i="3"/>
  <c r="M53" i="3" s="1"/>
  <c r="C77" i="3"/>
  <c r="C76" i="3"/>
  <c r="C63" i="3"/>
  <c r="C62" i="3"/>
  <c r="C25" i="3"/>
  <c r="C3" i="3"/>
  <c r="C23" i="3"/>
  <c r="C24" i="3"/>
  <c r="C26" i="3"/>
  <c r="C13" i="3"/>
  <c r="C74" i="3"/>
  <c r="C32" i="3"/>
  <c r="C52" i="3"/>
  <c r="C18" i="3"/>
  <c r="C10" i="3"/>
  <c r="C17" i="3"/>
  <c r="M3" i="2"/>
  <c r="I41" i="3"/>
  <c r="I42" i="3"/>
  <c r="F15" i="3"/>
  <c r="F14" i="3"/>
  <c r="F12" i="3"/>
  <c r="F13" i="3"/>
  <c r="F11" i="3"/>
  <c r="F10" i="3"/>
  <c r="F9" i="3"/>
  <c r="F8" i="3"/>
  <c r="F7" i="3"/>
  <c r="F6" i="3"/>
  <c r="F5" i="3"/>
  <c r="F4" i="3"/>
  <c r="F3" i="3"/>
  <c r="B10" i="3"/>
  <c r="B33" i="3"/>
  <c r="C33" i="3" s="1"/>
  <c r="B22" i="3"/>
  <c r="C22" i="3" s="1"/>
  <c r="B37" i="3"/>
  <c r="C37" i="3" s="1"/>
  <c r="B18" i="3"/>
  <c r="B51" i="3"/>
  <c r="C51" i="3" s="1"/>
  <c r="B52" i="3"/>
  <c r="B32" i="3"/>
  <c r="B34" i="3"/>
  <c r="C34" i="3" s="1"/>
  <c r="B35" i="3"/>
  <c r="C35" i="3" s="1"/>
  <c r="C36" i="3"/>
  <c r="C39" i="3"/>
  <c r="M58" i="3" s="1"/>
  <c r="C11" i="3"/>
  <c r="M54" i="3" s="1"/>
  <c r="Q39" i="4" l="1"/>
  <c r="Q50" i="4"/>
  <c r="Q61" i="4"/>
  <c r="Q74" i="4"/>
  <c r="P64" i="4"/>
  <c r="Q63" i="4"/>
  <c r="P29" i="4"/>
  <c r="M46" i="4"/>
  <c r="O46" i="4" s="1"/>
  <c r="P42" i="4"/>
  <c r="Q42" i="4"/>
  <c r="Q16" i="4"/>
  <c r="O16" i="4"/>
  <c r="P19" i="4"/>
  <c r="Q19" i="4"/>
  <c r="Q72" i="4"/>
  <c r="P72" i="4"/>
  <c r="Q22" i="4"/>
  <c r="O22" i="4"/>
  <c r="Q4" i="4"/>
  <c r="P4" i="4"/>
  <c r="Q62" i="4"/>
  <c r="Q34" i="4"/>
  <c r="P34" i="4"/>
  <c r="Q28" i="4"/>
  <c r="P28" i="4"/>
  <c r="Q69" i="4"/>
  <c r="P69" i="4"/>
  <c r="P71" i="4"/>
  <c r="Q71" i="4"/>
  <c r="Q70" i="4"/>
  <c r="P70" i="4"/>
  <c r="Q41" i="4"/>
  <c r="P41" i="4"/>
  <c r="P23" i="4"/>
  <c r="Q23" i="4"/>
  <c r="P81" i="4"/>
  <c r="Q81" i="4"/>
  <c r="P17" i="4"/>
  <c r="Q17" i="4"/>
  <c r="Q66" i="4"/>
  <c r="Q76" i="4"/>
  <c r="Q18" i="4"/>
  <c r="O18" i="4"/>
  <c r="Q78" i="4"/>
  <c r="P78" i="4"/>
  <c r="P75" i="4"/>
  <c r="Q75" i="4"/>
  <c r="Q73" i="4"/>
  <c r="P73" i="4"/>
  <c r="Q10" i="4"/>
  <c r="P25" i="4"/>
  <c r="Q25" i="4"/>
  <c r="Q24" i="4"/>
  <c r="O24" i="4"/>
  <c r="Q77" i="4"/>
  <c r="Q44" i="4"/>
  <c r="P26" i="4"/>
  <c r="Q26" i="4"/>
  <c r="Q27" i="4"/>
  <c r="O27" i="4"/>
  <c r="Q20" i="4"/>
  <c r="O20" i="4"/>
  <c r="O21" i="4"/>
  <c r="Q21" i="4"/>
  <c r="Q15" i="4"/>
  <c r="O15" i="4"/>
  <c r="Q54" i="4"/>
  <c r="Q52" i="4"/>
  <c r="Q48" i="4"/>
  <c r="O48" i="4"/>
  <c r="Q53" i="4"/>
  <c r="P53" i="4"/>
  <c r="Q47" i="4"/>
  <c r="O47" i="4"/>
  <c r="P80" i="4"/>
  <c r="Q80" i="4"/>
  <c r="P49" i="4"/>
  <c r="Q49" i="4"/>
  <c r="Q79" i="4"/>
  <c r="P79" i="4"/>
  <c r="Q45" i="4"/>
  <c r="O45" i="4"/>
  <c r="P40" i="4"/>
  <c r="Q40" i="4"/>
  <c r="Q68" i="4"/>
  <c r="O68" i="4"/>
  <c r="Q67" i="4"/>
  <c r="P67" i="4"/>
  <c r="Q9" i="4"/>
  <c r="P9" i="4"/>
  <c r="Q51" i="4"/>
  <c r="O51" i="4"/>
  <c r="Q38" i="4"/>
  <c r="P38" i="4"/>
  <c r="Q32" i="4"/>
  <c r="P32" i="4"/>
  <c r="O37" i="4"/>
  <c r="Q37" i="4"/>
  <c r="P33" i="4"/>
  <c r="Q33" i="4"/>
  <c r="P36" i="4"/>
  <c r="I13" i="4"/>
  <c r="M36" i="4" s="1"/>
  <c r="O36" i="4" s="1"/>
  <c r="M65" i="4"/>
  <c r="O65" i="4" s="1"/>
  <c r="N3" i="4"/>
  <c r="N65" i="4"/>
  <c r="N55" i="3"/>
  <c r="M18" i="3"/>
  <c r="M24" i="3"/>
  <c r="M76" i="3"/>
  <c r="M75" i="3"/>
  <c r="C71" i="3"/>
  <c r="C53" i="3"/>
  <c r="N70" i="3" s="1"/>
  <c r="M72" i="3"/>
  <c r="C56" i="3"/>
  <c r="N73" i="3" s="1"/>
  <c r="M70" i="3"/>
  <c r="N34" i="3"/>
  <c r="C14" i="3"/>
  <c r="C5" i="3"/>
  <c r="C69" i="3"/>
  <c r="M65" i="3" s="1"/>
  <c r="I40" i="3"/>
  <c r="N72" i="3" s="1"/>
  <c r="B79" i="2"/>
  <c r="B77" i="2"/>
  <c r="B75" i="2"/>
  <c r="B74" i="2"/>
  <c r="B64" i="2"/>
  <c r="B76" i="2" s="1"/>
  <c r="B49" i="2"/>
  <c r="B47" i="2"/>
  <c r="B44" i="2"/>
  <c r="B42" i="2"/>
  <c r="B43" i="2"/>
  <c r="B41" i="2"/>
  <c r="B40" i="2"/>
  <c r="B39" i="2"/>
  <c r="J14" i="2"/>
  <c r="D49" i="2"/>
  <c r="D18" i="2" s="1"/>
  <c r="D78" i="2" s="1"/>
  <c r="D32" i="2"/>
  <c r="J33" i="2"/>
  <c r="J32" i="2"/>
  <c r="D3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2" i="2"/>
  <c r="U23" i="2"/>
  <c r="U24" i="2"/>
  <c r="U26" i="2"/>
  <c r="U30" i="2"/>
  <c r="U31" i="2"/>
  <c r="U32" i="2"/>
  <c r="U35" i="2"/>
  <c r="U36" i="2"/>
  <c r="U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30" i="2"/>
  <c r="T31" i="2"/>
  <c r="T32" i="2"/>
  <c r="T33" i="2"/>
  <c r="T34" i="2"/>
  <c r="T36" i="2"/>
  <c r="T3" i="2"/>
  <c r="M36" i="2"/>
  <c r="O36" i="2"/>
  <c r="M35" i="2"/>
  <c r="T35" i="2" s="1"/>
  <c r="M34" i="2"/>
  <c r="O34" i="2"/>
  <c r="U34" i="2" s="1"/>
  <c r="M33" i="2"/>
  <c r="O33" i="2"/>
  <c r="U33" i="2" s="1"/>
  <c r="P30" i="2"/>
  <c r="M30" i="2"/>
  <c r="J70" i="2"/>
  <c r="C38" i="2" s="1"/>
  <c r="M29" i="2"/>
  <c r="T29" i="2" s="1"/>
  <c r="M28" i="2"/>
  <c r="T28" i="2" s="1"/>
  <c r="O28" i="2"/>
  <c r="U28" i="2" s="1"/>
  <c r="M27" i="2"/>
  <c r="O27" i="2"/>
  <c r="U27" i="2" s="1"/>
  <c r="M26" i="2"/>
  <c r="M25" i="2"/>
  <c r="O25" i="2"/>
  <c r="U25" i="2" s="1"/>
  <c r="O24" i="2"/>
  <c r="M24" i="2"/>
  <c r="O23" i="2"/>
  <c r="M23" i="2"/>
  <c r="O22" i="2"/>
  <c r="M22" i="2"/>
  <c r="O21" i="2"/>
  <c r="U21" i="2" s="1"/>
  <c r="M21" i="2"/>
  <c r="M20" i="2"/>
  <c r="O20" i="2"/>
  <c r="U20" i="2" s="1"/>
  <c r="M19" i="2"/>
  <c r="O19" i="2"/>
  <c r="O18" i="2"/>
  <c r="M17" i="2"/>
  <c r="O16" i="2"/>
  <c r="M16" i="2"/>
  <c r="O15" i="2"/>
  <c r="M15" i="2"/>
  <c r="O14" i="2"/>
  <c r="M14" i="2"/>
  <c r="O13" i="2"/>
  <c r="M13" i="2"/>
  <c r="M12" i="2"/>
  <c r="O11" i="2"/>
  <c r="M11" i="2"/>
  <c r="M10" i="2"/>
  <c r="M9" i="2"/>
  <c r="C7" i="2"/>
  <c r="O9" i="2"/>
  <c r="M6" i="2"/>
  <c r="M5" i="2"/>
  <c r="M4" i="2"/>
  <c r="D81" i="2"/>
  <c r="D79" i="2"/>
  <c r="D77" i="2"/>
  <c r="D76" i="2"/>
  <c r="D75" i="2"/>
  <c r="D74" i="2"/>
  <c r="D73" i="2"/>
  <c r="J34" i="2"/>
  <c r="D34" i="2" s="1"/>
  <c r="D72" i="2" s="1"/>
  <c r="D62" i="2"/>
  <c r="D61" i="2"/>
  <c r="J67" i="2"/>
  <c r="J66" i="2"/>
  <c r="C18" i="2"/>
  <c r="D60" i="2"/>
  <c r="D59" i="2"/>
  <c r="K67" i="2"/>
  <c r="K68" i="2"/>
  <c r="K66" i="2"/>
  <c r="J68" i="2"/>
  <c r="D56" i="2"/>
  <c r="D57" i="2"/>
  <c r="D55" i="2"/>
  <c r="J30" i="2"/>
  <c r="J31" i="2"/>
  <c r="B57" i="2" s="1"/>
  <c r="D17" i="2"/>
  <c r="D80" i="2"/>
  <c r="D10" i="2"/>
  <c r="O5" i="2"/>
  <c r="D37" i="2"/>
  <c r="O8" i="2"/>
  <c r="M8" i="2"/>
  <c r="M7" i="2"/>
  <c r="O7" i="2" s="1"/>
  <c r="C10" i="2" s="1"/>
  <c r="O3" i="2"/>
  <c r="G4" i="2"/>
  <c r="G6" i="2"/>
  <c r="G14" i="2"/>
  <c r="G12" i="2"/>
  <c r="G13" i="2"/>
  <c r="G9" i="2"/>
  <c r="G10" i="2"/>
  <c r="G11" i="2"/>
  <c r="G8" i="2"/>
  <c r="G7" i="2"/>
  <c r="G5" i="2"/>
  <c r="G3" i="2"/>
  <c r="G15" i="2"/>
  <c r="B62" i="2"/>
  <c r="B61" i="2"/>
  <c r="B66" i="2"/>
  <c r="B65" i="2"/>
  <c r="B60" i="2"/>
  <c r="B59" i="2"/>
  <c r="B55" i="2"/>
  <c r="B81" i="2"/>
  <c r="B80" i="2"/>
  <c r="B78" i="2"/>
  <c r="B73" i="2"/>
  <c r="B72" i="2"/>
  <c r="B71" i="2"/>
  <c r="J23" i="2"/>
  <c r="J29" i="2"/>
  <c r="J25" i="2"/>
  <c r="J5" i="2"/>
  <c r="M31" i="4" l="1"/>
  <c r="Q31" i="4" s="1"/>
  <c r="N35" i="4"/>
  <c r="P35" i="4" s="1"/>
  <c r="Q46" i="4"/>
  <c r="Q3" i="4"/>
  <c r="P3" i="4"/>
  <c r="P65" i="4"/>
  <c r="Q65" i="4"/>
  <c r="Q36" i="4"/>
  <c r="N63" i="3"/>
  <c r="M52" i="3"/>
  <c r="M55" i="3"/>
  <c r="N9" i="3"/>
  <c r="M73" i="3"/>
  <c r="N40" i="3"/>
  <c r="N3" i="3"/>
  <c r="B58" i="3"/>
  <c r="C58" i="3" s="1"/>
  <c r="J35" i="2"/>
  <c r="D69" i="2" s="1"/>
  <c r="D71" i="2"/>
  <c r="C35" i="2"/>
  <c r="D51" i="2"/>
  <c r="D70" i="2" s="1"/>
  <c r="B51" i="2"/>
  <c r="B70" i="2" s="1"/>
  <c r="B56" i="2"/>
  <c r="E19" i="1"/>
  <c r="E16" i="1"/>
  <c r="E12" i="1"/>
  <c r="Q35" i="4" l="1"/>
  <c r="O31" i="4"/>
  <c r="C81" i="3"/>
  <c r="M36" i="3"/>
  <c r="N35" i="3"/>
  <c r="O29" i="2"/>
  <c r="U29" i="2" s="1"/>
  <c r="J12" i="2"/>
  <c r="J11" i="2"/>
  <c r="C19" i="1"/>
  <c r="C16" i="1"/>
  <c r="C12" i="1"/>
  <c r="M63" i="3" l="1"/>
  <c r="N65" i="3"/>
  <c r="C54" i="3"/>
  <c r="C57" i="3"/>
  <c r="B7" i="1"/>
  <c r="I3" i="1"/>
  <c r="H3" i="1"/>
  <c r="B3" i="1" s="1"/>
  <c r="B5" i="1" s="1"/>
  <c r="M71" i="3" l="1"/>
  <c r="N71" i="3"/>
  <c r="N69" i="3"/>
  <c r="M69" i="3"/>
  <c r="N27" i="3"/>
  <c r="M22" i="3"/>
  <c r="M57" i="3"/>
</calcChain>
</file>

<file path=xl/sharedStrings.xml><?xml version="1.0" encoding="utf-8"?>
<sst xmlns="http://schemas.openxmlformats.org/spreadsheetml/2006/main" count="2015" uniqueCount="291">
  <si>
    <t>R_b</t>
  </si>
  <si>
    <t>-kapa_kb</t>
  </si>
  <si>
    <t>K_b</t>
  </si>
  <si>
    <t>B</t>
  </si>
  <si>
    <t>vi</t>
  </si>
  <si>
    <t>r_ib</t>
  </si>
  <si>
    <t>interestPOL</t>
  </si>
  <si>
    <t>piss</t>
  </si>
  <si>
    <t>beta_p</t>
  </si>
  <si>
    <t>eps_d</t>
  </si>
  <si>
    <t>exp(R_b)</t>
  </si>
  <si>
    <t>mk_d_ss</t>
  </si>
  <si>
    <t>eps_bh</t>
  </si>
  <si>
    <t>mk_bh_ss</t>
  </si>
  <si>
    <t>eps_bf</t>
  </si>
  <si>
    <t>mk_bf_ss</t>
  </si>
  <si>
    <t>c_p</t>
  </si>
  <si>
    <t>h_p</t>
  </si>
  <si>
    <t>d_p</t>
  </si>
  <si>
    <t>l_p</t>
  </si>
  <si>
    <t>lam_p</t>
  </si>
  <si>
    <t>J_R</t>
  </si>
  <si>
    <t>j_B</t>
  </si>
  <si>
    <t>pie_wp</t>
  </si>
  <si>
    <t>c_i</t>
  </si>
  <si>
    <t>h_i</t>
  </si>
  <si>
    <t>b_i</t>
  </si>
  <si>
    <t>l_i</t>
  </si>
  <si>
    <t>lam_i</t>
  </si>
  <si>
    <t>s_i</t>
  </si>
  <si>
    <t>pie_wi</t>
  </si>
  <si>
    <t>I</t>
  </si>
  <si>
    <t>q_k</t>
  </si>
  <si>
    <t>c_e</t>
  </si>
  <si>
    <t>k_e</t>
  </si>
  <si>
    <t>l_pd</t>
  </si>
  <si>
    <t>l_id</t>
  </si>
  <si>
    <t>b_ee</t>
  </si>
  <si>
    <t>y_e</t>
  </si>
  <si>
    <t>lam_e</t>
  </si>
  <si>
    <t>s_e</t>
  </si>
  <si>
    <t>u</t>
  </si>
  <si>
    <t>d_b</t>
  </si>
  <si>
    <t>b_h</t>
  </si>
  <si>
    <t>b_e</t>
  </si>
  <si>
    <t>r_d</t>
  </si>
  <si>
    <t>r_bh</t>
  </si>
  <si>
    <t>r_be</t>
  </si>
  <si>
    <t>pie</t>
  </si>
  <si>
    <t>x</t>
  </si>
  <si>
    <t>C</t>
  </si>
  <si>
    <t>Y</t>
  </si>
  <si>
    <t>D</t>
  </si>
  <si>
    <t>BE</t>
  </si>
  <si>
    <t>BH</t>
  </si>
  <si>
    <t>w_p</t>
  </si>
  <si>
    <t>w_i</t>
  </si>
  <si>
    <t>J_B</t>
  </si>
  <si>
    <t>q_h</t>
  </si>
  <si>
    <t>K</t>
  </si>
  <si>
    <t>PIW</t>
  </si>
  <si>
    <t>ee_z</t>
  </si>
  <si>
    <t>A_e</t>
  </si>
  <si>
    <t>ee_j</t>
  </si>
  <si>
    <t>mk_d</t>
  </si>
  <si>
    <t>mk_be</t>
  </si>
  <si>
    <t>mk_bh</t>
  </si>
  <si>
    <t>ee_qk</t>
  </si>
  <si>
    <t>m_i</t>
  </si>
  <si>
    <t>m_e</t>
  </si>
  <si>
    <t>eps_y</t>
  </si>
  <si>
    <t>eps_l</t>
  </si>
  <si>
    <t>eps_K_b</t>
  </si>
  <si>
    <t>Y1</t>
  </si>
  <si>
    <t>rr_e</t>
  </si>
  <si>
    <t>aux1</t>
  </si>
  <si>
    <t>bm</t>
  </si>
  <si>
    <t>spr_b</t>
  </si>
  <si>
    <t>Variabile endogene</t>
  </si>
  <si>
    <t>Variabile exogene</t>
  </si>
  <si>
    <t>e_A_e</t>
  </si>
  <si>
    <t>e_eps_K_b</t>
  </si>
  <si>
    <t>e_j</t>
  </si>
  <si>
    <t>e_l</t>
  </si>
  <si>
    <t>e_me</t>
  </si>
  <si>
    <t>e_mi</t>
  </si>
  <si>
    <t>e_mk_be</t>
  </si>
  <si>
    <t>e_mk_bh</t>
  </si>
  <si>
    <t>e_mk_d</t>
  </si>
  <si>
    <t>e_r_ib</t>
  </si>
  <si>
    <t>e_qk</t>
  </si>
  <si>
    <t>e_y</t>
  </si>
  <si>
    <t>e_z</t>
  </si>
  <si>
    <t>Parametrii</t>
  </si>
  <si>
    <t>j</t>
  </si>
  <si>
    <t>phi</t>
  </si>
  <si>
    <t>beta_i</t>
  </si>
  <si>
    <t>m_i_ss</t>
  </si>
  <si>
    <t>beta_e</t>
  </si>
  <si>
    <t>m_e_ss</t>
  </si>
  <si>
    <t>alpha</t>
  </si>
  <si>
    <t>eksi_1</t>
  </si>
  <si>
    <t>eksi_2</t>
  </si>
  <si>
    <t>h</t>
  </si>
  <si>
    <t>a_i</t>
  </si>
  <si>
    <t>a_p</t>
  </si>
  <si>
    <t>a_e</t>
  </si>
  <si>
    <t>gamma_p</t>
  </si>
  <si>
    <t>gamma_i</t>
  </si>
  <si>
    <t>gamma_e</t>
  </si>
  <si>
    <t>ni</t>
  </si>
  <si>
    <t>eps_l_ss</t>
  </si>
  <si>
    <t>kappa_w</t>
  </si>
  <si>
    <t>eps_be</t>
  </si>
  <si>
    <t>mk_be_ss</t>
  </si>
  <si>
    <t>r_be_ss</t>
  </si>
  <si>
    <t>r_bh_ss</t>
  </si>
  <si>
    <t>r_k_ss</t>
  </si>
  <si>
    <t>delta_kb</t>
  </si>
  <si>
    <t>kappa_kb</t>
  </si>
  <si>
    <t>eps_y_ss</t>
  </si>
  <si>
    <t>kappa_p</t>
  </si>
  <si>
    <t>ind_p</t>
  </si>
  <si>
    <t>ind_w</t>
  </si>
  <si>
    <t>kappa_i</t>
  </si>
  <si>
    <t>kappa_d</t>
  </si>
  <si>
    <t>kappa_be</t>
  </si>
  <si>
    <t>kappa_bh</t>
  </si>
  <si>
    <t>ind_d</t>
  </si>
  <si>
    <t>ind_be</t>
  </si>
  <si>
    <t>ind_bh</t>
  </si>
  <si>
    <t>rho_ib</t>
  </si>
  <si>
    <t>phi_pie</t>
  </si>
  <si>
    <t>phi_y</t>
  </si>
  <si>
    <t>r_ib_ss</t>
  </si>
  <si>
    <t>rho_ee_z</t>
  </si>
  <si>
    <t>rho_a_e</t>
  </si>
  <si>
    <t>rho_ee_j</t>
  </si>
  <si>
    <t>rho_me</t>
  </si>
  <si>
    <t>rho_mi</t>
  </si>
  <si>
    <t>rho_mk_d</t>
  </si>
  <si>
    <t>rho_mk_bh</t>
  </si>
  <si>
    <t>rho_mk_be</t>
  </si>
  <si>
    <t>rho_ee_qk</t>
  </si>
  <si>
    <t>rho_eps_y</t>
  </si>
  <si>
    <t>rho_eps_l</t>
  </si>
  <si>
    <t>rho_eps_K_b</t>
  </si>
  <si>
    <t>Valori gerali</t>
  </si>
  <si>
    <t>deltak</t>
  </si>
  <si>
    <t>eps_b</t>
  </si>
  <si>
    <t>Valori intiale gerali</t>
  </si>
  <si>
    <t>interestPol</t>
  </si>
  <si>
    <t>interestH</t>
  </si>
  <si>
    <t>interestF</t>
  </si>
  <si>
    <t>inflation</t>
  </si>
  <si>
    <t>loansH</t>
  </si>
  <si>
    <t>loansF</t>
  </si>
  <si>
    <t>output</t>
  </si>
  <si>
    <t>consumption</t>
  </si>
  <si>
    <t>investment</t>
  </si>
  <si>
    <t>deposits</t>
  </si>
  <si>
    <t>interestDep</t>
  </si>
  <si>
    <t>bankcapital</t>
  </si>
  <si>
    <t>r_k</t>
  </si>
  <si>
    <t>Valori calculate</t>
  </si>
  <si>
    <t>Ecuatii</t>
  </si>
  <si>
    <t>=</t>
  </si>
  <si>
    <t>Valori cu calcul steady state</t>
  </si>
  <si>
    <t>markdown_d_ss</t>
  </si>
  <si>
    <t>markdown be ss</t>
  </si>
  <si>
    <t>expresie cu pie</t>
  </si>
  <si>
    <t>Ecuatie rhs</t>
  </si>
  <si>
    <t>Ecuatie lhs</t>
  </si>
  <si>
    <t>exp</t>
  </si>
  <si>
    <t>Patient hh</t>
  </si>
  <si>
    <t>Impatient hh</t>
  </si>
  <si>
    <t>Capital goods producers</t>
  </si>
  <si>
    <t>Entrepreneurs</t>
  </si>
  <si>
    <t>gamma_b</t>
  </si>
  <si>
    <t>Banks</t>
  </si>
  <si>
    <t>Retailer</t>
  </si>
  <si>
    <t>Aggregation and equilibrium</t>
  </si>
  <si>
    <t>Taylor</t>
  </si>
  <si>
    <t>e_mk)_d</t>
  </si>
  <si>
    <t>Exogenous</t>
  </si>
  <si>
    <t>Aux</t>
  </si>
  <si>
    <t xml:space="preserve">c_p               </t>
  </si>
  <si>
    <t xml:space="preserve">h_p               </t>
  </si>
  <si>
    <t xml:space="preserve">d_p               </t>
  </si>
  <si>
    <t xml:space="preserve">l_p               </t>
  </si>
  <si>
    <t xml:space="preserve">lam_p             </t>
  </si>
  <si>
    <t xml:space="preserve">J_R               </t>
  </si>
  <si>
    <t xml:space="preserve">j_B               </t>
  </si>
  <si>
    <t xml:space="preserve">pie_wp            </t>
  </si>
  <si>
    <t xml:space="preserve">c_i               </t>
  </si>
  <si>
    <t xml:space="preserve">h_i               </t>
  </si>
  <si>
    <t xml:space="preserve">b_i               </t>
  </si>
  <si>
    <t xml:space="preserve">l_i               </t>
  </si>
  <si>
    <t xml:space="preserve">lam_i             </t>
  </si>
  <si>
    <t xml:space="preserve">s_i               </t>
  </si>
  <si>
    <t xml:space="preserve">pie_wi            </t>
  </si>
  <si>
    <t xml:space="preserve">I                 </t>
  </si>
  <si>
    <t xml:space="preserve">q_k               </t>
  </si>
  <si>
    <t xml:space="preserve">c_e               </t>
  </si>
  <si>
    <t xml:space="preserve">k_e               </t>
  </si>
  <si>
    <t xml:space="preserve">l_pd              </t>
  </si>
  <si>
    <t xml:space="preserve">l_id              </t>
  </si>
  <si>
    <t xml:space="preserve">b_ee              </t>
  </si>
  <si>
    <t xml:space="preserve">y_e               </t>
  </si>
  <si>
    <t xml:space="preserve">lam_e             </t>
  </si>
  <si>
    <t xml:space="preserve">s_e               </t>
  </si>
  <si>
    <t xml:space="preserve">u                 </t>
  </si>
  <si>
    <t xml:space="preserve">d_b               </t>
  </si>
  <si>
    <t xml:space="preserve">b_h               </t>
  </si>
  <si>
    <t xml:space="preserve">b_e               </t>
  </si>
  <si>
    <t xml:space="preserve">r_d               </t>
  </si>
  <si>
    <t xml:space="preserve">r_bh              </t>
  </si>
  <si>
    <t xml:space="preserve">r_be              </t>
  </si>
  <si>
    <t xml:space="preserve">R_b               </t>
  </si>
  <si>
    <t xml:space="preserve">K_b               </t>
  </si>
  <si>
    <t xml:space="preserve">pie               </t>
  </si>
  <si>
    <t xml:space="preserve">x                 </t>
  </si>
  <si>
    <t xml:space="preserve">C                 </t>
  </si>
  <si>
    <t xml:space="preserve">Y                 </t>
  </si>
  <si>
    <t xml:space="preserve">D                 </t>
  </si>
  <si>
    <t xml:space="preserve">BE                </t>
  </si>
  <si>
    <t xml:space="preserve">BH                </t>
  </si>
  <si>
    <t xml:space="preserve">B                 </t>
  </si>
  <si>
    <t xml:space="preserve">w_p               </t>
  </si>
  <si>
    <t xml:space="preserve">w_i               </t>
  </si>
  <si>
    <t xml:space="preserve">J_B               </t>
  </si>
  <si>
    <t xml:space="preserve">q_h               </t>
  </si>
  <si>
    <t xml:space="preserve">K                 </t>
  </si>
  <si>
    <t xml:space="preserve">PIW               </t>
  </si>
  <si>
    <t xml:space="preserve">r_ib              </t>
  </si>
  <si>
    <t xml:space="preserve">r_k               </t>
  </si>
  <si>
    <t xml:space="preserve">ee_z              </t>
  </si>
  <si>
    <t xml:space="preserve">A_e               </t>
  </si>
  <si>
    <t xml:space="preserve">ee_j              </t>
  </si>
  <si>
    <t xml:space="preserve">mk_d              </t>
  </si>
  <si>
    <t xml:space="preserve">mk_be             </t>
  </si>
  <si>
    <t xml:space="preserve">mk_bh             </t>
  </si>
  <si>
    <t xml:space="preserve">ee_qk             </t>
  </si>
  <si>
    <t xml:space="preserve">m_i               </t>
  </si>
  <si>
    <t xml:space="preserve">m_e               </t>
  </si>
  <si>
    <t xml:space="preserve">eps_y             </t>
  </si>
  <si>
    <t xml:space="preserve">eps_l             </t>
  </si>
  <si>
    <t xml:space="preserve">eps_K_b           </t>
  </si>
  <si>
    <t xml:space="preserve">Y1                </t>
  </si>
  <si>
    <t xml:space="preserve">rr_e              </t>
  </si>
  <si>
    <t xml:space="preserve">aux1              </t>
  </si>
  <si>
    <t xml:space="preserve">bm                </t>
  </si>
  <si>
    <t xml:space="preserve">spr_b             </t>
  </si>
  <si>
    <t xml:space="preserve">interestPol       </t>
  </si>
  <si>
    <t xml:space="preserve">interestH         </t>
  </si>
  <si>
    <t xml:space="preserve">interestF         </t>
  </si>
  <si>
    <t xml:space="preserve">inflation         </t>
  </si>
  <si>
    <t xml:space="preserve">loansH            </t>
  </si>
  <si>
    <t xml:space="preserve">loansF            </t>
  </si>
  <si>
    <t xml:space="preserve">output            </t>
  </si>
  <si>
    <t xml:space="preserve">consumption       </t>
  </si>
  <si>
    <t xml:space="preserve">investment        </t>
  </si>
  <si>
    <t xml:space="preserve">deposits          </t>
  </si>
  <si>
    <t xml:space="preserve">interestDep       </t>
  </si>
  <si>
    <t xml:space="preserve">bankcapital       </t>
  </si>
  <si>
    <t>ss normal</t>
  </si>
  <si>
    <t>ss cu alpha modificat</t>
  </si>
  <si>
    <t>ss cu deltak modificat</t>
  </si>
  <si>
    <t>ss cu betap modificat</t>
  </si>
  <si>
    <t>ss cu phi modificat</t>
  </si>
  <si>
    <t>ss cu LTV si ni modificat</t>
  </si>
  <si>
    <t>ss cu vi-0.1</t>
  </si>
  <si>
    <t>ss cu vi-0,12</t>
  </si>
  <si>
    <t>ss cu vi 0,14</t>
  </si>
  <si>
    <t>rata depozite in sold populatie</t>
  </si>
  <si>
    <t>rata depozite in sold societati</t>
  </si>
  <si>
    <t>rata credite in sold populati</t>
  </si>
  <si>
    <t>rata credite in sold societati</t>
  </si>
  <si>
    <t>ROBOR O/N</t>
  </si>
  <si>
    <t>medie feb 2023</t>
  </si>
  <si>
    <t>ss cu eps_d=-1.05</t>
  </si>
  <si>
    <t>ss cu eps_bh=2, eps_be=2</t>
  </si>
  <si>
    <t>ss cu eps_bh=1.4545, eps_be=1.37</t>
  </si>
  <si>
    <t>rho_vi</t>
  </si>
  <si>
    <t>vi_ss</t>
  </si>
  <si>
    <t>e_vi</t>
  </si>
  <si>
    <t xml:space="preserve">vi                </t>
  </si>
  <si>
    <t>ss cu vi=0.16</t>
  </si>
  <si>
    <t>ss cu eps_d=-0.9</t>
  </si>
  <si>
    <t>coeficienti estimati RO</t>
  </si>
  <si>
    <t>cu vi=18%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</si>
</sst>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"/>
    <numFmt numFmtId="165" formatCode="0.00000"/>
    <numFmt numFmtId="166" formatCode="0.000000"/>
    <numFmt numFmtId="167" formatCode="0.0000000000000000"/>
    <numFmt numFmtId="168" formatCode="0.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49" fontId="0" fillId="0" borderId="0" xfId="0" applyNumberFormat="1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6" fontId="0" fillId="0" borderId="0" xfId="0" applyNumberFormat="1" applyAlignment="1">
      <alignment wrapText="1"/>
    </xf>
    <xf numFmtId="0" fontId="1" fillId="0" borderId="0" xfId="0" applyFont="1"/>
    <xf numFmtId="11" fontId="0" fillId="0" borderId="1" xfId="0" applyNumberFormat="1" applyBorder="1" applyAlignment="1">
      <alignment vertical="top" wrapText="1"/>
    </xf>
    <xf numFmtId="11" fontId="0" fillId="0" borderId="0" xfId="0" applyNumberFormat="1" applyFont="1"/>
    <xf numFmtId="164" fontId="0" fillId="0" borderId="0" xfId="0" applyNumberFormat="1" applyFont="1"/>
    <xf numFmtId="164" fontId="0" fillId="2" borderId="0" xfId="0" applyNumberFormat="1" applyFill="1"/>
    <xf numFmtId="164" fontId="0" fillId="0" borderId="0" xfId="0" applyNumberFormat="1" applyFill="1"/>
    <xf numFmtId="14" fontId="0" fillId="0" borderId="0" xfId="0" applyNumberFormat="1"/>
    <xf numFmtId="17" fontId="0" fillId="0" borderId="0" xfId="0" applyNumberFormat="1"/>
    <xf numFmtId="168" fontId="0" fillId="0" borderId="0" xfId="0" applyNumberFormat="1"/>
    <xf numFmtId="11" fontId="0" fillId="0" borderId="2" xfId="0" applyNumberFormat="1" applyBorder="1" applyAlignment="1">
      <alignment horizontal="center" vertical="top" wrapText="1"/>
    </xf>
    <xf numFmtId="11" fontId="0" fillId="0" borderId="3" xfId="0" applyNumberFormat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11" fontId="0" fillId="0" borderId="4" xfId="0" applyNumberFormat="1" applyBorder="1" applyAlignment="1">
      <alignment horizontal="center" vertical="top" wrapText="1"/>
    </xf>
    <xf numFmtId="11" fontId="0" fillId="0" borderId="2" xfId="0" applyNumberFormat="1" applyBorder="1" applyAlignment="1">
      <alignment horizontal="center" wrapText="1"/>
    </xf>
    <xf numFmtId="11" fontId="0" fillId="0" borderId="4" xfId="0" applyNumberFormat="1" applyBorder="1" applyAlignment="1">
      <alignment horizont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5"/>
  <sheetViews>
    <sheetView topLeftCell="A16" workbookViewId="0">
      <selection activeCell="H34" sqref="H34"/>
    </sheetView>
  </sheetViews>
  <sheetFormatPr defaultRowHeight="15" x14ac:dyDescent="0.25"/>
  <cols>
    <col min="1" max="1" width="28.5703125" bestFit="1" customWidth="1"/>
  </cols>
  <sheetData>
    <row r="2" spans="2:12" x14ac:dyDescent="0.25">
      <c r="B2" t="s">
        <v>10</v>
      </c>
      <c r="C2" s="1" t="s">
        <v>1</v>
      </c>
      <c r="D2" t="s">
        <v>2</v>
      </c>
      <c r="E2" t="s">
        <v>3</v>
      </c>
      <c r="F2" t="s">
        <v>4</v>
      </c>
      <c r="G2" t="s">
        <v>6</v>
      </c>
      <c r="H2" t="s">
        <v>5</v>
      </c>
      <c r="J2" t="s">
        <v>7</v>
      </c>
      <c r="K2" t="s">
        <v>8</v>
      </c>
      <c r="L2" t="s">
        <v>9</v>
      </c>
    </row>
    <row r="3" spans="2:12" x14ac:dyDescent="0.25">
      <c r="B3">
        <f>-C3*(EXP(D3)/EXP(E3)-F3)*(EXP(D3)/EXP(E3))^2+EXP(H3)</f>
        <v>0.98999675333950254</v>
      </c>
      <c r="C3">
        <v>8.9148195803466894</v>
      </c>
      <c r="D3">
        <f>Sheet4!C35</f>
        <v>1.3424499999999999</v>
      </c>
      <c r="E3">
        <f>Sheet4!C43</f>
        <v>3.1572800000000001</v>
      </c>
      <c r="F3">
        <v>0.14000000000000001</v>
      </c>
      <c r="G3">
        <f>Sheet4!C69</f>
        <v>-1.8427500000000001</v>
      </c>
      <c r="H3">
        <f>G3/400</f>
        <v>-4.6068749999999999E-3</v>
      </c>
      <c r="I3">
        <f>(J3/K3-1)*(L3-1)/L3</f>
        <v>6.256963468136291E-3</v>
      </c>
      <c r="J3">
        <v>1</v>
      </c>
      <c r="K3">
        <v>0.99629999999999996</v>
      </c>
      <c r="L3">
        <v>-1.46025</v>
      </c>
    </row>
    <row r="4" spans="2:12" x14ac:dyDescent="0.25">
      <c r="B4" t="s">
        <v>0</v>
      </c>
    </row>
    <row r="5" spans="2:12" x14ac:dyDescent="0.25">
      <c r="B5" t="e">
        <f>LN(B3-1)</f>
        <v>#NUM!</v>
      </c>
    </row>
    <row r="6" spans="2:12" x14ac:dyDescent="0.25">
      <c r="B6">
        <v>-4.63992</v>
      </c>
    </row>
    <row r="7" spans="2:12" x14ac:dyDescent="0.25">
      <c r="B7">
        <f>EXP(B6)+1</f>
        <v>1.0096584702742535</v>
      </c>
    </row>
    <row r="11" spans="2:12" x14ac:dyDescent="0.25">
      <c r="B11" t="s">
        <v>9</v>
      </c>
      <c r="C11" t="s">
        <v>11</v>
      </c>
      <c r="E11" t="s">
        <v>9</v>
      </c>
      <c r="F11" t="s">
        <v>11</v>
      </c>
    </row>
    <row r="12" spans="2:12" x14ac:dyDescent="0.25">
      <c r="B12">
        <v>-1.46025</v>
      </c>
      <c r="C12">
        <f>B12/(B12-1)</f>
        <v>0.59353724215018799</v>
      </c>
      <c r="E12">
        <f>-F12/(1-F12)</f>
        <v>-3.3638348216053657</v>
      </c>
      <c r="F12">
        <v>0.77084375534816407</v>
      </c>
    </row>
    <row r="15" spans="2:12" x14ac:dyDescent="0.25">
      <c r="B15" t="s">
        <v>12</v>
      </c>
      <c r="C15" t="s">
        <v>13</v>
      </c>
      <c r="E15" t="s">
        <v>12</v>
      </c>
      <c r="F15" t="s">
        <v>13</v>
      </c>
    </row>
    <row r="16" spans="2:12" x14ac:dyDescent="0.25">
      <c r="B16">
        <v>2.9328059999999998</v>
      </c>
      <c r="C16">
        <f>B16/(B16-1)</f>
        <v>1.5173824998473722</v>
      </c>
      <c r="E16">
        <f>-F16/(1-F16)</f>
        <v>-20.052112541151949</v>
      </c>
      <c r="F16">
        <v>0.95249882889210125</v>
      </c>
    </row>
    <row r="18" spans="1:6" x14ac:dyDescent="0.25">
      <c r="B18" t="s">
        <v>14</v>
      </c>
      <c r="C18" t="s">
        <v>15</v>
      </c>
      <c r="E18" t="s">
        <v>14</v>
      </c>
      <c r="F18" t="s">
        <v>15</v>
      </c>
    </row>
    <row r="19" spans="1:6" x14ac:dyDescent="0.25">
      <c r="B19">
        <v>2.9328059999999998</v>
      </c>
      <c r="C19">
        <f>B19/(B19-1)</f>
        <v>1.5173824998473722</v>
      </c>
      <c r="E19">
        <f>-F19/(1-F19)</f>
        <v>1.7318284823503338</v>
      </c>
      <c r="F19">
        <v>2.3664403943235564</v>
      </c>
    </row>
    <row r="26" spans="1:6" x14ac:dyDescent="0.25">
      <c r="A26" t="s">
        <v>278</v>
      </c>
      <c r="B26" t="s">
        <v>279</v>
      </c>
      <c r="C26">
        <v>6.14</v>
      </c>
    </row>
    <row r="27" spans="1:6" x14ac:dyDescent="0.25">
      <c r="A27" t="s">
        <v>274</v>
      </c>
      <c r="B27" s="16">
        <v>44958</v>
      </c>
      <c r="C27">
        <v>6.64</v>
      </c>
      <c r="D27" s="17">
        <f>C27-C26</f>
        <v>0.5</v>
      </c>
      <c r="E27" s="4">
        <f>D27/(D27-1)</f>
        <v>-1</v>
      </c>
    </row>
    <row r="28" spans="1:6" x14ac:dyDescent="0.25">
      <c r="A28" t="s">
        <v>275</v>
      </c>
      <c r="B28" s="16">
        <v>44958</v>
      </c>
      <c r="C28">
        <v>6.44</v>
      </c>
    </row>
    <row r="29" spans="1:6" x14ac:dyDescent="0.25">
      <c r="A29" t="s">
        <v>276</v>
      </c>
      <c r="B29" s="16">
        <v>44958</v>
      </c>
      <c r="C29">
        <v>9.34</v>
      </c>
      <c r="D29">
        <f>C29-C26</f>
        <v>3.2</v>
      </c>
      <c r="E29">
        <f>D29/(D29-1)</f>
        <v>1.4545454545454546</v>
      </c>
    </row>
    <row r="30" spans="1:6" x14ac:dyDescent="0.25">
      <c r="A30" t="s">
        <v>277</v>
      </c>
      <c r="B30" s="16">
        <v>44958</v>
      </c>
      <c r="C30">
        <v>9.86</v>
      </c>
      <c r="D30">
        <f>C30-C26</f>
        <v>3.7199999999999998</v>
      </c>
      <c r="E30">
        <f>D30/(D30-1)</f>
        <v>1.3676470588235294</v>
      </c>
    </row>
    <row r="33" spans="4:5" x14ac:dyDescent="0.25">
      <c r="D33">
        <v>-1.46</v>
      </c>
      <c r="E33">
        <f>D33/(D33-1)</f>
        <v>0.5934959349593496</v>
      </c>
    </row>
    <row r="34" spans="4:5" x14ac:dyDescent="0.25">
      <c r="D34">
        <v>2.79</v>
      </c>
      <c r="E34">
        <f t="shared" ref="E34:E35" si="0">D34/(D34-1)</f>
        <v>1.558659217877095</v>
      </c>
    </row>
    <row r="35" spans="4:5" x14ac:dyDescent="0.25">
      <c r="D35">
        <v>3.12</v>
      </c>
      <c r="E35">
        <f t="shared" si="0"/>
        <v>1.4716981132075471</v>
      </c>
    </row>
  </sheetData>
  <pageMargins left="0.7" right="0.7" top="0.75" bottom="0.75" header="0.3" footer="0.3"/>
  <pageSetup paperSize="9" orientation="portrait" r:id="rId1"/>
  <headerFooter>
    <oddHeader>&amp;R&amp;"Times New Roman"&amp;12&amp;K000000BNR - Uz intern&amp;1#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1"/>
  <sheetViews>
    <sheetView zoomScale="85" zoomScaleNormal="85" workbookViewId="0">
      <selection activeCell="K8" sqref="K8"/>
    </sheetView>
  </sheetViews>
  <sheetFormatPr defaultRowHeight="15" x14ac:dyDescent="0.25"/>
  <cols>
    <col min="3" max="4" width="9.28515625" customWidth="1"/>
    <col min="10" max="10" width="14.85546875" customWidth="1"/>
    <col min="11" max="11" width="10.28515625" customWidth="1"/>
    <col min="13" max="13" width="13" style="6" bestFit="1" customWidth="1"/>
    <col min="14" max="14" width="2.28515625" style="6" customWidth="1"/>
    <col min="15" max="15" width="8.85546875" style="6"/>
    <col min="17" max="17" width="9.42578125" bestFit="1" customWidth="1"/>
    <col min="18" max="18" width="2" bestFit="1" customWidth="1"/>
  </cols>
  <sheetData>
    <row r="1" spans="1:21" x14ac:dyDescent="0.25">
      <c r="M1"/>
      <c r="N1"/>
      <c r="O1"/>
    </row>
    <row r="2" spans="1:21" x14ac:dyDescent="0.25">
      <c r="A2" t="s">
        <v>78</v>
      </c>
      <c r="B2" t="s">
        <v>150</v>
      </c>
      <c r="C2" t="s">
        <v>164</v>
      </c>
      <c r="D2" t="s">
        <v>167</v>
      </c>
      <c r="F2" t="s">
        <v>79</v>
      </c>
      <c r="I2" t="s">
        <v>93</v>
      </c>
      <c r="J2" t="s">
        <v>147</v>
      </c>
      <c r="L2" t="s">
        <v>165</v>
      </c>
      <c r="M2"/>
      <c r="N2"/>
      <c r="O2"/>
    </row>
    <row r="3" spans="1:21" x14ac:dyDescent="0.25">
      <c r="A3" t="s">
        <v>16</v>
      </c>
      <c r="B3">
        <v>-0.122029</v>
      </c>
      <c r="F3" t="s">
        <v>80</v>
      </c>
      <c r="G3">
        <f xml:space="preserve"> 0.0062^2</f>
        <v>3.8439999999999998E-5</v>
      </c>
      <c r="I3" t="s">
        <v>8</v>
      </c>
      <c r="J3">
        <v>0.99429999999999996</v>
      </c>
      <c r="K3">
        <v>0.99629999999999996</v>
      </c>
      <c r="L3">
        <v>1</v>
      </c>
      <c r="M3" s="6">
        <f>(1-J62)*EXP(B52)*(EXP(B3) - J62*EXP(B3))^(-1)</f>
        <v>1.1297868651243363</v>
      </c>
      <c r="N3" s="6" t="s">
        <v>166</v>
      </c>
      <c r="O3" s="6">
        <f>EXP(B7)</f>
        <v>1.1297868651243366</v>
      </c>
      <c r="Q3">
        <v>1.1297868651243363</v>
      </c>
      <c r="R3" t="s">
        <v>166</v>
      </c>
      <c r="S3">
        <v>1.1297868651243366</v>
      </c>
      <c r="T3" t="b">
        <f>Q3=M3</f>
        <v>1</v>
      </c>
      <c r="U3" t="b">
        <f>S3=O3</f>
        <v>1</v>
      </c>
    </row>
    <row r="4" spans="1:21" x14ac:dyDescent="0.25">
      <c r="A4" t="s">
        <v>17</v>
      </c>
      <c r="B4">
        <v>-5.3536599999999997E-2</v>
      </c>
      <c r="F4" t="s">
        <v>81</v>
      </c>
      <c r="G4">
        <f xml:space="preserve"> 0.05^2</f>
        <v>2.5000000000000005E-3</v>
      </c>
      <c r="I4" t="s">
        <v>96</v>
      </c>
      <c r="J4">
        <v>0.97499999999999998</v>
      </c>
      <c r="L4">
        <v>2</v>
      </c>
      <c r="M4" s="6">
        <f>J7* (EXP(B54))  / EXP(B4) - EXP(B7) * EXP(B48) + J3 * EXP(B7) * EXP(B48)</f>
        <v>-2.549488087311147E-7</v>
      </c>
      <c r="N4" s="6" t="s">
        <v>166</v>
      </c>
      <c r="O4" s="6">
        <v>0</v>
      </c>
      <c r="Q4">
        <v>-2.549488087311147E-7</v>
      </c>
      <c r="R4" t="s">
        <v>166</v>
      </c>
      <c r="S4">
        <v>0</v>
      </c>
      <c r="T4" t="b">
        <f t="shared" ref="T4:T36" si="0">Q4=M4</f>
        <v>1</v>
      </c>
      <c r="U4" t="b">
        <f t="shared" ref="U4:U36" si="1">S4=O4</f>
        <v>1</v>
      </c>
    </row>
    <row r="5" spans="1:21" x14ac:dyDescent="0.25">
      <c r="A5" t="s">
        <v>18</v>
      </c>
      <c r="B5">
        <v>0.84079700000000002</v>
      </c>
      <c r="F5" t="s">
        <v>82</v>
      </c>
      <c r="G5" s="3">
        <f>0.0658^2</f>
        <v>4.3296400000000001E-3</v>
      </c>
      <c r="I5" t="s">
        <v>98</v>
      </c>
      <c r="J5">
        <f>J4</f>
        <v>0.97499999999999998</v>
      </c>
      <c r="L5">
        <v>3</v>
      </c>
      <c r="M5" s="6">
        <f>J3* EXP(B7) * (1+EXP(B32) )/ EXP(B37)</f>
        <v>1.1297868831373645</v>
      </c>
      <c r="N5" s="6" t="s">
        <v>166</v>
      </c>
      <c r="O5" s="6">
        <f>EXP(B7)</f>
        <v>1.1297868651243366</v>
      </c>
      <c r="Q5">
        <v>1.1297868831373645</v>
      </c>
      <c r="R5" s="5" t="s">
        <v>166</v>
      </c>
      <c r="S5">
        <v>1.1297868651243366</v>
      </c>
      <c r="T5" t="b">
        <f t="shared" si="0"/>
        <v>1</v>
      </c>
      <c r="U5" t="b">
        <f t="shared" si="1"/>
        <v>1</v>
      </c>
    </row>
    <row r="6" spans="1:21" x14ac:dyDescent="0.25">
      <c r="A6" t="s">
        <v>19</v>
      </c>
      <c r="B6">
        <v>-0.26297700000000002</v>
      </c>
      <c r="F6" t="s">
        <v>83</v>
      </c>
      <c r="G6">
        <f xml:space="preserve"> 0.3721^2</f>
        <v>0.13845840999999998</v>
      </c>
      <c r="I6" t="s">
        <v>100</v>
      </c>
      <c r="J6">
        <v>0.55000000000000004</v>
      </c>
      <c r="K6">
        <v>0.55000000000000004</v>
      </c>
      <c r="L6">
        <v>4</v>
      </c>
      <c r="M6" s="8">
        <f>(1-EXP(B62)*EXP(B22)+EXP(B22)^(1+J8)/EXP(B45)*EXP(B62)/EXP(B7)-J51*(EXP(B10)-EXP(B37)^J61*J28^(1-J61))*EXP(B46)
+J3*EXP(B7)/EXP(B7)*J51*(EXP(B10)-EXP(B37)^J61*J28^(1-J61))*EXP(B10)^2/EXP(B37))</f>
        <v>0.23124211673439846</v>
      </c>
      <c r="N6" s="6" t="s">
        <v>166</v>
      </c>
      <c r="O6" s="6">
        <v>0</v>
      </c>
      <c r="Q6">
        <v>0.23124211673439846</v>
      </c>
      <c r="R6" t="s">
        <v>166</v>
      </c>
      <c r="S6">
        <v>0</v>
      </c>
      <c r="T6" t="b">
        <f t="shared" si="0"/>
        <v>1</v>
      </c>
      <c r="U6" t="b">
        <f t="shared" si="1"/>
        <v>1</v>
      </c>
    </row>
    <row r="7" spans="1:21" x14ac:dyDescent="0.25">
      <c r="A7" t="s">
        <v>20</v>
      </c>
      <c r="B7">
        <v>0.122029</v>
      </c>
      <c r="C7">
        <f>LN(M3)</f>
        <v>0.12202899999999986</v>
      </c>
      <c r="F7" t="s">
        <v>84</v>
      </c>
      <c r="G7">
        <f xml:space="preserve"> 0.0034^2</f>
        <v>1.1559999999999999E-5</v>
      </c>
      <c r="I7" t="s">
        <v>94</v>
      </c>
      <c r="J7">
        <v>0.2</v>
      </c>
      <c r="L7">
        <v>5</v>
      </c>
      <c r="M7" s="6">
        <f xml:space="preserve"> EXP(B45) / EXP(B45) * EXP(B37)</f>
        <v>1.0000000000000115</v>
      </c>
      <c r="N7" s="6" t="s">
        <v>166</v>
      </c>
      <c r="O7" s="6">
        <f>M7</f>
        <v>1.0000000000000115</v>
      </c>
      <c r="Q7" s="4">
        <v>1.0000000000000115</v>
      </c>
      <c r="R7" t="s">
        <v>166</v>
      </c>
      <c r="S7">
        <v>1.0000000000000115</v>
      </c>
      <c r="T7" t="b">
        <f t="shared" si="0"/>
        <v>1</v>
      </c>
      <c r="U7" t="b">
        <f t="shared" si="1"/>
        <v>1</v>
      </c>
    </row>
    <row r="8" spans="1:21" x14ac:dyDescent="0.25">
      <c r="A8" t="s">
        <v>21</v>
      </c>
      <c r="B8">
        <v>-1.52345</v>
      </c>
      <c r="F8" t="s">
        <v>85</v>
      </c>
      <c r="G8">
        <f xml:space="preserve"> 0.0023^2</f>
        <v>5.2900000000000002E-6</v>
      </c>
      <c r="I8" t="s">
        <v>95</v>
      </c>
      <c r="J8">
        <v>1</v>
      </c>
      <c r="K8">
        <v>7.8220000000000001</v>
      </c>
      <c r="L8">
        <v>6</v>
      </c>
      <c r="M8" s="6">
        <f>EXP(B3) + EXP(B48) * ( EXP(B4) - EXP(B4) ) + EXP(B5)</f>
        <v>3.2033365567177907</v>
      </c>
      <c r="N8" s="6" t="s">
        <v>166</v>
      </c>
      <c r="O8" s="6">
        <f xml:space="preserve"> EXP(B45) * EXP(B22)
   + (1+EXP(B32))*EXP(B5)/EXP(B37) + EXP(B8)/J16</f>
        <v>3.2033364915705507</v>
      </c>
      <c r="Q8">
        <v>3.2033365567177907</v>
      </c>
      <c r="R8" t="s">
        <v>166</v>
      </c>
      <c r="S8">
        <v>3.2033364915705507</v>
      </c>
      <c r="T8" t="b">
        <f t="shared" si="0"/>
        <v>1</v>
      </c>
      <c r="U8" t="b">
        <f t="shared" si="1"/>
        <v>1</v>
      </c>
    </row>
    <row r="9" spans="1:21" x14ac:dyDescent="0.25">
      <c r="A9" t="s">
        <v>22</v>
      </c>
      <c r="B9">
        <v>-3.7936899999999998</v>
      </c>
      <c r="F9" t="s">
        <v>86</v>
      </c>
      <c r="G9">
        <f xml:space="preserve"> 0.1454^2</f>
        <v>2.1141159999999999E-2</v>
      </c>
      <c r="I9" t="s">
        <v>103</v>
      </c>
      <c r="J9">
        <v>1</v>
      </c>
      <c r="L9">
        <v>7</v>
      </c>
      <c r="M9" s="6">
        <f>1/EXP(B11)</f>
        <v>6.8073982588212605</v>
      </c>
      <c r="N9" s="6" t="s">
        <v>166</v>
      </c>
      <c r="O9" s="6">
        <f>EXP(B15)</f>
        <v>6.8073982588212605</v>
      </c>
      <c r="Q9">
        <v>6.8073982588212605</v>
      </c>
      <c r="R9" t="s">
        <v>166</v>
      </c>
      <c r="S9">
        <v>6.8073982588212605</v>
      </c>
      <c r="T9" t="b">
        <f t="shared" si="0"/>
        <v>1</v>
      </c>
      <c r="U9" t="b">
        <f t="shared" si="1"/>
        <v>1</v>
      </c>
    </row>
    <row r="10" spans="1:21" x14ac:dyDescent="0.25">
      <c r="A10" t="s">
        <v>23</v>
      </c>
      <c r="C10" s="2">
        <f>LN(O7)</f>
        <v>1.1546319456101562E-14</v>
      </c>
      <c r="D10" s="2">
        <f>D37</f>
        <v>1.1600000000000001E-14</v>
      </c>
      <c r="F10" t="s">
        <v>87</v>
      </c>
      <c r="G10">
        <f xml:space="preserve"> 0.0051^2</f>
        <v>2.6010000000000003E-5</v>
      </c>
      <c r="I10" t="s">
        <v>110</v>
      </c>
      <c r="J10">
        <v>0.8</v>
      </c>
      <c r="L10">
        <v>8</v>
      </c>
      <c r="M10" s="6">
        <f>J7 * 1  / EXP(B12) - EXP(B15) * EXP(B48) + J4 * EXP(B15) * EXP(B48)  + EXP(B16) * EXP(B59) *EXP(B48)   * EXP(B37)</f>
        <v>-2.4617386515934925E-6</v>
      </c>
      <c r="N10" s="6" t="s">
        <v>166</v>
      </c>
      <c r="O10" s="6">
        <v>0</v>
      </c>
      <c r="Q10">
        <v>-2.4617386515934925E-6</v>
      </c>
      <c r="R10" t="s">
        <v>166</v>
      </c>
      <c r="S10">
        <v>0</v>
      </c>
      <c r="T10" t="b">
        <f t="shared" si="0"/>
        <v>1</v>
      </c>
      <c r="U10" t="b">
        <f t="shared" si="1"/>
        <v>1</v>
      </c>
    </row>
    <row r="11" spans="1:21" x14ac:dyDescent="0.25">
      <c r="A11" t="s">
        <v>24</v>
      </c>
      <c r="B11">
        <v>-1.91801</v>
      </c>
      <c r="F11" t="s">
        <v>88</v>
      </c>
      <c r="G11">
        <f xml:space="preserve"> 0.0488^2</f>
        <v>2.3814400000000003E-3</v>
      </c>
      <c r="I11" t="s">
        <v>101</v>
      </c>
      <c r="J11">
        <f>J35</f>
        <v>4.6946406588904588E-2</v>
      </c>
      <c r="L11">
        <v>9</v>
      </c>
      <c r="M11" s="6">
        <f>EXP(B15) - J4 * EXP(B15) * (1+EXP(B33)) / EXP(B37)</f>
        <v>7.6906658964724706E-2</v>
      </c>
      <c r="N11" s="6" t="s">
        <v>166</v>
      </c>
      <c r="O11" s="6">
        <f>EXP(B16) * (1+EXP(B33))</f>
        <v>7.6906567346997232E-2</v>
      </c>
      <c r="Q11">
        <v>7.6906658964724706E-2</v>
      </c>
      <c r="R11" t="s">
        <v>166</v>
      </c>
      <c r="S11">
        <v>7.6906567346997232E-2</v>
      </c>
      <c r="T11" t="b">
        <f t="shared" si="0"/>
        <v>1</v>
      </c>
      <c r="U11" t="b">
        <f t="shared" si="1"/>
        <v>1</v>
      </c>
    </row>
    <row r="12" spans="1:21" x14ac:dyDescent="0.25">
      <c r="A12" t="s">
        <v>25</v>
      </c>
      <c r="B12">
        <v>-2.95404</v>
      </c>
      <c r="F12" t="s">
        <v>89</v>
      </c>
      <c r="G12">
        <f xml:space="preserve"> 0.0018^2</f>
        <v>3.2399999999999999E-6</v>
      </c>
      <c r="I12" t="s">
        <v>102</v>
      </c>
      <c r="J12">
        <f>0.1*J35</f>
        <v>4.6946406588904595E-3</v>
      </c>
      <c r="L12">
        <v>10</v>
      </c>
      <c r="M12" s="6">
        <f>(1 - EXP(B62)) * EXP(B14) + EXP(B14) ^(1+J8) / EXP(B46) * EXP(B62)/EXP(B15)
                                         - J51 *( EXP(B37)     - EXP(B37)^J61 * J28 ^ (1-J61) ) * EXP(B37) +  J4* EXP(B15)/EXP(B15) * J51 *( EXP(B37) - EXP(B37)    ^J61 * J28 ^ (1-J61) ) * EXP(B37) ^2 / EXP(B37)</f>
        <v>1.325894133840462E-6</v>
      </c>
      <c r="N12" s="6" t="s">
        <v>166</v>
      </c>
      <c r="O12" s="6">
        <v>0</v>
      </c>
      <c r="Q12">
        <v>1.325894133840462E-6</v>
      </c>
      <c r="R12" t="s">
        <v>166</v>
      </c>
      <c r="S12">
        <v>0</v>
      </c>
      <c r="T12" t="b">
        <f t="shared" si="0"/>
        <v>1</v>
      </c>
      <c r="U12" t="b">
        <f t="shared" si="1"/>
        <v>1</v>
      </c>
    </row>
    <row r="13" spans="1:21" x14ac:dyDescent="0.25">
      <c r="A13" t="s">
        <v>26</v>
      </c>
      <c r="B13">
        <v>0.164689</v>
      </c>
      <c r="F13" t="s">
        <v>90</v>
      </c>
      <c r="G13">
        <f xml:space="preserve"> 0.0128^2</f>
        <v>1.6384E-4</v>
      </c>
      <c r="I13" t="s">
        <v>148</v>
      </c>
      <c r="J13">
        <v>2.5000000000000001E-2</v>
      </c>
      <c r="K13">
        <v>4.9000000000000002E-2</v>
      </c>
      <c r="L13">
        <v>11</v>
      </c>
      <c r="M13" s="6">
        <f>B17</f>
        <v>0</v>
      </c>
      <c r="N13" s="6" t="s">
        <v>166</v>
      </c>
      <c r="O13" s="6">
        <f>B37</f>
        <v>1.1600000000000001E-14</v>
      </c>
      <c r="Q13">
        <v>0</v>
      </c>
      <c r="R13" t="s">
        <v>166</v>
      </c>
      <c r="S13">
        <v>1.1600000000000001E-14</v>
      </c>
      <c r="T13" t="b">
        <f t="shared" si="0"/>
        <v>1</v>
      </c>
      <c r="U13" t="b">
        <f t="shared" si="1"/>
        <v>1</v>
      </c>
    </row>
    <row r="14" spans="1:21" x14ac:dyDescent="0.25">
      <c r="A14" t="s">
        <v>27</v>
      </c>
      <c r="B14">
        <v>-5.8133200000000003E-2</v>
      </c>
      <c r="F14" t="s">
        <v>91</v>
      </c>
      <c r="G14">
        <f xml:space="preserve"> 1.0099^2</f>
        <v>1.0198980100000001</v>
      </c>
      <c r="I14" t="s">
        <v>118</v>
      </c>
      <c r="J14">
        <f>J32/J15*(J22-J23+J15*J22*(J23-1))/((J23-1)*(J22-1))</f>
        <v>0.10487661450726832</v>
      </c>
      <c r="L14">
        <v>12</v>
      </c>
      <c r="M14" s="6">
        <f>EXP(B11) + (1+EXP(B33))*EXP(B13)/EXP(B37)</f>
        <v>1.3424952266649002</v>
      </c>
      <c r="N14" s="6" t="s">
        <v>166</v>
      </c>
      <c r="O14" s="6">
        <f xml:space="preserve"> EXP(B46) * EXP(B23) + EXP(B13)</f>
        <v>1.3424951734543942</v>
      </c>
      <c r="Q14">
        <v>1.3424952266649002</v>
      </c>
      <c r="R14" t="s">
        <v>166</v>
      </c>
      <c r="S14">
        <v>1.3424951734543942</v>
      </c>
      <c r="T14" t="b">
        <f t="shared" si="0"/>
        <v>1</v>
      </c>
      <c r="U14" t="b">
        <f t="shared" si="1"/>
        <v>1</v>
      </c>
    </row>
    <row r="15" spans="1:21" x14ac:dyDescent="0.25">
      <c r="A15" t="s">
        <v>28</v>
      </c>
      <c r="B15">
        <v>1.91801</v>
      </c>
      <c r="F15" t="s">
        <v>92</v>
      </c>
      <c r="G15">
        <f xml:space="preserve"> 0.0144^2</f>
        <v>2.0735999999999999E-4</v>
      </c>
      <c r="I15" t="s">
        <v>4</v>
      </c>
      <c r="J15">
        <v>0.09</v>
      </c>
      <c r="L15">
        <v>13</v>
      </c>
      <c r="M15" s="6">
        <f>(1+EXP(B33)) * EXP(B13)</f>
        <v>1.1955962261981548</v>
      </c>
      <c r="N15" s="6" t="s">
        <v>166</v>
      </c>
      <c r="O15" s="6">
        <f>EXP(B59) * EXP(B48)   *EXP(B12) * EXP(B37)</f>
        <v>1.1955962991856997</v>
      </c>
      <c r="Q15">
        <v>1.1955962261981548</v>
      </c>
      <c r="R15" t="s">
        <v>166</v>
      </c>
      <c r="S15">
        <v>1.1955962991856997</v>
      </c>
      <c r="T15" t="b">
        <f t="shared" si="0"/>
        <v>1</v>
      </c>
      <c r="U15" t="b">
        <f t="shared" si="1"/>
        <v>1</v>
      </c>
    </row>
    <row r="16" spans="1:21" x14ac:dyDescent="0.25">
      <c r="A16" t="s">
        <v>29</v>
      </c>
      <c r="B16">
        <v>-2.5791200000000001</v>
      </c>
      <c r="I16" t="s">
        <v>107</v>
      </c>
      <c r="J16">
        <v>1</v>
      </c>
      <c r="L16">
        <v>14</v>
      </c>
      <c r="M16" s="6">
        <f>J13*EXP(B21)</f>
        <v>0.14232680042705764</v>
      </c>
      <c r="N16" s="6" t="s">
        <v>166</v>
      </c>
      <c r="O16" s="6">
        <f>EXP(B18)</f>
        <v>0.1423281460072057</v>
      </c>
      <c r="Q16">
        <v>0.14232680042705764</v>
      </c>
      <c r="R16" t="s">
        <v>166</v>
      </c>
      <c r="S16">
        <v>0.1423281460072057</v>
      </c>
      <c r="T16" t="b">
        <f t="shared" si="0"/>
        <v>1</v>
      </c>
      <c r="U16" t="b">
        <f t="shared" si="1"/>
        <v>1</v>
      </c>
    </row>
    <row r="17" spans="1:21" x14ac:dyDescent="0.25">
      <c r="A17" t="s">
        <v>30</v>
      </c>
      <c r="D17" s="2">
        <f>D37</f>
        <v>1.1600000000000001E-14</v>
      </c>
      <c r="I17" t="s">
        <v>108</v>
      </c>
      <c r="J17">
        <v>1</v>
      </c>
      <c r="L17">
        <v>15</v>
      </c>
      <c r="M17" s="6">
        <f>EXP(B19) * ( 1 -  J52/2 * (EXP(B18)*EXP(B58)/EXP(B18) - 1))^2  - J52* (EXP(B18)*EXP(B58)/EXP(B18) - 1) * EXP(B18)*EXP(B58)/EXP(B18)
  + J5  * EXP(B19) *   J52* (EXP(B18)*EXP(B58)/EXP(B18) - 1) * EXP(B58) * (EXP(B18)/EXP(B18))^2</f>
        <v>1</v>
      </c>
      <c r="N17" s="6" t="s">
        <v>166</v>
      </c>
      <c r="O17" s="6">
        <v>1</v>
      </c>
      <c r="Q17">
        <v>1</v>
      </c>
      <c r="R17" t="s">
        <v>166</v>
      </c>
      <c r="S17">
        <v>1</v>
      </c>
      <c r="T17" t="b">
        <f t="shared" si="0"/>
        <v>1</v>
      </c>
      <c r="U17" t="b">
        <f t="shared" si="1"/>
        <v>1</v>
      </c>
    </row>
    <row r="18" spans="1:21" x14ac:dyDescent="0.25">
      <c r="A18" t="s">
        <v>31</v>
      </c>
      <c r="B18">
        <v>-1.9496199999999999</v>
      </c>
      <c r="C18" t="e">
        <f>LN(J13*EXP(#REF!))</f>
        <v>#REF!</v>
      </c>
      <c r="D18">
        <f>LN(J13*EXP(D49))</f>
        <v>-3.6888794541139363</v>
      </c>
      <c r="I18" t="s">
        <v>109</v>
      </c>
      <c r="J18">
        <v>1</v>
      </c>
      <c r="L18">
        <v>16</v>
      </c>
      <c r="M18" s="6">
        <f>1/EXP(B20)</f>
        <v>9.0180669138182381</v>
      </c>
      <c r="N18" s="6" t="s">
        <v>166</v>
      </c>
      <c r="O18" s="6">
        <f>EXP(B26)</f>
        <v>9.0180669138182381</v>
      </c>
      <c r="Q18">
        <v>9.0180669138182381</v>
      </c>
      <c r="R18" t="s">
        <v>166</v>
      </c>
      <c r="S18">
        <v>9.0180669138182381</v>
      </c>
      <c r="T18" t="b">
        <f t="shared" si="0"/>
        <v>1</v>
      </c>
      <c r="U18" t="b">
        <f t="shared" si="1"/>
        <v>1</v>
      </c>
    </row>
    <row r="19" spans="1:21" x14ac:dyDescent="0.25">
      <c r="A19" t="s">
        <v>32</v>
      </c>
      <c r="I19" t="s">
        <v>128</v>
      </c>
      <c r="J19">
        <v>0</v>
      </c>
      <c r="L19">
        <v>17</v>
      </c>
      <c r="M19" s="6">
        <f>EXP(B27)*EXP(B60)*EXP(B19)*EXP(B37)*(1-J13)+J5*EXP(B26)*(EXP(B19)*(1-J13)+EXP(B69))*EXP(B28)
-(J11*(EXP(B28)-1)+J12/2*((EXP(B28)-1)^2))</f>
        <v>9.0278643371091256</v>
      </c>
      <c r="N19" s="6" t="s">
        <v>166</v>
      </c>
      <c r="O19" s="6">
        <f>EXP(B26) * EXP(B19)</f>
        <v>9.0180669138182381</v>
      </c>
      <c r="Q19">
        <v>9.0278643371091256</v>
      </c>
      <c r="R19" t="s">
        <v>166</v>
      </c>
      <c r="S19">
        <v>9.0180669138182381</v>
      </c>
      <c r="T19" t="b">
        <f t="shared" si="0"/>
        <v>1</v>
      </c>
      <c r="U19" t="b">
        <f t="shared" si="1"/>
        <v>1</v>
      </c>
    </row>
    <row r="20" spans="1:21" x14ac:dyDescent="0.25">
      <c r="A20" t="s">
        <v>33</v>
      </c>
      <c r="B20">
        <v>-2.19923</v>
      </c>
      <c r="I20" t="s">
        <v>129</v>
      </c>
      <c r="J20">
        <v>0</v>
      </c>
      <c r="L20">
        <v>18</v>
      </c>
      <c r="M20" s="6">
        <f>EXP(B45)</f>
        <v>0.85055772296658494</v>
      </c>
      <c r="N20" s="6" t="s">
        <v>166</v>
      </c>
      <c r="O20" s="6">
        <f>J10* (1-J6) * EXP(B25) / ( EXP(B6) * EXP(B38) )</f>
        <v>0.51033482578523237</v>
      </c>
      <c r="Q20">
        <v>0.85055772296658494</v>
      </c>
      <c r="R20" t="s">
        <v>166</v>
      </c>
      <c r="S20">
        <v>0.85055804297538751</v>
      </c>
      <c r="T20" t="b">
        <f t="shared" si="0"/>
        <v>1</v>
      </c>
      <c r="U20" t="b">
        <f t="shared" si="1"/>
        <v>0</v>
      </c>
    </row>
    <row r="21" spans="1:21" x14ac:dyDescent="0.25">
      <c r="A21" t="s">
        <v>34</v>
      </c>
      <c r="B21">
        <v>1.73925</v>
      </c>
      <c r="I21" t="s">
        <v>130</v>
      </c>
      <c r="J21">
        <v>0</v>
      </c>
      <c r="L21">
        <v>19</v>
      </c>
      <c r="M21" s="6">
        <f>EXP(B46)</f>
        <v>0.17325340282144272</v>
      </c>
      <c r="N21" s="6" t="s">
        <v>166</v>
      </c>
      <c r="O21" s="6">
        <f>(1-J10) * (1-J6) * EXP(B25) / ( EXP(B14) * EXP(B38) )</f>
        <v>0.10395196010240774</v>
      </c>
      <c r="Q21">
        <v>0.17325340282144272</v>
      </c>
      <c r="R21" t="s">
        <v>166</v>
      </c>
      <c r="S21">
        <v>0.17325326683734624</v>
      </c>
      <c r="T21" t="b">
        <f t="shared" si="0"/>
        <v>1</v>
      </c>
      <c r="U21" t="b">
        <f t="shared" si="1"/>
        <v>0</v>
      </c>
    </row>
    <row r="22" spans="1:21" x14ac:dyDescent="0.25">
      <c r="A22" t="s">
        <v>35</v>
      </c>
      <c r="B22">
        <v>-0.26297700000000002</v>
      </c>
      <c r="I22" t="s">
        <v>9</v>
      </c>
      <c r="J22">
        <v>-1.46025</v>
      </c>
      <c r="L22">
        <v>20</v>
      </c>
      <c r="M22" s="6">
        <f>EXP(B26) - EXP(B27)  * (1+EXP(B34))</f>
        <v>8.9161843032233694</v>
      </c>
      <c r="N22" s="6" t="s">
        <v>166</v>
      </c>
      <c r="O22" s="6">
        <f>J5 * EXP(B26) * (1+EXP(B34)) / EXP(B37)</f>
        <v>8.9161852006742546</v>
      </c>
      <c r="Q22">
        <v>8.9161843032233694</v>
      </c>
      <c r="R22" t="s">
        <v>166</v>
      </c>
      <c r="S22">
        <v>8.9161852006742546</v>
      </c>
      <c r="T22" t="b">
        <f t="shared" si="0"/>
        <v>1</v>
      </c>
      <c r="U22" t="b">
        <f t="shared" si="1"/>
        <v>1</v>
      </c>
    </row>
    <row r="23" spans="1:21" x14ac:dyDescent="0.25">
      <c r="A23" t="s">
        <v>36</v>
      </c>
      <c r="B23">
        <v>-5.8133200000000003E-2</v>
      </c>
      <c r="I23" t="s">
        <v>149</v>
      </c>
      <c r="J23">
        <f>AVERAGE(J24:J25)</f>
        <v>2.9328059999999998</v>
      </c>
      <c r="L23">
        <v>21</v>
      </c>
      <c r="M23" s="6">
        <f>EXP(B69)</f>
        <v>4.7855941476672333E-2</v>
      </c>
      <c r="N23" s="6" t="s">
        <v>166</v>
      </c>
      <c r="O23" s="6">
        <f>J11 + J12 * (EXP(B28)-1)</f>
        <v>4.6946406588904588E-2</v>
      </c>
      <c r="Q23">
        <v>4.7855941476672333E-2</v>
      </c>
      <c r="R23" t="s">
        <v>166</v>
      </c>
      <c r="S23">
        <v>4.6946406588904588E-2</v>
      </c>
      <c r="T23" t="b">
        <f t="shared" si="0"/>
        <v>1</v>
      </c>
      <c r="U23" t="b">
        <f t="shared" si="1"/>
        <v>1</v>
      </c>
    </row>
    <row r="24" spans="1:21" x14ac:dyDescent="0.25">
      <c r="A24" t="s">
        <v>37</v>
      </c>
      <c r="B24">
        <v>0.31368699999999999</v>
      </c>
      <c r="I24" t="s">
        <v>12</v>
      </c>
      <c r="J24">
        <v>2.9328059999999998</v>
      </c>
      <c r="L24">
        <v>22</v>
      </c>
      <c r="M24" s="6">
        <f>EXP(B20) + ((1+EXP(B34)) * EXP(B24) / EXP(B37) ) +  (EXP(B45)*EXP(B22) + EXP(B46)*EXP(B23)) + EXP(B19) * EXP(B21)
   + ( J11*(EXP(B28)-1)+J12/2*(EXP(B28)-1)^2 ) * EXP(B21)</f>
        <v>8.0089971827283506</v>
      </c>
      <c r="N24" s="6" t="s">
        <v>166</v>
      </c>
      <c r="O24" s="6">
        <f>EXP(B25) / EXP(B38) + EXP(B24) + EXP(B19) * (1-J13) * EXP(B21)</f>
        <v>8.0089976288858011</v>
      </c>
      <c r="Q24">
        <v>8.0089971827283506</v>
      </c>
      <c r="R24" t="s">
        <v>166</v>
      </c>
      <c r="S24">
        <v>8.0089976288858011</v>
      </c>
      <c r="T24" t="b">
        <f t="shared" si="0"/>
        <v>1</v>
      </c>
      <c r="U24" t="b">
        <f t="shared" si="1"/>
        <v>1</v>
      </c>
    </row>
    <row r="25" spans="1:21" x14ac:dyDescent="0.25">
      <c r="A25" t="s">
        <v>38</v>
      </c>
      <c r="B25">
        <v>0.26830799999999999</v>
      </c>
      <c r="I25" t="s">
        <v>113</v>
      </c>
      <c r="J25">
        <f>J24</f>
        <v>2.9328059999999998</v>
      </c>
      <c r="L25">
        <v>23</v>
      </c>
      <c r="M25" s="6">
        <f>EXP(B25)</f>
        <v>1.307749864950517</v>
      </c>
      <c r="N25" s="6" t="s">
        <v>166</v>
      </c>
      <c r="O25" s="6">
        <f>EXP(B53) * (EXP(B28)*EXP(B21))^J6 * ( EXP(B6)^J10* EXP(B14)^(1-J10) ) ^ (1-J6)</f>
        <v>2.3553369410735461</v>
      </c>
      <c r="Q25">
        <v>1.307749864950517</v>
      </c>
      <c r="R25" t="s">
        <v>166</v>
      </c>
      <c r="S25">
        <v>1.3077476679325895</v>
      </c>
      <c r="T25" t="b">
        <f t="shared" si="0"/>
        <v>1</v>
      </c>
      <c r="U25" t="b">
        <f t="shared" si="1"/>
        <v>0</v>
      </c>
    </row>
    <row r="26" spans="1:21" x14ac:dyDescent="0.25">
      <c r="A26" t="s">
        <v>39</v>
      </c>
      <c r="B26">
        <v>2.19923</v>
      </c>
      <c r="I26" t="s">
        <v>120</v>
      </c>
      <c r="J26">
        <v>6</v>
      </c>
      <c r="L26">
        <v>24</v>
      </c>
      <c r="M26" s="6">
        <f>(1+EXP(B34)) * EXP(B24)</f>
        <v>1.387693470358798</v>
      </c>
      <c r="N26" s="6" t="s">
        <v>166</v>
      </c>
      <c r="O26" s="6">
        <f>EXP(B60) * EXP(B19)  *EXP(B37) * EXP(B21) * (1-J13)</f>
        <v>1.9427608258293587</v>
      </c>
      <c r="Q26">
        <v>1.387693470358798</v>
      </c>
      <c r="R26" t="s">
        <v>166</v>
      </c>
      <c r="S26">
        <v>1.9427608258293587</v>
      </c>
      <c r="T26" t="b">
        <f t="shared" si="0"/>
        <v>1</v>
      </c>
      <c r="U26" t="b">
        <f t="shared" si="1"/>
        <v>1</v>
      </c>
    </row>
    <row r="27" spans="1:21" x14ac:dyDescent="0.25">
      <c r="A27" t="s">
        <v>40</v>
      </c>
      <c r="B27">
        <v>-2.2978900000000002</v>
      </c>
      <c r="I27" t="s">
        <v>111</v>
      </c>
      <c r="J27">
        <v>5</v>
      </c>
      <c r="L27">
        <v>25</v>
      </c>
      <c r="M27" s="6">
        <f>EXP(B69)</f>
        <v>4.7855941476672333E-2</v>
      </c>
      <c r="N27" s="6" t="s">
        <v>166</v>
      </c>
      <c r="O27" s="6">
        <f xml:space="preserve"> J6 * EXP(B53) * EXP(B28)^(J6-1) * EXP(B21)^(J6-1) * ( EXP(B6)^J10 * EXP(B14)^(1-J10) ) ^ (1-J6) /EXP(B38)</f>
        <v>0.18962151710576272</v>
      </c>
      <c r="Q27">
        <v>4.7855941476672333E-2</v>
      </c>
      <c r="R27" t="s">
        <v>166</v>
      </c>
      <c r="S27">
        <v>4.7855939508841282E-2</v>
      </c>
      <c r="T27" t="b">
        <f t="shared" si="0"/>
        <v>1</v>
      </c>
      <c r="U27" t="b">
        <f t="shared" si="1"/>
        <v>0</v>
      </c>
    </row>
    <row r="28" spans="1:21" x14ac:dyDescent="0.25">
      <c r="A28" t="s">
        <v>41</v>
      </c>
      <c r="I28" t="s">
        <v>7</v>
      </c>
      <c r="J28">
        <v>1</v>
      </c>
      <c r="L28">
        <v>26</v>
      </c>
      <c r="M28" s="6">
        <f>EXP(B35)</f>
        <v>1.0027439437292352E-2</v>
      </c>
      <c r="N28" s="6" t="s">
        <v>166</v>
      </c>
      <c r="O28" s="6">
        <f xml:space="preserve"> - J56* ( EXP(B36) / EXP(B44) - J15 ) * (EXP(B36)/EXP(B44)) ^2  + EXP(B51)</f>
        <v>1.0287166266263716E-2</v>
      </c>
      <c r="Q28">
        <v>1.0027439437292352E-2</v>
      </c>
      <c r="R28" t="s">
        <v>166</v>
      </c>
      <c r="S28">
        <v>1.0287163113743707E-2</v>
      </c>
      <c r="T28" t="b">
        <f t="shared" si="0"/>
        <v>1</v>
      </c>
      <c r="U28" t="b">
        <f t="shared" si="1"/>
        <v>0</v>
      </c>
    </row>
    <row r="29" spans="1:21" x14ac:dyDescent="0.25">
      <c r="A29" t="s">
        <v>42</v>
      </c>
      <c r="B29">
        <v>0.94079699999999999</v>
      </c>
      <c r="I29" t="s">
        <v>11</v>
      </c>
      <c r="J29">
        <f>J22/(J22-1)</f>
        <v>0.59353724215018799</v>
      </c>
      <c r="L29">
        <v>27</v>
      </c>
      <c r="M29" s="6">
        <f>EXP(B36) * EXP(B37)</f>
        <v>0.20745517225004623</v>
      </c>
      <c r="N29" s="6" t="s">
        <v>166</v>
      </c>
      <c r="O29" s="6">
        <f xml:space="preserve"> (1-J14) * EXP(B36)  + EXP(B9)</f>
        <v>0.20821035384567652</v>
      </c>
      <c r="Q29">
        <v>0.20745517225004623</v>
      </c>
      <c r="R29" t="s">
        <v>166</v>
      </c>
      <c r="S29">
        <v>0.20821035384567652</v>
      </c>
      <c r="T29" t="b">
        <f t="shared" si="0"/>
        <v>1</v>
      </c>
      <c r="U29" t="b">
        <f t="shared" si="1"/>
        <v>1</v>
      </c>
    </row>
    <row r="30" spans="1:21" x14ac:dyDescent="0.25">
      <c r="A30" t="s">
        <v>43</v>
      </c>
      <c r="B30">
        <v>0.164689</v>
      </c>
      <c r="I30" t="s">
        <v>114</v>
      </c>
      <c r="J30">
        <f>J25/(J25-1)</f>
        <v>1.5173824998473722</v>
      </c>
      <c r="L30">
        <v>28</v>
      </c>
      <c r="M30" s="6">
        <f>- 1 + EXP(B55)/(EXP(B55)-1)  - EXP(B55)/(EXP(B55)-1)  * EXP(B51)/EXP(B32)  - J53
  + J3 * J53  * ( 1-1^J19)</f>
        <v>-3.5029802982524125</v>
      </c>
      <c r="N30" s="6" t="s">
        <v>166</v>
      </c>
      <c r="O30" s="6">
        <v>0</v>
      </c>
      <c r="P30">
        <f>-1+EXP(B55)/(EXP(B55)-1)-EXP(B55)/(EXP(B55)-1)*EXP(B51)/EXP(B32)-J53*(EXP(B32)/EXP(B32)-(EXP(B32)/EXP(B32))^J19)*EXP(B32)/EXP(B32)+J3*(EXP(B7)/EXP(B7))*J53*(EXP(B32)/EXP(B32)-(EXP(B32)/EXP(B32)^J19)*((EXP(B32)/EXP(B32))^2)*(EXP(B29)/EXP(B29)))</f>
        <v>3.4630325821174623</v>
      </c>
      <c r="Q30">
        <v>-3.5029802982524125</v>
      </c>
      <c r="R30" t="s">
        <v>166</v>
      </c>
      <c r="S30">
        <v>0</v>
      </c>
      <c r="T30" t="b">
        <f t="shared" si="0"/>
        <v>1</v>
      </c>
      <c r="U30" t="b">
        <f t="shared" si="1"/>
        <v>1</v>
      </c>
    </row>
    <row r="31" spans="1:21" x14ac:dyDescent="0.25">
      <c r="A31" t="s">
        <v>44</v>
      </c>
      <c r="B31">
        <v>0.31368699999999999</v>
      </c>
      <c r="I31" t="s">
        <v>13</v>
      </c>
      <c r="J31">
        <f>J24/(J24-1)</f>
        <v>1.5173824998473722</v>
      </c>
      <c r="L31">
        <v>29</v>
      </c>
      <c r="N31" s="6" t="s">
        <v>166</v>
      </c>
      <c r="R31" t="s">
        <v>166</v>
      </c>
      <c r="T31" t="b">
        <f t="shared" si="0"/>
        <v>1</v>
      </c>
      <c r="U31" t="b">
        <f t="shared" si="1"/>
        <v>1</v>
      </c>
    </row>
    <row r="32" spans="1:21" x14ac:dyDescent="0.25">
      <c r="A32" t="s">
        <v>45</v>
      </c>
      <c r="B32">
        <v>-5.1615700000000002</v>
      </c>
      <c r="D32">
        <f>LN((EXP(D37)/J3)-1)</f>
        <v>-5.1615727971434797</v>
      </c>
      <c r="E32" t="s">
        <v>49</v>
      </c>
      <c r="I32" t="s">
        <v>134</v>
      </c>
      <c r="J32">
        <f>(J28/J3-1)*(J22-1)/J22</f>
        <v>9.6584946108585878E-3</v>
      </c>
      <c r="L32">
        <v>30</v>
      </c>
      <c r="N32" s="6" t="s">
        <v>166</v>
      </c>
      <c r="R32" t="s">
        <v>166</v>
      </c>
      <c r="T32" t="b">
        <f t="shared" si="0"/>
        <v>1</v>
      </c>
      <c r="U32" t="b">
        <f t="shared" si="1"/>
        <v>1</v>
      </c>
    </row>
    <row r="33" spans="1:21" x14ac:dyDescent="0.25">
      <c r="A33" t="s">
        <v>46</v>
      </c>
      <c r="B33">
        <v>-4.2648599999999997</v>
      </c>
      <c r="D33">
        <f>LN(J33)</f>
        <v>-4.2229306694173081</v>
      </c>
      <c r="E33" t="s">
        <v>49</v>
      </c>
      <c r="I33" t="s">
        <v>115</v>
      </c>
      <c r="J33">
        <f>J32*J25/(J25-1)</f>
        <v>1.4655630697386977E-2</v>
      </c>
      <c r="L33">
        <v>31</v>
      </c>
      <c r="M33" s="6">
        <f>EXP(B9)</f>
        <v>2.2512377723239489E-2</v>
      </c>
      <c r="N33" s="6" t="s">
        <v>166</v>
      </c>
      <c r="O33" s="6">
        <f>+ EXP(B33)  *  EXP(B30)
           + EXP(B34)  *  EXP(B24)
           - EXP(B32)   *  EXP(B29)
           - J53/2  * ( (EXP(B32)/EXP(B32)-1)^2)   * EXP(B32) *EXP(B29)
           - J54/2 * ( (EXP(B34)/EXP(B34)-1)^2) * EXP(B34)*EXP(B31)
           - J55/2 * ( (EXP(B33)/EXP(B33)-1)^2) * EXP(B33)*EXP(B30)
           - J56/2 * ( (EXP(B36) / EXP(B44)  - J15) ^2) * EXP(B36)</f>
        <v>2.1030464937651365E-2</v>
      </c>
      <c r="Q33">
        <v>2.2512377723239489E-2</v>
      </c>
      <c r="R33" t="s">
        <v>166</v>
      </c>
      <c r="S33">
        <v>2.1030466007288109E-2</v>
      </c>
      <c r="T33" t="b">
        <f t="shared" si="0"/>
        <v>1</v>
      </c>
      <c r="U33" t="b">
        <f t="shared" si="1"/>
        <v>0</v>
      </c>
    </row>
    <row r="34" spans="1:21" x14ac:dyDescent="0.25">
      <c r="A34" t="s">
        <v>47</v>
      </c>
      <c r="B34">
        <v>-4.2648599999999997</v>
      </c>
      <c r="D34">
        <f>LN(J34)</f>
        <v>-4.2229306694173081</v>
      </c>
      <c r="E34" t="s">
        <v>49</v>
      </c>
      <c r="I34" t="s">
        <v>116</v>
      </c>
      <c r="J34">
        <f>J32*J24/(J24-1)</f>
        <v>1.4655630697386977E-2</v>
      </c>
      <c r="L34">
        <v>32</v>
      </c>
      <c r="M34" s="6">
        <f>EXP(B8)</f>
        <v>0.2179586310557865</v>
      </c>
      <c r="N34" s="6" t="s">
        <v>166</v>
      </c>
      <c r="O34" s="6" t="e">
        <f>EXP(#REF!)*(1-(1/EXP(B38))-(J50/2)*(EXP(B37)-(EXP(B37))^J60*J28^(1-J60)))^2</f>
        <v>#REF!</v>
      </c>
      <c r="Q34">
        <v>0.2179586310557865</v>
      </c>
      <c r="R34" t="s">
        <v>166</v>
      </c>
      <c r="S34">
        <v>3.6326546138331091E-2</v>
      </c>
      <c r="T34" t="b">
        <f t="shared" si="0"/>
        <v>1</v>
      </c>
      <c r="U34" t="e">
        <f t="shared" si="1"/>
        <v>#REF!</v>
      </c>
    </row>
    <row r="35" spans="1:21" x14ac:dyDescent="0.25">
      <c r="A35" t="s">
        <v>0</v>
      </c>
      <c r="B35">
        <v>-4.60243</v>
      </c>
      <c r="C35">
        <f>K67*EXP(J33)</f>
        <v>-0.66875922921477304</v>
      </c>
      <c r="I35" t="s">
        <v>117</v>
      </c>
      <c r="J35">
        <f>-(1-J13)-J37*(1-J13)*J28/J5*(1/(1+J33)-J5/J28)+1/J5</f>
        <v>4.6946406588904588E-2</v>
      </c>
      <c r="L35">
        <v>33</v>
      </c>
      <c r="M35" s="6" t="e">
        <f>1 - EXP(B61) + EXP(B61) / EXP(B38) -    J50 * (EXP(B37)     - ( EXP(B37)) ^ J60 * J28 ^ (1-J60 )) * EXP(B37)
    + J3*(EXP(B7)/EXP(B7)* J50 * (EXP(B37) - ( EXP(B37)     ^ J60 * J28 ^ (1-J60) )) * EXP(B37) * (EXP(#REF!))/EXP(#REF!))</f>
        <v>#REF!</v>
      </c>
      <c r="N35" s="6" t="s">
        <v>166</v>
      </c>
      <c r="O35" s="6">
        <v>0</v>
      </c>
      <c r="Q35">
        <v>-2.2160297373087158E-6</v>
      </c>
      <c r="R35" t="s">
        <v>166</v>
      </c>
      <c r="S35">
        <v>0</v>
      </c>
      <c r="T35" t="e">
        <f t="shared" si="0"/>
        <v>#REF!</v>
      </c>
      <c r="U35" t="b">
        <f t="shared" si="1"/>
        <v>1</v>
      </c>
    </row>
    <row r="36" spans="1:21" x14ac:dyDescent="0.25">
      <c r="A36" t="s">
        <v>2</v>
      </c>
      <c r="B36">
        <v>-1.57284</v>
      </c>
      <c r="I36" t="s">
        <v>97</v>
      </c>
      <c r="J36">
        <v>0.7</v>
      </c>
      <c r="L36">
        <v>34</v>
      </c>
      <c r="M36" s="6">
        <f>EXP(B51)+1</f>
        <v>1.0096584946108587</v>
      </c>
      <c r="N36" s="6" t="s">
        <v>166</v>
      </c>
      <c r="O36" s="6">
        <f>(1+J32)^(1 - J58 ) * (1+EXP(B51))^J58 * (( EXP(B37) / J28 ) ^J57 *
             (EXP(Y1)/EXP(Y1))^J59 ) ^ ( 1 - J58 )</f>
        <v>1.009658494610864</v>
      </c>
      <c r="Q36">
        <v>1.0096584946108587</v>
      </c>
      <c r="R36" t="s">
        <v>166</v>
      </c>
      <c r="S36">
        <v>1.009658494610864</v>
      </c>
      <c r="T36" t="b">
        <f t="shared" si="0"/>
        <v>1</v>
      </c>
      <c r="U36" t="b">
        <f t="shared" si="1"/>
        <v>1</v>
      </c>
    </row>
    <row r="37" spans="1:21" x14ac:dyDescent="0.25">
      <c r="A37" s="9" t="s">
        <v>48</v>
      </c>
      <c r="B37" s="2">
        <v>1.1600000000000001E-14</v>
      </c>
      <c r="D37" s="2">
        <f>B37</f>
        <v>1.1600000000000001E-14</v>
      </c>
      <c r="E37" t="s">
        <v>49</v>
      </c>
      <c r="I37" t="s">
        <v>99</v>
      </c>
      <c r="J37">
        <v>0.35</v>
      </c>
    </row>
    <row r="38" spans="1:21" x14ac:dyDescent="0.25">
      <c r="A38" t="s">
        <v>49</v>
      </c>
      <c r="B38">
        <v>0.18232200000000001</v>
      </c>
      <c r="C38" t="e">
        <f>LN(1/J70-1)</f>
        <v>#NUM!</v>
      </c>
      <c r="I38" t="s">
        <v>135</v>
      </c>
      <c r="J38" s="2">
        <v>0.39352753242570498</v>
      </c>
    </row>
    <row r="39" spans="1:21" x14ac:dyDescent="0.25">
      <c r="A39" t="s">
        <v>50</v>
      </c>
      <c r="B39">
        <f>LN(J16 * EXP(B3) + J17* EXP(B11) + J18 * EXP(B20))</f>
        <v>0.13357782502457427</v>
      </c>
      <c r="I39" t="s">
        <v>136</v>
      </c>
      <c r="J39" s="2">
        <v>0.93900015678945403</v>
      </c>
    </row>
    <row r="40" spans="1:21" x14ac:dyDescent="0.25">
      <c r="A40" t="s">
        <v>51</v>
      </c>
      <c r="B40">
        <f>LN(J18*EXP(B25))</f>
        <v>0.26830799999999999</v>
      </c>
      <c r="I40" t="s">
        <v>137</v>
      </c>
      <c r="J40" s="2">
        <v>0.92117909414787202</v>
      </c>
    </row>
    <row r="41" spans="1:21" x14ac:dyDescent="0.25">
      <c r="A41" t="s">
        <v>52</v>
      </c>
      <c r="B41">
        <f>LN(J16*EXP(B5))</f>
        <v>0.84079700000000002</v>
      </c>
      <c r="I41" t="s">
        <v>138</v>
      </c>
      <c r="J41" s="2">
        <v>0.89386514435074604</v>
      </c>
    </row>
    <row r="42" spans="1:21" x14ac:dyDescent="0.25">
      <c r="A42" t="s">
        <v>53</v>
      </c>
      <c r="B42">
        <f>LN(EXP(B24))</f>
        <v>0.31368700000000005</v>
      </c>
      <c r="I42" t="s">
        <v>139</v>
      </c>
      <c r="J42" s="2">
        <v>0.92864864780617695</v>
      </c>
    </row>
    <row r="43" spans="1:21" x14ac:dyDescent="0.25">
      <c r="A43" t="s">
        <v>54</v>
      </c>
      <c r="B43">
        <f>LN(EXP(B30))</f>
        <v>0.16468900000000003</v>
      </c>
      <c r="I43" t="s">
        <v>140</v>
      </c>
      <c r="J43" s="2">
        <v>0.83804796415016702</v>
      </c>
    </row>
    <row r="44" spans="1:21" x14ac:dyDescent="0.25">
      <c r="A44" t="s">
        <v>3</v>
      </c>
      <c r="B44">
        <f>LN(EXP(B42)+EXP(B43))</f>
        <v>0.93510766788481148</v>
      </c>
      <c r="I44" t="s">
        <v>141</v>
      </c>
      <c r="J44" s="2">
        <v>0.81946217303357605</v>
      </c>
    </row>
    <row r="45" spans="1:21" x14ac:dyDescent="0.25">
      <c r="A45" t="s">
        <v>55</v>
      </c>
      <c r="B45">
        <v>-0.16186300000000001</v>
      </c>
      <c r="I45" t="s">
        <v>142</v>
      </c>
      <c r="J45" s="2">
        <v>0.83428100562221197</v>
      </c>
    </row>
    <row r="46" spans="1:21" x14ac:dyDescent="0.25">
      <c r="A46" t="s">
        <v>56</v>
      </c>
      <c r="B46">
        <v>-1.7529999999999999</v>
      </c>
      <c r="I46" t="s">
        <v>143</v>
      </c>
      <c r="J46" s="2">
        <v>0.54749146204441301</v>
      </c>
    </row>
    <row r="47" spans="1:21" x14ac:dyDescent="0.25">
      <c r="A47" t="s">
        <v>57</v>
      </c>
      <c r="B47">
        <f>LN(EXP(B9))</f>
        <v>-3.7936899999999998</v>
      </c>
      <c r="I47" t="s">
        <v>144</v>
      </c>
      <c r="J47" s="2">
        <v>0.30473409634573601</v>
      </c>
    </row>
    <row r="48" spans="1:21" x14ac:dyDescent="0.25">
      <c r="A48" t="s">
        <v>58</v>
      </c>
      <c r="B48">
        <v>3.48936</v>
      </c>
      <c r="I48" t="s">
        <v>145</v>
      </c>
      <c r="J48" s="2">
        <v>0.63992225476484699</v>
      </c>
    </row>
    <row r="49" spans="1:10" x14ac:dyDescent="0.25">
      <c r="A49" t="s">
        <v>59</v>
      </c>
      <c r="B49">
        <f>J18*B21</f>
        <v>1.73925</v>
      </c>
      <c r="D49">
        <f>J18*D21</f>
        <v>0</v>
      </c>
      <c r="I49" t="s">
        <v>146</v>
      </c>
      <c r="J49" s="2">
        <v>0.81297958524412695</v>
      </c>
    </row>
    <row r="50" spans="1:10" x14ac:dyDescent="0.25">
      <c r="A50" t="s">
        <v>60</v>
      </c>
      <c r="I50" t="s">
        <v>121</v>
      </c>
      <c r="J50" s="2">
        <v>28.650196538695202</v>
      </c>
    </row>
    <row r="51" spans="1:10" x14ac:dyDescent="0.25">
      <c r="A51" t="s">
        <v>5</v>
      </c>
      <c r="B51">
        <f>LN(J32)</f>
        <v>-4.639917480286857</v>
      </c>
      <c r="D51">
        <f>LN(J32)</f>
        <v>-4.639917480286857</v>
      </c>
      <c r="E51" t="s">
        <v>49</v>
      </c>
      <c r="I51" t="s">
        <v>112</v>
      </c>
      <c r="J51" s="2">
        <v>99.898283585301797</v>
      </c>
    </row>
    <row r="52" spans="1:10" x14ac:dyDescent="0.25">
      <c r="A52" t="s">
        <v>61</v>
      </c>
      <c r="B52">
        <v>0</v>
      </c>
      <c r="I52" t="s">
        <v>124</v>
      </c>
      <c r="J52" s="2">
        <v>10.1821556708393</v>
      </c>
    </row>
    <row r="53" spans="1:10" x14ac:dyDescent="0.25">
      <c r="A53" t="s">
        <v>62</v>
      </c>
      <c r="I53" t="s">
        <v>125</v>
      </c>
      <c r="J53" s="2">
        <v>3.5029734165847399</v>
      </c>
    </row>
    <row r="54" spans="1:10" x14ac:dyDescent="0.25">
      <c r="A54" t="s">
        <v>63</v>
      </c>
      <c r="I54" t="s">
        <v>126</v>
      </c>
      <c r="J54" s="2">
        <v>9.3638233191517308</v>
      </c>
    </row>
    <row r="55" spans="1:10" x14ac:dyDescent="0.25">
      <c r="A55" t="s">
        <v>64</v>
      </c>
      <c r="B55">
        <f>LN(J29)</f>
        <v>-0.52165531685867617</v>
      </c>
      <c r="D55">
        <f>LN(J29)</f>
        <v>-0.52165531685867617</v>
      </c>
      <c r="E55" t="s">
        <v>49</v>
      </c>
      <c r="I55" t="s">
        <v>127</v>
      </c>
      <c r="J55" s="2">
        <v>10.086654447226399</v>
      </c>
    </row>
    <row r="56" spans="1:10" x14ac:dyDescent="0.25">
      <c r="A56" t="s">
        <v>65</v>
      </c>
      <c r="B56">
        <f t="shared" ref="B56:B57" si="2">LN(J30)</f>
        <v>0.41698681086954853</v>
      </c>
      <c r="D56">
        <f t="shared" ref="D56:D57" si="3">LN(J30)</f>
        <v>0.41698681086954853</v>
      </c>
      <c r="E56" t="s">
        <v>49</v>
      </c>
      <c r="I56" t="s">
        <v>119</v>
      </c>
      <c r="J56" s="2">
        <v>11.0683355407919</v>
      </c>
    </row>
    <row r="57" spans="1:10" x14ac:dyDescent="0.25">
      <c r="A57" t="s">
        <v>66</v>
      </c>
      <c r="B57">
        <f t="shared" si="2"/>
        <v>0.41698681086954853</v>
      </c>
      <c r="D57">
        <f t="shared" si="3"/>
        <v>0.41698681086954853</v>
      </c>
      <c r="E57" t="s">
        <v>49</v>
      </c>
      <c r="I57" t="s">
        <v>132</v>
      </c>
      <c r="J57" s="2">
        <v>1.98160265619103</v>
      </c>
    </row>
    <row r="58" spans="1:10" x14ac:dyDescent="0.25">
      <c r="A58" t="s">
        <v>67</v>
      </c>
      <c r="I58" t="s">
        <v>131</v>
      </c>
      <c r="J58" s="2">
        <v>0.76855514559469496</v>
      </c>
    </row>
    <row r="59" spans="1:10" x14ac:dyDescent="0.25">
      <c r="A59" t="s">
        <v>68</v>
      </c>
      <c r="B59">
        <f>LN(J36)</f>
        <v>-0.35667494393873245</v>
      </c>
      <c r="D59">
        <f>LN(J36)</f>
        <v>-0.35667494393873245</v>
      </c>
      <c r="E59" t="s">
        <v>49</v>
      </c>
      <c r="I59" t="s">
        <v>133</v>
      </c>
      <c r="J59" s="2">
        <v>0.34591496570351998</v>
      </c>
    </row>
    <row r="60" spans="1:10" x14ac:dyDescent="0.25">
      <c r="A60" t="s">
        <v>69</v>
      </c>
      <c r="B60">
        <f>LN(J37)</f>
        <v>-1.0498221244986778</v>
      </c>
      <c r="D60">
        <f>LN(J37)</f>
        <v>-1.0498221244986778</v>
      </c>
      <c r="E60" t="s">
        <v>49</v>
      </c>
      <c r="I60" t="s">
        <v>122</v>
      </c>
      <c r="J60" s="2">
        <v>0.16051347848216099</v>
      </c>
    </row>
    <row r="61" spans="1:10" x14ac:dyDescent="0.25">
      <c r="A61" t="s">
        <v>70</v>
      </c>
      <c r="B61">
        <f>LN(J26)</f>
        <v>1.791759469228055</v>
      </c>
      <c r="D61">
        <f>LN(J26)</f>
        <v>1.791759469228055</v>
      </c>
      <c r="E61" t="s">
        <v>49</v>
      </c>
      <c r="I61" t="s">
        <v>123</v>
      </c>
      <c r="J61" s="2">
        <v>0.275696240583164</v>
      </c>
    </row>
    <row r="62" spans="1:10" x14ac:dyDescent="0.25">
      <c r="A62" t="s">
        <v>71</v>
      </c>
      <c r="B62">
        <f>LN(J27)</f>
        <v>1.6094379124341003</v>
      </c>
      <c r="D62">
        <f>LN(J27)</f>
        <v>1.6094379124341003</v>
      </c>
      <c r="E62" t="s">
        <v>49</v>
      </c>
      <c r="I62" t="s">
        <v>104</v>
      </c>
      <c r="J62" s="2">
        <v>0.85595219718425597</v>
      </c>
    </row>
    <row r="63" spans="1:10" x14ac:dyDescent="0.25">
      <c r="A63" t="s">
        <v>72</v>
      </c>
      <c r="I63" t="s">
        <v>106</v>
      </c>
      <c r="J63">
        <v>0</v>
      </c>
    </row>
    <row r="64" spans="1:10" x14ac:dyDescent="0.25">
      <c r="A64" t="s">
        <v>73</v>
      </c>
      <c r="B64">
        <f xml:space="preserve"> EXP(B39) +    1     * (EXP(B49)-(1-J13)*EXP(B49))</f>
        <v>1.2852370101162602</v>
      </c>
      <c r="I64" t="s">
        <v>105</v>
      </c>
      <c r="J64">
        <v>0</v>
      </c>
    </row>
    <row r="65" spans="1:11" x14ac:dyDescent="0.25">
      <c r="A65" t="s">
        <v>74</v>
      </c>
      <c r="B65">
        <f>EXP(B27)</f>
        <v>0.10047061322131151</v>
      </c>
    </row>
    <row r="66" spans="1:11" x14ac:dyDescent="0.25">
      <c r="A66" t="s">
        <v>75</v>
      </c>
      <c r="B66">
        <f>EXP(B16)</f>
        <v>7.5840714494688141E-2</v>
      </c>
      <c r="I66" t="s">
        <v>168</v>
      </c>
      <c r="J66">
        <f>EXP(D55)/(EXP(D55)-1)</f>
        <v>-1.46025</v>
      </c>
      <c r="K66">
        <f>(1-J66)/J66</f>
        <v>-1.6848142441362781</v>
      </c>
    </row>
    <row r="67" spans="1:11" x14ac:dyDescent="0.25">
      <c r="A67" t="s">
        <v>76</v>
      </c>
      <c r="B67">
        <v>-4.8832899999999997</v>
      </c>
      <c r="I67" t="s">
        <v>169</v>
      </c>
      <c r="J67">
        <f>EXP(D56)/(EXP(D56)-1)</f>
        <v>2.9328059999999998</v>
      </c>
      <c r="K67">
        <f t="shared" ref="K67:K68" si="4">(1-J67)/J67</f>
        <v>-0.65902961191432363</v>
      </c>
    </row>
    <row r="68" spans="1:11" x14ac:dyDescent="0.25">
      <c r="A68" t="s">
        <v>77</v>
      </c>
      <c r="B68">
        <v>-4.9964500000000003</v>
      </c>
      <c r="I68" t="s">
        <v>169</v>
      </c>
      <c r="J68">
        <f t="shared" ref="J68" si="5">EXP(D57)/(EXP(D57)-1)</f>
        <v>2.9328059999999998</v>
      </c>
      <c r="K68">
        <f t="shared" si="4"/>
        <v>-0.65902961191432363</v>
      </c>
    </row>
    <row r="69" spans="1:11" x14ac:dyDescent="0.25">
      <c r="A69" t="s">
        <v>163</v>
      </c>
      <c r="B69">
        <v>-3.0395599999999998</v>
      </c>
      <c r="D69">
        <f>LN(J35)</f>
        <v>-3.0587486132345072</v>
      </c>
      <c r="E69" t="s">
        <v>49</v>
      </c>
    </row>
    <row r="70" spans="1:11" x14ac:dyDescent="0.25">
      <c r="A70" t="s">
        <v>151</v>
      </c>
      <c r="B70">
        <f>400*EXP(B51)</f>
        <v>3.8633978443434343</v>
      </c>
      <c r="D70">
        <f>400*EXP(D51)</f>
        <v>3.8633978443434343</v>
      </c>
      <c r="I70" t="s">
        <v>170</v>
      </c>
      <c r="J70" s="7">
        <f>-    J50 * (EXP(B37)     - ( EXP(B37) ^ J60 * J28 ^ (1-J60) )) * EXP(B37)
    + J3*J50 * (EXP(B37) - ( EXP(B37)     ^ J60 * J28 ^ (1-J60) )) * EXP(B37)</f>
        <v>-1.5954946901219541E-15</v>
      </c>
      <c r="K70" s="3"/>
    </row>
    <row r="71" spans="1:11" x14ac:dyDescent="0.25">
      <c r="A71" t="s">
        <v>152</v>
      </c>
      <c r="B71">
        <f>400*EXP(B33)</f>
        <v>5.6215338128637553</v>
      </c>
      <c r="D71">
        <f>400*EXP(D33)</f>
        <v>5.8622522789547906</v>
      </c>
    </row>
    <row r="72" spans="1:11" x14ac:dyDescent="0.25">
      <c r="A72" t="s">
        <v>153</v>
      </c>
      <c r="B72">
        <f>400*EXP(B34)</f>
        <v>5.6215338128637553</v>
      </c>
      <c r="D72">
        <f>400*EXP(D34)</f>
        <v>5.8622522789547906</v>
      </c>
    </row>
    <row r="73" spans="1:11" x14ac:dyDescent="0.25">
      <c r="A73" t="s">
        <v>154</v>
      </c>
      <c r="B73">
        <f>B37*100</f>
        <v>1.1600000000000001E-12</v>
      </c>
      <c r="D73" s="2">
        <f>D37*100</f>
        <v>1.1600000000000001E-12</v>
      </c>
    </row>
    <row r="74" spans="1:11" x14ac:dyDescent="0.25">
      <c r="A74" t="s">
        <v>155</v>
      </c>
      <c r="B74">
        <f>B43*100</f>
        <v>16.468900000000001</v>
      </c>
      <c r="D74">
        <f>D43*100</f>
        <v>0</v>
      </c>
    </row>
    <row r="75" spans="1:11" x14ac:dyDescent="0.25">
      <c r="A75" t="s">
        <v>156</v>
      </c>
      <c r="B75">
        <f>B42*100</f>
        <v>31.368700000000004</v>
      </c>
      <c r="D75">
        <f>D42*100</f>
        <v>0</v>
      </c>
    </row>
    <row r="76" spans="1:11" x14ac:dyDescent="0.25">
      <c r="A76" t="s">
        <v>157</v>
      </c>
      <c r="B76">
        <f>B64*100</f>
        <v>128.52370101162603</v>
      </c>
      <c r="D76">
        <f>D64*100</f>
        <v>0</v>
      </c>
    </row>
    <row r="77" spans="1:11" x14ac:dyDescent="0.25">
      <c r="A77" t="s">
        <v>158</v>
      </c>
      <c r="B77">
        <f>B39*100</f>
        <v>13.357782502457427</v>
      </c>
      <c r="D77">
        <f>D39*100</f>
        <v>0</v>
      </c>
    </row>
    <row r="78" spans="1:11" x14ac:dyDescent="0.25">
      <c r="A78" t="s">
        <v>159</v>
      </c>
      <c r="B78">
        <f>B18*100</f>
        <v>-194.96199999999999</v>
      </c>
      <c r="D78">
        <f>D18*100</f>
        <v>-368.88794541139362</v>
      </c>
    </row>
    <row r="79" spans="1:11" x14ac:dyDescent="0.25">
      <c r="A79" t="s">
        <v>160</v>
      </c>
      <c r="B79">
        <f>B41*100</f>
        <v>84.079700000000003</v>
      </c>
      <c r="D79">
        <f>D41*100</f>
        <v>0</v>
      </c>
    </row>
    <row r="80" spans="1:11" x14ac:dyDescent="0.25">
      <c r="A80" t="s">
        <v>161</v>
      </c>
      <c r="B80">
        <f>400*(EXP(B32))</f>
        <v>2.2930769159214646</v>
      </c>
      <c r="D80">
        <f>400*EXP(D32)</f>
        <v>2.2930705018652917</v>
      </c>
    </row>
    <row r="81" spans="1:4" x14ac:dyDescent="0.25">
      <c r="A81" t="s">
        <v>162</v>
      </c>
      <c r="B81">
        <f>100*B36</f>
        <v>-157.28399999999999</v>
      </c>
      <c r="D81">
        <f>100*D36</f>
        <v>0</v>
      </c>
    </row>
  </sheetData>
  <conditionalFormatting sqref="T3:U36">
    <cfRule type="containsText" dxfId="1" priority="1" operator="containsText" text="FALSE">
      <formula>NOT(ISERROR(SEARCH("FALSE",T3)))</formula>
    </cfRule>
  </conditionalFormatting>
  <pageMargins left="0.7" right="0.7" top="0.75" bottom="0.75" header="0.3" footer="0.3"/>
  <pageSetup paperSize="9" orientation="portrait" r:id="rId1"/>
  <headerFooter>
    <oddHeader>&amp;R&amp;"Times New Roman"&amp;12&amp;K000000BNR - Uz intern&amp;1#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1"/>
  <sheetViews>
    <sheetView workbookViewId="0">
      <selection activeCell="N18" sqref="N18"/>
    </sheetView>
  </sheetViews>
  <sheetFormatPr defaultRowHeight="15" x14ac:dyDescent="0.25"/>
  <cols>
    <col min="1" max="1" width="16.7109375" bestFit="1" customWidth="1"/>
    <col min="4" max="4" width="4.42578125" customWidth="1"/>
    <col min="7" max="7" width="4.28515625" customWidth="1"/>
    <col min="8" max="8" width="12.5703125" customWidth="1"/>
    <col min="10" max="10" width="3.7109375" customWidth="1"/>
    <col min="13" max="13" width="12.7109375" style="4" bestFit="1" customWidth="1"/>
    <col min="14" max="14" width="9.28515625" style="4" bestFit="1" customWidth="1"/>
  </cols>
  <sheetData>
    <row r="2" spans="1:14" x14ac:dyDescent="0.25">
      <c r="A2" t="s">
        <v>78</v>
      </c>
      <c r="B2" t="s">
        <v>150</v>
      </c>
      <c r="C2" t="s">
        <v>173</v>
      </c>
      <c r="E2" t="s">
        <v>79</v>
      </c>
      <c r="H2" t="s">
        <v>93</v>
      </c>
      <c r="I2" t="s">
        <v>147</v>
      </c>
      <c r="M2" s="4" t="s">
        <v>171</v>
      </c>
      <c r="N2" s="4" t="s">
        <v>172</v>
      </c>
    </row>
    <row r="3" spans="1:14" x14ac:dyDescent="0.25">
      <c r="A3" t="s">
        <v>62</v>
      </c>
      <c r="C3">
        <f t="shared" ref="C3:C34" si="0">EXP(B3)</f>
        <v>1</v>
      </c>
      <c r="E3" t="s">
        <v>80</v>
      </c>
      <c r="F3">
        <f xml:space="preserve"> 0.0062^2</f>
        <v>3.8439999999999998E-5</v>
      </c>
      <c r="H3" t="s">
        <v>106</v>
      </c>
      <c r="I3">
        <v>0</v>
      </c>
      <c r="L3">
        <v>1</v>
      </c>
      <c r="M3" s="4">
        <f>B36</f>
        <v>0</v>
      </c>
      <c r="N3" s="4">
        <f>400*C69</f>
        <v>3.8633978443434343</v>
      </c>
    </row>
    <row r="4" spans="1:14" x14ac:dyDescent="0.25">
      <c r="A4" t="s">
        <v>75</v>
      </c>
      <c r="B4">
        <f>C73</f>
        <v>7.5840714494688141E-2</v>
      </c>
      <c r="C4">
        <f t="shared" si="0"/>
        <v>1.0787907247453703</v>
      </c>
      <c r="E4" t="s">
        <v>81</v>
      </c>
      <c r="F4">
        <f xml:space="preserve"> 0.05^2</f>
        <v>2.5000000000000005E-3</v>
      </c>
      <c r="H4" t="s">
        <v>104</v>
      </c>
      <c r="I4" s="2">
        <v>0.86700376630640397</v>
      </c>
      <c r="J4" s="2"/>
      <c r="L4">
        <v>2</v>
      </c>
      <c r="M4" s="4" t="e">
        <f>B35</f>
        <v>#REF!</v>
      </c>
      <c r="N4" s="4">
        <f>400*C67</f>
        <v>5.6215338128637553</v>
      </c>
    </row>
    <row r="5" spans="1:14" x14ac:dyDescent="0.25">
      <c r="A5" t="s">
        <v>3</v>
      </c>
      <c r="B5">
        <v>0.93510700000000002</v>
      </c>
      <c r="C5">
        <f t="shared" si="0"/>
        <v>2.5474860241610293</v>
      </c>
      <c r="E5" t="s">
        <v>82</v>
      </c>
      <c r="F5" s="3">
        <f>0.0658^2</f>
        <v>4.3296400000000001E-3</v>
      </c>
      <c r="H5" t="s">
        <v>105</v>
      </c>
      <c r="I5">
        <v>0</v>
      </c>
      <c r="L5">
        <v>3</v>
      </c>
      <c r="M5" s="4" t="e">
        <f>B34</f>
        <v>#REF!</v>
      </c>
      <c r="N5" s="4">
        <f>400*C66</f>
        <v>5.6215338128637553</v>
      </c>
    </row>
    <row r="6" spans="1:14" x14ac:dyDescent="0.25">
      <c r="A6" t="s">
        <v>44</v>
      </c>
      <c r="B6">
        <v>0.31368699999999999</v>
      </c>
      <c r="C6">
        <f t="shared" si="0"/>
        <v>1.3684613411072202</v>
      </c>
      <c r="E6" t="s">
        <v>83</v>
      </c>
      <c r="F6">
        <f xml:space="preserve"> 0.3721^2</f>
        <v>0.13845840999999998</v>
      </c>
      <c r="H6" t="s">
        <v>100</v>
      </c>
      <c r="I6">
        <v>0.25</v>
      </c>
      <c r="L6">
        <v>4</v>
      </c>
      <c r="M6" s="12" t="e">
        <f>B32</f>
        <v>#REF!</v>
      </c>
      <c r="N6" s="4">
        <f>B59*100</f>
        <v>1.1600000000000001E-12</v>
      </c>
    </row>
    <row r="7" spans="1:14" x14ac:dyDescent="0.25">
      <c r="A7" t="s">
        <v>37</v>
      </c>
      <c r="B7">
        <v>0.31368699999999999</v>
      </c>
      <c r="C7">
        <f t="shared" si="0"/>
        <v>1.3684613411072202</v>
      </c>
      <c r="E7" t="s">
        <v>84</v>
      </c>
      <c r="F7">
        <f xml:space="preserve"> 0.0034^2</f>
        <v>1.1559999999999999E-5</v>
      </c>
      <c r="H7" t="s">
        <v>98</v>
      </c>
      <c r="I7">
        <f>I8</f>
        <v>0.97499999999999998</v>
      </c>
      <c r="L7">
        <v>5</v>
      </c>
      <c r="M7" s="4">
        <f>B52</f>
        <v>84.079700000000003</v>
      </c>
      <c r="N7" s="4">
        <f>B12*100</f>
        <v>16.468900000000001</v>
      </c>
    </row>
    <row r="8" spans="1:14" x14ac:dyDescent="0.25">
      <c r="A8" t="s">
        <v>43</v>
      </c>
      <c r="B8">
        <v>0.164689</v>
      </c>
      <c r="C8">
        <f t="shared" si="0"/>
        <v>1.1790263844816</v>
      </c>
      <c r="E8" t="s">
        <v>85</v>
      </c>
      <c r="F8">
        <f xml:space="preserve"> 0.0023^2</f>
        <v>5.2900000000000002E-6</v>
      </c>
      <c r="H8" t="s">
        <v>96</v>
      </c>
      <c r="I8">
        <v>0.97499999999999998</v>
      </c>
      <c r="L8">
        <v>6</v>
      </c>
      <c r="M8" s="4" t="e">
        <f>B51</f>
        <v>#REF!</v>
      </c>
      <c r="N8" s="4">
        <f>B11*100</f>
        <v>31.3687</v>
      </c>
    </row>
    <row r="9" spans="1:14" x14ac:dyDescent="0.25">
      <c r="A9" t="s">
        <v>26</v>
      </c>
      <c r="B9">
        <v>0.164689</v>
      </c>
      <c r="C9">
        <f t="shared" si="0"/>
        <v>1.1790263844816</v>
      </c>
      <c r="E9" t="s">
        <v>86</v>
      </c>
      <c r="F9">
        <f xml:space="preserve"> 0.1454^2</f>
        <v>2.1141159999999999E-2</v>
      </c>
      <c r="H9" t="s">
        <v>8</v>
      </c>
      <c r="I9">
        <v>0.99429999999999996</v>
      </c>
      <c r="L9">
        <v>7</v>
      </c>
      <c r="M9" s="4">
        <f>B58</f>
        <v>-26.297700000000003</v>
      </c>
      <c r="N9" s="4">
        <f>B81*100</f>
        <v>26.8308</v>
      </c>
    </row>
    <row r="10" spans="1:14" x14ac:dyDescent="0.25">
      <c r="A10" t="s">
        <v>162</v>
      </c>
      <c r="B10" t="e">
        <f>100*#REF!</f>
        <v>#REF!</v>
      </c>
      <c r="C10" t="e">
        <f t="shared" si="0"/>
        <v>#REF!</v>
      </c>
      <c r="E10" t="s">
        <v>87</v>
      </c>
      <c r="F10">
        <f xml:space="preserve"> 0.0051^2</f>
        <v>2.6010000000000003E-5</v>
      </c>
      <c r="H10" t="s">
        <v>118</v>
      </c>
      <c r="I10">
        <f>I50/I65*(I17-I14+I65*I17*(I14-1))/((I14*-1)*(I17-1))</f>
        <v>-6.9116794557613159E-2</v>
      </c>
      <c r="L10">
        <v>8</v>
      </c>
      <c r="M10" s="4" t="e">
        <f>B18</f>
        <v>#REF!</v>
      </c>
      <c r="N10" s="4">
        <f>B14*100</f>
        <v>13.357699999999999</v>
      </c>
    </row>
    <row r="11" spans="1:14" x14ac:dyDescent="0.25">
      <c r="A11" t="s">
        <v>53</v>
      </c>
      <c r="B11">
        <v>0.31368699999999999</v>
      </c>
      <c r="C11">
        <f t="shared" si="0"/>
        <v>1.3684613411072202</v>
      </c>
      <c r="E11" t="s">
        <v>88</v>
      </c>
      <c r="F11">
        <f xml:space="preserve"> 0.0488^2</f>
        <v>2.3814400000000003E-3</v>
      </c>
      <c r="H11" t="s">
        <v>148</v>
      </c>
      <c r="I11">
        <v>2.5000000000000001E-2</v>
      </c>
      <c r="L11">
        <v>9</v>
      </c>
      <c r="M11" s="4" t="e">
        <f>B37</f>
        <v>#REF!</v>
      </c>
      <c r="N11" s="4">
        <f>B31*100</f>
        <v>-194.96199999999999</v>
      </c>
    </row>
    <row r="12" spans="1:14" x14ac:dyDescent="0.25">
      <c r="A12" t="s">
        <v>54</v>
      </c>
      <c r="B12">
        <v>0.164689</v>
      </c>
      <c r="C12">
        <f t="shared" si="0"/>
        <v>1.1790263844816</v>
      </c>
      <c r="E12" t="s">
        <v>90</v>
      </c>
      <c r="F12">
        <f xml:space="preserve"> 0.0128^2</f>
        <v>1.6384E-4</v>
      </c>
      <c r="H12" t="s">
        <v>101</v>
      </c>
      <c r="I12">
        <f>I51</f>
        <v>4.6946406588904588E-2</v>
      </c>
      <c r="L12">
        <v>10</v>
      </c>
      <c r="M12" s="4" t="e">
        <f>B22</f>
        <v>#REF!</v>
      </c>
      <c r="N12" s="4">
        <f>B19*100</f>
        <v>84.079700000000003</v>
      </c>
    </row>
    <row r="13" spans="1:14" x14ac:dyDescent="0.25">
      <c r="A13" t="s">
        <v>76</v>
      </c>
      <c r="B13">
        <v>-4.8832899999999997</v>
      </c>
      <c r="C13">
        <f t="shared" si="0"/>
        <v>7.5720609217937588E-3</v>
      </c>
      <c r="E13" t="s">
        <v>89</v>
      </c>
      <c r="F13">
        <f xml:space="preserve"> 0.0018^2</f>
        <v>3.2399999999999999E-6</v>
      </c>
      <c r="H13" t="s">
        <v>102</v>
      </c>
      <c r="I13">
        <f>0.1*I12</f>
        <v>4.6946406588904595E-3</v>
      </c>
      <c r="L13">
        <v>11</v>
      </c>
      <c r="M13" s="4" t="e">
        <f>B33</f>
        <v>#REF!</v>
      </c>
      <c r="N13" s="4">
        <f>400*C68</f>
        <v>2.2930769159214646</v>
      </c>
    </row>
    <row r="14" spans="1:14" x14ac:dyDescent="0.25">
      <c r="A14" t="s">
        <v>50</v>
      </c>
      <c r="B14">
        <v>0.133577</v>
      </c>
      <c r="C14">
        <f t="shared" si="0"/>
        <v>1.1429092667605822</v>
      </c>
      <c r="E14" t="s">
        <v>91</v>
      </c>
      <c r="F14">
        <f xml:space="preserve"> 1.0099^2</f>
        <v>1.0198980100000001</v>
      </c>
      <c r="H14" t="s">
        <v>149</v>
      </c>
      <c r="I14">
        <f>AVERAGE(I15:I16)</f>
        <v>2.9328059999999998</v>
      </c>
      <c r="L14">
        <v>12</v>
      </c>
      <c r="M14" s="4" t="e">
        <f>B10</f>
        <v>#REF!</v>
      </c>
      <c r="N14" s="4">
        <f>100*B42</f>
        <v>-157.28399999999999</v>
      </c>
    </row>
    <row r="15" spans="1:14" x14ac:dyDescent="0.25">
      <c r="A15" t="s">
        <v>33</v>
      </c>
      <c r="B15">
        <v>-2.19923</v>
      </c>
      <c r="C15">
        <f t="shared" si="0"/>
        <v>0.11088850965030168</v>
      </c>
      <c r="E15" t="s">
        <v>92</v>
      </c>
      <c r="F15">
        <f xml:space="preserve"> 0.0144^2</f>
        <v>2.0735999999999999E-4</v>
      </c>
      <c r="H15" t="s">
        <v>113</v>
      </c>
      <c r="I15">
        <f>I16</f>
        <v>2.9328059999999998</v>
      </c>
      <c r="K15" s="23" t="s">
        <v>174</v>
      </c>
      <c r="L15">
        <v>13</v>
      </c>
      <c r="M15" s="4">
        <f>(1-I4)*C25/(C17-I4*C17)</f>
        <v>1.1297868651243366</v>
      </c>
      <c r="N15" s="4">
        <f>C50</f>
        <v>1.1297868651243366</v>
      </c>
    </row>
    <row r="16" spans="1:14" x14ac:dyDescent="0.25">
      <c r="A16" t="s">
        <v>24</v>
      </c>
      <c r="B16">
        <v>-1.91801</v>
      </c>
      <c r="C16">
        <f t="shared" si="0"/>
        <v>0.14689900046675919</v>
      </c>
      <c r="H16" t="s">
        <v>12</v>
      </c>
      <c r="I16">
        <v>2.9328059999999998</v>
      </c>
      <c r="K16" s="24"/>
      <c r="L16">
        <v>14</v>
      </c>
      <c r="M16" s="4">
        <f>I30*C23/C30-C50*C63+C50*C63*I9</f>
        <v>-2.5494880162568734E-7</v>
      </c>
      <c r="N16" s="4">
        <v>0</v>
      </c>
    </row>
    <row r="17" spans="1:14" x14ac:dyDescent="0.25">
      <c r="A17" t="s">
        <v>16</v>
      </c>
      <c r="B17">
        <v>-0.122029</v>
      </c>
      <c r="C17">
        <f t="shared" si="0"/>
        <v>0.88512269957214185</v>
      </c>
      <c r="H17" t="s">
        <v>9</v>
      </c>
      <c r="I17">
        <v>-1.46025</v>
      </c>
      <c r="K17" s="24"/>
      <c r="L17">
        <v>15</v>
      </c>
      <c r="M17" s="4">
        <f>C50</f>
        <v>1.1297868651243366</v>
      </c>
      <c r="N17" s="4">
        <f>I9*C50*(1+C68)/C59</f>
        <v>1.1297868831373645</v>
      </c>
    </row>
    <row r="18" spans="1:14" x14ac:dyDescent="0.25">
      <c r="A18" t="s">
        <v>158</v>
      </c>
      <c r="B18" t="e">
        <f>#REF!*100</f>
        <v>#REF!</v>
      </c>
      <c r="C18" t="e">
        <f t="shared" si="0"/>
        <v>#REF!</v>
      </c>
      <c r="H18" t="s">
        <v>111</v>
      </c>
      <c r="I18">
        <v>5</v>
      </c>
      <c r="K18" s="24"/>
      <c r="L18">
        <v>16</v>
      </c>
      <c r="M18" s="4">
        <f>(1-C27)*C46+C46^(1+I44)/C77*C27/C50-I37*(C61-C59^I29*I47^(1-I29))*C61+I9*C50/C50*I37*(C61-C59^I29*I47^(1-I29))*C61^2/C59</f>
        <v>1.6953127878839303E-6</v>
      </c>
      <c r="N18" s="4">
        <v>0</v>
      </c>
    </row>
    <row r="19" spans="1:14" x14ac:dyDescent="0.25">
      <c r="A19" t="s">
        <v>52</v>
      </c>
      <c r="B19">
        <v>0.84079700000000002</v>
      </c>
      <c r="C19">
        <f t="shared" si="0"/>
        <v>2.3182138571456488</v>
      </c>
      <c r="H19" t="s">
        <v>120</v>
      </c>
      <c r="I19">
        <v>6</v>
      </c>
      <c r="K19" s="24"/>
      <c r="L19">
        <v>17</v>
      </c>
      <c r="M19" s="4">
        <f>C61</f>
        <v>1</v>
      </c>
      <c r="N19" s="4">
        <f>C77/C77*C59</f>
        <v>1.0000000000000115</v>
      </c>
    </row>
    <row r="20" spans="1:14" x14ac:dyDescent="0.25">
      <c r="A20" t="s">
        <v>42</v>
      </c>
      <c r="B20">
        <v>0.94079699999999999</v>
      </c>
      <c r="C20">
        <f t="shared" si="0"/>
        <v>2.5620225367973446</v>
      </c>
      <c r="H20" t="s">
        <v>178</v>
      </c>
      <c r="I20">
        <v>1</v>
      </c>
      <c r="K20" s="25"/>
      <c r="L20">
        <v>18</v>
      </c>
      <c r="M20" s="4">
        <f>C17+C63*(C30-C30)+C21</f>
        <v>3.2033365567177907</v>
      </c>
      <c r="N20" s="4">
        <f>C46*C77+(1+C68)*C21/C59+C40/I23</f>
        <v>3.2033364915705507</v>
      </c>
    </row>
    <row r="21" spans="1:14" x14ac:dyDescent="0.25">
      <c r="A21" t="s">
        <v>18</v>
      </c>
      <c r="B21">
        <v>0.84079700000000002</v>
      </c>
      <c r="C21">
        <f t="shared" si="0"/>
        <v>2.3182138571456488</v>
      </c>
      <c r="H21" t="s">
        <v>109</v>
      </c>
      <c r="I21">
        <v>1</v>
      </c>
      <c r="K21" s="20" t="s">
        <v>175</v>
      </c>
      <c r="L21">
        <v>19</v>
      </c>
      <c r="M21" s="4">
        <f>(1-I4)*C25/(C16-C16*I4)</f>
        <v>6.807398258821264</v>
      </c>
      <c r="N21" s="4">
        <f>C49</f>
        <v>6.8073982588212605</v>
      </c>
    </row>
    <row r="22" spans="1:14" x14ac:dyDescent="0.25">
      <c r="A22" t="s">
        <v>160</v>
      </c>
      <c r="B22" t="e">
        <f>#REF!*100</f>
        <v>#REF!</v>
      </c>
      <c r="C22" t="e">
        <f t="shared" si="0"/>
        <v>#REF!</v>
      </c>
      <c r="H22" t="s">
        <v>108</v>
      </c>
      <c r="I22">
        <v>1</v>
      </c>
      <c r="K22" s="21"/>
      <c r="L22">
        <v>20</v>
      </c>
      <c r="M22" s="4">
        <f>I30*C23/C29-C49*C63+I8*C49*C63+C73*C63*C54*C59</f>
        <v>-2.4617386515934925E-6</v>
      </c>
      <c r="N22" s="4">
        <v>0</v>
      </c>
    </row>
    <row r="23" spans="1:14" x14ac:dyDescent="0.25">
      <c r="A23" t="s">
        <v>63</v>
      </c>
      <c r="C23">
        <f t="shared" si="0"/>
        <v>1</v>
      </c>
      <c r="H23" t="s">
        <v>107</v>
      </c>
      <c r="I23">
        <v>1</v>
      </c>
      <c r="K23" s="21"/>
      <c r="L23">
        <v>21</v>
      </c>
      <c r="M23" s="4">
        <f>C49-I8*C49*(1+C67)/C59</f>
        <v>7.6906658964724706E-2</v>
      </c>
      <c r="N23" s="4">
        <f>C73*(1+C67)</f>
        <v>7.6906567346997232E-2</v>
      </c>
    </row>
    <row r="24" spans="1:14" x14ac:dyDescent="0.25">
      <c r="A24" t="s">
        <v>67</v>
      </c>
      <c r="C24">
        <f t="shared" si="0"/>
        <v>1</v>
      </c>
      <c r="H24" t="s">
        <v>103</v>
      </c>
      <c r="I24">
        <v>1</v>
      </c>
      <c r="K24" s="21"/>
      <c r="L24">
        <v>22</v>
      </c>
      <c r="M24" s="4">
        <f>(1-C27)*C44+C44^(1+I44)/C76*C27/C49-I37*(C60-C59^I29*I47^(1-I29))*C60+I8*C49/C49*I37*(C60-C59^I29*I47^(1-I29))*C60^2/C59</f>
        <v>1.3258941644480195E-6</v>
      </c>
      <c r="N24" s="4">
        <v>0</v>
      </c>
    </row>
    <row r="25" spans="1:14" x14ac:dyDescent="0.25">
      <c r="A25" t="s">
        <v>61</v>
      </c>
      <c r="B25">
        <v>0</v>
      </c>
      <c r="C25">
        <f t="shared" si="0"/>
        <v>1</v>
      </c>
      <c r="H25" t="s">
        <v>129</v>
      </c>
      <c r="I25">
        <v>0</v>
      </c>
      <c r="K25" s="21"/>
      <c r="L25">
        <v>23</v>
      </c>
      <c r="M25" s="4">
        <f>C60</f>
        <v>1</v>
      </c>
      <c r="N25" s="4">
        <f>C76/C76*C59</f>
        <v>1.0000000000000115</v>
      </c>
    </row>
    <row r="26" spans="1:14" x14ac:dyDescent="0.25">
      <c r="A26" t="s">
        <v>72</v>
      </c>
      <c r="C26">
        <f t="shared" si="0"/>
        <v>1</v>
      </c>
      <c r="H26" t="s">
        <v>130</v>
      </c>
      <c r="I26">
        <v>0</v>
      </c>
      <c r="K26" s="21"/>
      <c r="L26">
        <v>24</v>
      </c>
      <c r="M26" s="4">
        <f>C16+C63*(C29-C29)+(1+C67)*C9/C59</f>
        <v>1.3424952266649002</v>
      </c>
      <c r="N26" s="4">
        <f>C76*C44+C9</f>
        <v>1.3424951734543942</v>
      </c>
    </row>
    <row r="27" spans="1:14" x14ac:dyDescent="0.25">
      <c r="A27" t="s">
        <v>71</v>
      </c>
      <c r="B27">
        <f>LN(I18)</f>
        <v>1.6094379124341003</v>
      </c>
      <c r="C27">
        <f t="shared" si="0"/>
        <v>4.9999999999999991</v>
      </c>
      <c r="H27" t="s">
        <v>128</v>
      </c>
      <c r="I27">
        <v>0</v>
      </c>
      <c r="J27" s="2"/>
      <c r="K27" s="22"/>
      <c r="L27">
        <v>25</v>
      </c>
      <c r="M27" s="4">
        <f>(1+C67)*C9</f>
        <v>1.1955962261981548</v>
      </c>
      <c r="N27" s="4">
        <f>C54*C63*C29*C59</f>
        <v>1.1955962991856997</v>
      </c>
    </row>
    <row r="28" spans="1:14" x14ac:dyDescent="0.25">
      <c r="A28" t="s">
        <v>70</v>
      </c>
      <c r="B28">
        <f>LN(I19)</f>
        <v>1.791759469228055</v>
      </c>
      <c r="C28">
        <f t="shared" si="0"/>
        <v>6</v>
      </c>
      <c r="H28" t="s">
        <v>122</v>
      </c>
      <c r="I28" s="2">
        <v>0.158112794106546</v>
      </c>
      <c r="J28" s="2"/>
      <c r="K28" s="20" t="s">
        <v>176</v>
      </c>
      <c r="L28">
        <v>26</v>
      </c>
      <c r="M28" s="14">
        <f>C41</f>
        <v>5.6930720170823053</v>
      </c>
      <c r="N28" s="14">
        <f>(1-I11)*C41+(1-I34/2*(C31*C24/C31-1)^2)*C31</f>
        <v>5.693073362662453</v>
      </c>
    </row>
    <row r="29" spans="1:14" x14ac:dyDescent="0.25">
      <c r="A29" t="s">
        <v>25</v>
      </c>
      <c r="B29">
        <v>-2.95404</v>
      </c>
      <c r="C29">
        <f t="shared" si="0"/>
        <v>5.2128680095646571E-2</v>
      </c>
      <c r="H29" t="s">
        <v>123</v>
      </c>
      <c r="I29" s="11">
        <v>0.30019780401748902</v>
      </c>
      <c r="K29" s="22"/>
      <c r="L29">
        <v>27</v>
      </c>
      <c r="M29" s="4">
        <v>1</v>
      </c>
      <c r="N29" s="4">
        <f>C64*(1-I34/2*(C31/C31*C24-1)^2-I34*(C31/C31*C24-1)*C31/C31*C24)+I7*C48/C48*C64*I34*(C31/C31*C24-1)*C24*C31/C31</f>
        <v>1</v>
      </c>
    </row>
    <row r="30" spans="1:14" x14ac:dyDescent="0.25">
      <c r="A30" t="s">
        <v>17</v>
      </c>
      <c r="B30">
        <v>-5.3536599999999997E-2</v>
      </c>
      <c r="C30">
        <f t="shared" si="0"/>
        <v>0.94787124828124314</v>
      </c>
      <c r="H30" t="s">
        <v>94</v>
      </c>
      <c r="I30">
        <v>0.2</v>
      </c>
      <c r="J30" s="2"/>
      <c r="K30" s="20" t="s">
        <v>177</v>
      </c>
      <c r="L30">
        <v>28</v>
      </c>
      <c r="M30" s="4">
        <f>(1-I4)/(C15-I4*C15)</f>
        <v>9.0180669138182417</v>
      </c>
      <c r="N30" s="4">
        <f>C48</f>
        <v>9.0180669138182381</v>
      </c>
    </row>
    <row r="31" spans="1:14" x14ac:dyDescent="0.25">
      <c r="A31" t="s">
        <v>31</v>
      </c>
      <c r="B31">
        <v>-1.9496199999999999</v>
      </c>
      <c r="C31">
        <f t="shared" si="0"/>
        <v>0.1423281460072057</v>
      </c>
      <c r="H31" t="s">
        <v>126</v>
      </c>
      <c r="I31" s="2">
        <v>7.9800595904463698</v>
      </c>
      <c r="J31" s="2"/>
      <c r="K31" s="21"/>
      <c r="L31">
        <v>29</v>
      </c>
      <c r="M31" s="14">
        <f>C72*C53*C64*C59*(1-I11)+I7*C48*(C64*(1-I11)+C70*C75)-(I12*(C75-1)+I13/2*(C75-1)^2)</f>
        <v>9.0278643371091256</v>
      </c>
      <c r="N31" s="14">
        <f>C48*C64</f>
        <v>9.0180669138182381</v>
      </c>
    </row>
    <row r="32" spans="1:14" x14ac:dyDescent="0.25">
      <c r="A32" t="s">
        <v>154</v>
      </c>
      <c r="B32" t="e">
        <f>#REF!*100</f>
        <v>#REF!</v>
      </c>
      <c r="C32" t="e">
        <f t="shared" si="0"/>
        <v>#REF!</v>
      </c>
      <c r="H32" t="s">
        <v>127</v>
      </c>
      <c r="I32" s="2">
        <v>9.0442671874948193</v>
      </c>
      <c r="J32" s="2"/>
      <c r="K32" s="21"/>
      <c r="L32">
        <v>30</v>
      </c>
      <c r="M32" s="14">
        <f>C77</f>
        <v>0.85055772296658494</v>
      </c>
      <c r="N32" s="14">
        <f>I43*(1-I6)*C80/(C78*C47)</f>
        <v>0.85055804297538751</v>
      </c>
    </row>
    <row r="33" spans="1:14" x14ac:dyDescent="0.25">
      <c r="A33" t="s">
        <v>161</v>
      </c>
      <c r="B33" t="e">
        <f>400*(EXP(#REF!))</f>
        <v>#REF!</v>
      </c>
      <c r="C33" t="e">
        <f t="shared" si="0"/>
        <v>#REF!</v>
      </c>
      <c r="H33" t="s">
        <v>125</v>
      </c>
      <c r="I33" s="2">
        <v>2.7753737710421298</v>
      </c>
      <c r="J33" s="2"/>
      <c r="K33" s="21"/>
      <c r="L33">
        <v>31</v>
      </c>
      <c r="M33" s="14">
        <f>C76</f>
        <v>0.17325340282144272</v>
      </c>
      <c r="N33" s="14">
        <f>(1-I43)*(1-I6)*C80/(C78*C45)</f>
        <v>0.17325326683734624</v>
      </c>
    </row>
    <row r="34" spans="1:14" x14ac:dyDescent="0.25">
      <c r="A34" t="s">
        <v>153</v>
      </c>
      <c r="B34" t="e">
        <f>400*EXP(#REF!)</f>
        <v>#REF!</v>
      </c>
      <c r="C34" t="e">
        <f t="shared" si="0"/>
        <v>#REF!</v>
      </c>
      <c r="H34" t="s">
        <v>124</v>
      </c>
      <c r="I34" s="2">
        <v>10.030556224800799</v>
      </c>
      <c r="J34" s="2"/>
      <c r="K34" s="21"/>
      <c r="L34">
        <v>32</v>
      </c>
      <c r="M34" s="4">
        <f>C48-C72*(1+C66)</f>
        <v>8.9161843032233694</v>
      </c>
      <c r="N34" s="4">
        <f>I7*C48*(1+C66)/C59</f>
        <v>8.9161852006742546</v>
      </c>
    </row>
    <row r="35" spans="1:14" x14ac:dyDescent="0.25">
      <c r="A35" t="s">
        <v>152</v>
      </c>
      <c r="B35" t="e">
        <f>400*EXP(#REF!)</f>
        <v>#REF!</v>
      </c>
      <c r="C35" t="e">
        <f t="shared" ref="C35:C66" si="1">EXP(B35)</f>
        <v>#REF!</v>
      </c>
      <c r="H35" t="s">
        <v>119</v>
      </c>
      <c r="I35" s="11">
        <v>8.9148195803466894</v>
      </c>
      <c r="J35" s="2"/>
      <c r="K35" s="21"/>
      <c r="L35">
        <v>33</v>
      </c>
      <c r="M35" s="4">
        <f>C70</f>
        <v>4.7855941476672333E-2</v>
      </c>
      <c r="N35" s="4">
        <f>I12+I13*(C75-1)</f>
        <v>4.6946406588904588E-2</v>
      </c>
    </row>
    <row r="36" spans="1:14" x14ac:dyDescent="0.25">
      <c r="A36" t="s">
        <v>151</v>
      </c>
      <c r="C36">
        <f t="shared" si="1"/>
        <v>1</v>
      </c>
      <c r="H36" t="s">
        <v>121</v>
      </c>
      <c r="I36" s="2">
        <v>33.770526501639502</v>
      </c>
      <c r="J36" s="2"/>
      <c r="K36" s="21"/>
      <c r="L36">
        <v>34</v>
      </c>
      <c r="M36" s="4">
        <f>C15+(1+C66)*C7/C59+C77*C47+C76*C45+C64*C43+(I12*(C75-1)+I13/2*(C75-1)^2)*C43</f>
        <v>8.0089971827283506</v>
      </c>
      <c r="N36" s="4">
        <f>C80/C78+C7+C64*(1-I11)*C43</f>
        <v>8.0089976288858011</v>
      </c>
    </row>
    <row r="37" spans="1:14" x14ac:dyDescent="0.25">
      <c r="A37" t="s">
        <v>159</v>
      </c>
      <c r="B37" t="e">
        <f>#REF!*100</f>
        <v>#REF!</v>
      </c>
      <c r="C37" t="e">
        <f t="shared" si="1"/>
        <v>#REF!</v>
      </c>
      <c r="H37" t="s">
        <v>112</v>
      </c>
      <c r="I37" s="2">
        <v>107.352040072465</v>
      </c>
      <c r="K37" s="21"/>
      <c r="L37">
        <v>35</v>
      </c>
      <c r="M37" s="14">
        <f>C80</f>
        <v>1.307749864950517</v>
      </c>
      <c r="N37" s="14">
        <f>C3*(C75*C43)^I6*(C47^I43*C45^(1-I43))^(1-I6)</f>
        <v>1.3077476679325895</v>
      </c>
    </row>
    <row r="38" spans="1:14" x14ac:dyDescent="0.25">
      <c r="A38" t="s">
        <v>22</v>
      </c>
      <c r="B38">
        <v>-3.7936899999999998</v>
      </c>
      <c r="C38">
        <f t="shared" si="1"/>
        <v>2.2512377723239489E-2</v>
      </c>
      <c r="H38" t="s">
        <v>99</v>
      </c>
      <c r="I38">
        <v>0.35</v>
      </c>
      <c r="K38" s="21"/>
      <c r="L38">
        <v>36</v>
      </c>
      <c r="M38" s="14">
        <f>(1+C66)*C7</f>
        <v>1.387693470358798</v>
      </c>
      <c r="N38" s="14">
        <f>C53*C64*C59*C43*(1-I11)</f>
        <v>1.9427608258293587</v>
      </c>
    </row>
    <row r="39" spans="1:14" x14ac:dyDescent="0.25">
      <c r="A39" t="s">
        <v>57</v>
      </c>
      <c r="B39">
        <v>-3.7936899999999998</v>
      </c>
      <c r="C39">
        <f t="shared" si="1"/>
        <v>2.2512377723239489E-2</v>
      </c>
      <c r="H39" t="s">
        <v>97</v>
      </c>
      <c r="I39">
        <v>0.7</v>
      </c>
      <c r="K39" s="22"/>
      <c r="L39">
        <v>37</v>
      </c>
      <c r="M39" s="14">
        <f>C70</f>
        <v>4.7855941476672333E-2</v>
      </c>
      <c r="N39" s="14">
        <f>I6*C3*C75^(I6-1)*C43^(I6-1)*(C47^I43*C45^(1-I43))^(1-I6)/C78</f>
        <v>4.7855939508841282E-2</v>
      </c>
    </row>
    <row r="40" spans="1:14" x14ac:dyDescent="0.25">
      <c r="A40" t="s">
        <v>21</v>
      </c>
      <c r="B40">
        <v>-1.52345</v>
      </c>
      <c r="C40">
        <f t="shared" si="1"/>
        <v>0.2179586310557865</v>
      </c>
      <c r="H40" t="s">
        <v>114</v>
      </c>
      <c r="I40">
        <f>I35/(I35-1)</f>
        <v>1.1263452678672681</v>
      </c>
      <c r="K40" s="18" t="s">
        <v>179</v>
      </c>
      <c r="L40">
        <v>38</v>
      </c>
      <c r="M40" s="4">
        <f>C65</f>
        <v>1.0027439437292352E-2</v>
      </c>
      <c r="N40" s="4">
        <f>-I35*(C42/C5-I65)*(C42/C5)^2+C69</f>
        <v>1.0164845927947997E-2</v>
      </c>
    </row>
    <row r="41" spans="1:14" x14ac:dyDescent="0.25">
      <c r="A41" t="s">
        <v>59</v>
      </c>
      <c r="B41">
        <v>1.73925</v>
      </c>
      <c r="C41">
        <f t="shared" si="1"/>
        <v>5.6930720170823053</v>
      </c>
      <c r="H41" t="s">
        <v>13</v>
      </c>
      <c r="I41">
        <f>I34/(I34-1)</f>
        <v>1.1107351502063272</v>
      </c>
      <c r="K41" s="19"/>
      <c r="L41">
        <v>39</v>
      </c>
      <c r="M41" s="14">
        <f>C42*C59</f>
        <v>0.20745517225004623</v>
      </c>
      <c r="N41" s="14">
        <f>(1-I10)*C42/C26+C38</f>
        <v>0.24430618649360389</v>
      </c>
    </row>
    <row r="42" spans="1:14" x14ac:dyDescent="0.25">
      <c r="A42" t="s">
        <v>2</v>
      </c>
      <c r="B42">
        <v>-1.57284</v>
      </c>
      <c r="C42">
        <f t="shared" si="1"/>
        <v>0.20745517225004384</v>
      </c>
      <c r="H42" t="s">
        <v>11</v>
      </c>
      <c r="I42">
        <f>I35/(I35-1)</f>
        <v>1.1263452678672681</v>
      </c>
      <c r="K42" s="19"/>
      <c r="L42">
        <v>40</v>
      </c>
      <c r="M42" s="14">
        <f>I20*C20</f>
        <v>2.5620225367973446</v>
      </c>
      <c r="N42" s="14">
        <f>I23*C21</f>
        <v>2.3182138571456488</v>
      </c>
    </row>
    <row r="43" spans="1:14" x14ac:dyDescent="0.25">
      <c r="A43" t="s">
        <v>34</v>
      </c>
      <c r="B43">
        <v>1.73925</v>
      </c>
      <c r="C43">
        <f t="shared" si="1"/>
        <v>5.6930720170823053</v>
      </c>
      <c r="H43" t="s">
        <v>110</v>
      </c>
      <c r="I43">
        <v>0.8</v>
      </c>
      <c r="K43" s="19"/>
      <c r="L43">
        <v>41</v>
      </c>
      <c r="M43" s="4">
        <f>I20*C8</f>
        <v>1.1790263844816</v>
      </c>
      <c r="N43" s="4">
        <f>I22*C9</f>
        <v>1.1790263844816</v>
      </c>
    </row>
    <row r="44" spans="1:14" x14ac:dyDescent="0.25">
      <c r="A44" t="s">
        <v>27</v>
      </c>
      <c r="B44">
        <v>-5.8133200000000003E-2</v>
      </c>
      <c r="C44">
        <f t="shared" si="1"/>
        <v>0.94352426163466019</v>
      </c>
      <c r="H44" t="s">
        <v>95</v>
      </c>
      <c r="I44">
        <v>1</v>
      </c>
      <c r="J44" s="2"/>
      <c r="K44" s="19"/>
      <c r="L44">
        <v>42</v>
      </c>
      <c r="M44" s="4">
        <f>I20*C6</f>
        <v>1.3684613411072202</v>
      </c>
      <c r="N44" s="4">
        <f>I21*C7</f>
        <v>1.3684613411072202</v>
      </c>
    </row>
    <row r="45" spans="1:14" x14ac:dyDescent="0.25">
      <c r="A45" t="s">
        <v>36</v>
      </c>
      <c r="B45">
        <v>-5.8133200000000003E-2</v>
      </c>
      <c r="C45">
        <f t="shared" si="1"/>
        <v>0.94352426163466019</v>
      </c>
      <c r="H45" t="s">
        <v>132</v>
      </c>
      <c r="I45" s="11">
        <v>2.0038478018082402</v>
      </c>
      <c r="J45" s="2"/>
      <c r="K45" s="19"/>
      <c r="L45">
        <v>43</v>
      </c>
      <c r="M45" s="14">
        <f>C8+C6</f>
        <v>2.5474877255888204</v>
      </c>
      <c r="N45" s="14">
        <f>C20+C42</f>
        <v>2.7694777090473885</v>
      </c>
    </row>
    <row r="46" spans="1:14" x14ac:dyDescent="0.25">
      <c r="A46" t="s">
        <v>19</v>
      </c>
      <c r="B46">
        <v>-0.26297700000000002</v>
      </c>
      <c r="C46">
        <f t="shared" si="1"/>
        <v>0.76875957857813226</v>
      </c>
      <c r="H46" t="s">
        <v>133</v>
      </c>
      <c r="I46" s="2">
        <v>0.303247771697294</v>
      </c>
      <c r="K46" s="19"/>
      <c r="L46">
        <v>44</v>
      </c>
      <c r="M46" s="13">
        <f>-1+C57/(C57-1)-C57/(C57-1)*C69/C68-I33*(C68/C68-(C68/C68)^I27)*C68/C68+I9*(C50/C50)*I33*(C68/C68-(C68/C68)^I27)*((C68/C68)^2)*(C20/C20)</f>
        <v>-7.104953419976697</v>
      </c>
      <c r="N46" s="13">
        <v>0</v>
      </c>
    </row>
    <row r="47" spans="1:14" x14ac:dyDescent="0.25">
      <c r="A47" t="s">
        <v>35</v>
      </c>
      <c r="B47">
        <v>-0.26297700000000002</v>
      </c>
      <c r="C47">
        <f t="shared" si="1"/>
        <v>0.76875957857813226</v>
      </c>
      <c r="H47" t="s">
        <v>7</v>
      </c>
      <c r="I47">
        <v>1</v>
      </c>
      <c r="K47" s="19"/>
      <c r="L47">
        <v>45</v>
      </c>
      <c r="M47" s="13">
        <f>1-C55/(C55-1)+C55/(C55-1)*C65/C66-I31*(C66/C66-(C66/C66)^I25)*C66/C66+I9*(C50/C50)*I31*(C66/C66-(C66/C66)^I25)*((C66/C66)^2)*(C6/C6)</f>
        <v>-1.5540777321516712</v>
      </c>
      <c r="N47" s="13">
        <v>0</v>
      </c>
    </row>
    <row r="48" spans="1:14" x14ac:dyDescent="0.25">
      <c r="A48" t="s">
        <v>39</v>
      </c>
      <c r="B48">
        <v>2.19923</v>
      </c>
      <c r="C48">
        <f t="shared" si="1"/>
        <v>9.0180669138182381</v>
      </c>
      <c r="H48" t="s">
        <v>115</v>
      </c>
      <c r="I48">
        <f>I50*I15/(I15-1)</f>
        <v>1.4655630697386977E-2</v>
      </c>
      <c r="K48" s="19"/>
      <c r="L48">
        <v>46</v>
      </c>
      <c r="M48" s="13">
        <f>1-C56/(C56-1)+C56/(C56-1)*C65/C67-I32*(C67/C67-(C67/C67)^I25)*C67/C67+I9*(C50/C50)*I32*(C67/C67-(C67/C67)^I25)*((C67/C67)^2)*(C8/C8)</f>
        <v>-1.8737340182786735</v>
      </c>
      <c r="N48" s="13">
        <v>0</v>
      </c>
    </row>
    <row r="49" spans="1:14" x14ac:dyDescent="0.25">
      <c r="A49" t="s">
        <v>28</v>
      </c>
      <c r="B49">
        <v>1.91801</v>
      </c>
      <c r="C49">
        <f t="shared" si="1"/>
        <v>6.8073982588212605</v>
      </c>
      <c r="H49" t="s">
        <v>116</v>
      </c>
      <c r="I49">
        <f>I50*I16/(I16-1)</f>
        <v>1.4655630697386977E-2</v>
      </c>
      <c r="K49" s="26"/>
      <c r="L49">
        <v>47</v>
      </c>
      <c r="M49" s="13">
        <f>C38</f>
        <v>2.2512377723239489E-2</v>
      </c>
      <c r="N49" s="13">
        <f>C67*C8+C66*C6-C68*C20-I33/2*((C68/C68-1)^2*C68*C20)-I31/2*((C66/C66-1)^2*C66*C6)-I32/2*((C67/C67-1)^2*C67*C8)-I35/2*((C42/C6-I65)^2*C42)</f>
        <v>1.7606103194363076E-2</v>
      </c>
    </row>
    <row r="50" spans="1:14" x14ac:dyDescent="0.25">
      <c r="A50" t="s">
        <v>20</v>
      </c>
      <c r="B50">
        <v>0.122029</v>
      </c>
      <c r="C50">
        <f t="shared" si="1"/>
        <v>1.1297868651243366</v>
      </c>
      <c r="H50" t="s">
        <v>134</v>
      </c>
      <c r="I50">
        <f>(I47/I9-1)*(I17-1)/I17</f>
        <v>9.6584946108585878E-3</v>
      </c>
      <c r="K50" s="27" t="s">
        <v>180</v>
      </c>
      <c r="L50">
        <v>48</v>
      </c>
      <c r="M50" s="14">
        <f>C40</f>
        <v>0.2179586310557865</v>
      </c>
      <c r="N50" s="14">
        <f>C79*(1-1/C78-I36/2*(C59-C59^I28*I47^(1-I28))^2)</f>
        <v>0.21795879382718419</v>
      </c>
    </row>
    <row r="51" spans="1:14" x14ac:dyDescent="0.25">
      <c r="A51" t="s">
        <v>156</v>
      </c>
      <c r="B51" t="e">
        <f>B18*100</f>
        <v>#REF!</v>
      </c>
      <c r="C51" t="e">
        <f t="shared" si="1"/>
        <v>#REF!</v>
      </c>
      <c r="H51" t="s">
        <v>117</v>
      </c>
      <c r="I51">
        <f>-(1-I11)-I38*(1-I11)*I47/I7*(1/(1+I48)-I7/I47)+1/I7</f>
        <v>4.6946406588904588E-2</v>
      </c>
      <c r="J51" s="2"/>
      <c r="K51" s="28"/>
      <c r="L51">
        <v>49</v>
      </c>
      <c r="M51" s="4">
        <f>1-C28+C28/C78-I36*(C59-C59^I28*I47^(1-I28))*C59+I9*C50/C50*I36*(C59-C59^I28*I47^(1-I28))*C59*C79/C79</f>
        <v>-2.2160297375938605E-6</v>
      </c>
      <c r="N51" s="4">
        <v>0</v>
      </c>
    </row>
    <row r="52" spans="1:14" ht="14.45" customHeight="1" x14ac:dyDescent="0.25">
      <c r="A52" t="s">
        <v>155</v>
      </c>
      <c r="B52">
        <f>B21*100</f>
        <v>84.079700000000003</v>
      </c>
      <c r="C52">
        <f t="shared" si="1"/>
        <v>3.2760441811662184E+36</v>
      </c>
      <c r="H52" t="s">
        <v>136</v>
      </c>
      <c r="I52" s="2">
        <v>0.93816527333293998</v>
      </c>
      <c r="J52" s="2"/>
      <c r="K52" s="18" t="s">
        <v>181</v>
      </c>
      <c r="L52">
        <v>50</v>
      </c>
      <c r="M52" s="4">
        <f>C14</f>
        <v>1.1429092667605822</v>
      </c>
      <c r="N52" s="4">
        <f>I23*C17+I22*C16+I21*C15</f>
        <v>1.1429102096892025</v>
      </c>
    </row>
    <row r="53" spans="1:14" x14ac:dyDescent="0.25">
      <c r="A53" t="s">
        <v>69</v>
      </c>
      <c r="B53">
        <f>LN(I38)</f>
        <v>-1.0498221244986778</v>
      </c>
      <c r="C53">
        <f t="shared" si="1"/>
        <v>0.34999999999999992</v>
      </c>
      <c r="H53" t="s">
        <v>137</v>
      </c>
      <c r="I53" s="2">
        <v>0.92187271910220603</v>
      </c>
      <c r="J53" s="2"/>
      <c r="K53" s="19"/>
      <c r="L53">
        <v>51</v>
      </c>
      <c r="M53" s="4">
        <f>C12</f>
        <v>1.1790263844816</v>
      </c>
      <c r="N53" s="4">
        <f>I20*C8</f>
        <v>1.1790263844816</v>
      </c>
    </row>
    <row r="54" spans="1:14" x14ac:dyDescent="0.25">
      <c r="A54" t="s">
        <v>68</v>
      </c>
      <c r="B54">
        <f>LN(I39)</f>
        <v>-0.35667494393873245</v>
      </c>
      <c r="C54">
        <f t="shared" si="1"/>
        <v>0.7</v>
      </c>
      <c r="H54" t="s">
        <v>143</v>
      </c>
      <c r="I54" s="2">
        <v>0.57169238371417097</v>
      </c>
      <c r="J54" s="2"/>
      <c r="K54" s="19"/>
      <c r="L54">
        <v>52</v>
      </c>
      <c r="M54" s="4">
        <f>C11</f>
        <v>1.3684613411072202</v>
      </c>
      <c r="N54" s="4">
        <f>I20*C6</f>
        <v>1.3684613411072202</v>
      </c>
    </row>
    <row r="55" spans="1:14" x14ac:dyDescent="0.25">
      <c r="A55" t="s">
        <v>65</v>
      </c>
      <c r="B55">
        <f>LN(I40)</f>
        <v>0.11897811492439229</v>
      </c>
      <c r="C55">
        <f t="shared" si="1"/>
        <v>1.1263452678672681</v>
      </c>
      <c r="H55" t="s">
        <v>135</v>
      </c>
      <c r="I55" s="2">
        <v>0.38595343816817801</v>
      </c>
      <c r="J55" s="2"/>
      <c r="K55" s="19"/>
      <c r="L55">
        <v>53</v>
      </c>
      <c r="M55" s="4">
        <f>C5</f>
        <v>2.5474860241610293</v>
      </c>
      <c r="N55" s="4">
        <f>C11+C12</f>
        <v>2.5474877255888204</v>
      </c>
    </row>
    <row r="56" spans="1:14" x14ac:dyDescent="0.25">
      <c r="A56" t="s">
        <v>66</v>
      </c>
      <c r="B56">
        <f>LN(I41)</f>
        <v>0.1050220935852305</v>
      </c>
      <c r="C56">
        <f t="shared" si="1"/>
        <v>1.1107351502063272</v>
      </c>
      <c r="H56" t="s">
        <v>146</v>
      </c>
      <c r="I56" s="2">
        <v>0.813022758608552</v>
      </c>
      <c r="J56" s="2"/>
      <c r="K56" s="19"/>
      <c r="L56">
        <v>54</v>
      </c>
      <c r="M56" s="4">
        <f>C19</f>
        <v>2.3182138571456488</v>
      </c>
      <c r="N56" s="4">
        <f>I23*C21</f>
        <v>2.3182138571456488</v>
      </c>
    </row>
    <row r="57" spans="1:14" x14ac:dyDescent="0.25">
      <c r="A57" t="s">
        <v>64</v>
      </c>
      <c r="B57">
        <f>LN(I42)</f>
        <v>0.11897811492439229</v>
      </c>
      <c r="C57">
        <f t="shared" si="1"/>
        <v>1.1263452678672681</v>
      </c>
      <c r="H57" t="s">
        <v>145</v>
      </c>
      <c r="I57" s="2">
        <v>0.59618644088413197</v>
      </c>
      <c r="J57" s="2"/>
      <c r="K57" s="19"/>
      <c r="L57">
        <v>55</v>
      </c>
      <c r="M57" s="4">
        <f>C79</f>
        <v>1.307749864950517</v>
      </c>
      <c r="N57" s="4">
        <f>I21*C80</f>
        <v>1.307749864950517</v>
      </c>
    </row>
    <row r="58" spans="1:14" x14ac:dyDescent="0.25">
      <c r="A58" t="s">
        <v>157</v>
      </c>
      <c r="B58">
        <f>B46*100</f>
        <v>-26.297700000000003</v>
      </c>
      <c r="C58">
        <f t="shared" si="1"/>
        <v>3.7936215461900084E-12</v>
      </c>
      <c r="H58" t="s">
        <v>144</v>
      </c>
      <c r="I58" s="2">
        <v>0.29418223956738399</v>
      </c>
      <c r="J58" s="2"/>
      <c r="K58" s="19"/>
      <c r="L58">
        <v>56</v>
      </c>
      <c r="M58" s="4">
        <f>C39</f>
        <v>2.2512377723239489E-2</v>
      </c>
      <c r="N58" s="4">
        <f>I20*C38</f>
        <v>2.2512377723239489E-2</v>
      </c>
    </row>
    <row r="59" spans="1:14" x14ac:dyDescent="0.25">
      <c r="A59" s="9" t="s">
        <v>48</v>
      </c>
      <c r="B59" s="2">
        <v>1.1600000000000001E-14</v>
      </c>
      <c r="C59">
        <f t="shared" si="1"/>
        <v>1.0000000000000115</v>
      </c>
      <c r="H59" t="s">
        <v>131</v>
      </c>
      <c r="I59" s="2">
        <v>0.75048187308431102</v>
      </c>
      <c r="J59" s="2"/>
      <c r="K59" s="19"/>
      <c r="L59">
        <v>57</v>
      </c>
      <c r="M59" s="4">
        <f>I21*C47</f>
        <v>0.76875957857813226</v>
      </c>
      <c r="N59" s="4">
        <f>I23*C46</f>
        <v>0.76875957857813226</v>
      </c>
    </row>
    <row r="60" spans="1:14" x14ac:dyDescent="0.25">
      <c r="A60" t="s">
        <v>30</v>
      </c>
      <c r="C60">
        <f t="shared" si="1"/>
        <v>1</v>
      </c>
      <c r="H60" t="s">
        <v>138</v>
      </c>
      <c r="I60" s="2">
        <v>0.90129485520181996</v>
      </c>
      <c r="J60" s="2"/>
      <c r="K60" s="19"/>
      <c r="L60">
        <v>58</v>
      </c>
      <c r="M60" s="4">
        <f>I21*C45</f>
        <v>0.94352426163466019</v>
      </c>
      <c r="N60" s="4">
        <f>I22*C44</f>
        <v>0.94352426163466019</v>
      </c>
    </row>
    <row r="61" spans="1:14" x14ac:dyDescent="0.25">
      <c r="A61" t="s">
        <v>23</v>
      </c>
      <c r="C61">
        <f t="shared" si="1"/>
        <v>1</v>
      </c>
      <c r="H61" t="s">
        <v>139</v>
      </c>
      <c r="I61" s="2">
        <v>0.92237838275307804</v>
      </c>
      <c r="J61" s="2"/>
      <c r="K61" s="19"/>
      <c r="L61">
        <v>59</v>
      </c>
      <c r="M61" s="4">
        <f>I24</f>
        <v>1</v>
      </c>
      <c r="N61" s="4">
        <f>I23*C30+I22*C29</f>
        <v>0.99999992837688967</v>
      </c>
    </row>
    <row r="62" spans="1:14" x14ac:dyDescent="0.25">
      <c r="A62" t="s">
        <v>60</v>
      </c>
      <c r="C62">
        <f t="shared" si="1"/>
        <v>1</v>
      </c>
      <c r="H62" t="s">
        <v>142</v>
      </c>
      <c r="I62" s="2">
        <v>0.87390121347579897</v>
      </c>
      <c r="J62" s="2"/>
      <c r="K62" s="19"/>
      <c r="L62">
        <v>60</v>
      </c>
      <c r="M62" s="4">
        <f>C41</f>
        <v>5.6930720170823053</v>
      </c>
      <c r="N62" s="4">
        <f>I21*C43</f>
        <v>5.6930720170823053</v>
      </c>
    </row>
    <row r="63" spans="1:14" x14ac:dyDescent="0.25">
      <c r="A63" t="s">
        <v>58</v>
      </c>
      <c r="B63">
        <v>3.48936</v>
      </c>
      <c r="C63">
        <f t="shared" si="1"/>
        <v>32.76497141282978</v>
      </c>
      <c r="H63" t="s">
        <v>141</v>
      </c>
      <c r="I63" s="2">
        <v>0.85122967386455495</v>
      </c>
      <c r="J63" s="2"/>
      <c r="K63" s="19"/>
      <c r="L63">
        <v>61</v>
      </c>
      <c r="M63" s="14">
        <f>C81</f>
        <v>1.307749864950517</v>
      </c>
      <c r="N63" s="14">
        <f>C14+1*(C41-(1-I11)*C41)</f>
        <v>1.2852360671876399</v>
      </c>
    </row>
    <row r="64" spans="1:14" x14ac:dyDescent="0.25">
      <c r="A64" t="s">
        <v>32</v>
      </c>
      <c r="C64">
        <f t="shared" si="1"/>
        <v>1</v>
      </c>
      <c r="H64" t="s">
        <v>140</v>
      </c>
      <c r="I64" s="2">
        <v>0.89273135289954697</v>
      </c>
      <c r="K64" s="19"/>
      <c r="L64">
        <v>62</v>
      </c>
      <c r="M64" s="4">
        <f>C62</f>
        <v>1</v>
      </c>
      <c r="N64" s="4">
        <f>(C77+C76)/(C76+C77)*C59</f>
        <v>1.0000000000000115</v>
      </c>
    </row>
    <row r="65" spans="1:14" x14ac:dyDescent="0.25">
      <c r="A65" t="s">
        <v>0</v>
      </c>
      <c r="B65">
        <v>-4.60243</v>
      </c>
      <c r="C65">
        <f t="shared" si="1"/>
        <v>1.0027439437292352E-2</v>
      </c>
      <c r="H65" t="s">
        <v>4</v>
      </c>
      <c r="I65">
        <v>0.09</v>
      </c>
      <c r="K65" s="10" t="s">
        <v>182</v>
      </c>
      <c r="L65">
        <v>63</v>
      </c>
      <c r="M65" s="4">
        <f>(1+C69)</f>
        <v>1.0096584946108587</v>
      </c>
      <c r="N65" s="4">
        <f>(1+I50)^(1-I59)*(1+C69)^I59*((C59/I47)^I45*(C81/C81)^I46)^(1-I59)*(1+I66)</f>
        <v>1.0096584946108644</v>
      </c>
    </row>
    <row r="66" spans="1:14" x14ac:dyDescent="0.25">
      <c r="A66" t="s">
        <v>47</v>
      </c>
      <c r="B66">
        <v>-4.2648599999999997</v>
      </c>
      <c r="C66">
        <f t="shared" si="1"/>
        <v>1.4053834532159389E-2</v>
      </c>
      <c r="H66" t="s">
        <v>89</v>
      </c>
      <c r="I66" s="2">
        <v>0</v>
      </c>
      <c r="K66" s="20" t="s">
        <v>184</v>
      </c>
      <c r="L66">
        <v>64</v>
      </c>
      <c r="M66" s="4">
        <f>C25</f>
        <v>1</v>
      </c>
      <c r="N66" s="4">
        <f>1-I55*1+I55*C25+I67</f>
        <v>1</v>
      </c>
    </row>
    <row r="67" spans="1:14" x14ac:dyDescent="0.25">
      <c r="A67" t="s">
        <v>46</v>
      </c>
      <c r="B67">
        <v>-4.2648599999999997</v>
      </c>
      <c r="C67">
        <f t="shared" ref="C67:C81" si="2">EXP(B67)</f>
        <v>1.4053834532159389E-2</v>
      </c>
      <c r="H67" t="s">
        <v>92</v>
      </c>
      <c r="I67" s="2">
        <v>0</v>
      </c>
      <c r="K67" s="21"/>
      <c r="L67">
        <v>65</v>
      </c>
      <c r="M67" s="4">
        <f>C23</f>
        <v>1</v>
      </c>
      <c r="N67" s="4">
        <f>1-I52*1+I52*C3+I68</f>
        <v>1</v>
      </c>
    </row>
    <row r="68" spans="1:14" x14ac:dyDescent="0.25">
      <c r="A68" t="s">
        <v>45</v>
      </c>
      <c r="B68">
        <v>-5.1615700000000002</v>
      </c>
      <c r="C68">
        <f t="shared" si="2"/>
        <v>5.7326922898036613E-3</v>
      </c>
      <c r="H68" t="s">
        <v>80</v>
      </c>
      <c r="I68" s="2">
        <v>0</v>
      </c>
      <c r="K68" s="21"/>
      <c r="L68">
        <v>66</v>
      </c>
      <c r="M68" s="4">
        <f>C3</f>
        <v>1</v>
      </c>
      <c r="N68" s="4">
        <f>1-I53*1+I53*C23+I69</f>
        <v>1</v>
      </c>
    </row>
    <row r="69" spans="1:14" x14ac:dyDescent="0.25">
      <c r="A69" t="s">
        <v>5</v>
      </c>
      <c r="B69">
        <f>LN(I50)</f>
        <v>-4.639917480286857</v>
      </c>
      <c r="C69">
        <f t="shared" si="2"/>
        <v>9.658494610858586E-3</v>
      </c>
      <c r="H69" t="s">
        <v>82</v>
      </c>
      <c r="I69" s="2">
        <v>0</v>
      </c>
      <c r="K69" s="21"/>
      <c r="L69">
        <v>67</v>
      </c>
      <c r="M69" s="4">
        <f>C54</f>
        <v>0.7</v>
      </c>
      <c r="N69" s="4">
        <f>(1-I61)*I39+I61*C54+I70</f>
        <v>0.7</v>
      </c>
    </row>
    <row r="70" spans="1:14" x14ac:dyDescent="0.25">
      <c r="A70" t="s">
        <v>163</v>
      </c>
      <c r="B70">
        <v>-3.0395599999999998</v>
      </c>
      <c r="C70">
        <f>EXP(B70)</f>
        <v>4.7855941476672333E-2</v>
      </c>
      <c r="H70" t="s">
        <v>85</v>
      </c>
      <c r="I70" s="2">
        <v>0</v>
      </c>
      <c r="K70" s="21"/>
      <c r="L70">
        <v>68</v>
      </c>
      <c r="M70" s="4">
        <f>C53</f>
        <v>0.34999999999999992</v>
      </c>
      <c r="N70" s="4">
        <f>(1-I60)*I38+I60*C53+I71</f>
        <v>0.34999999999999992</v>
      </c>
    </row>
    <row r="71" spans="1:14" x14ac:dyDescent="0.25">
      <c r="A71" t="s">
        <v>74</v>
      </c>
      <c r="B71">
        <f>C72</f>
        <v>0.10047061322131151</v>
      </c>
      <c r="C71">
        <f t="shared" si="2"/>
        <v>1.1056911485255654</v>
      </c>
      <c r="H71" t="s">
        <v>84</v>
      </c>
      <c r="I71" s="2">
        <v>0</v>
      </c>
      <c r="K71" s="21"/>
      <c r="L71">
        <v>69</v>
      </c>
      <c r="M71" s="4">
        <f>C57</f>
        <v>1.1263452678672681</v>
      </c>
      <c r="N71" s="4">
        <f>(1-I64)*I42+I64*C57+I72</f>
        <v>1.1263452678672681</v>
      </c>
    </row>
    <row r="72" spans="1:14" x14ac:dyDescent="0.25">
      <c r="A72" t="s">
        <v>40</v>
      </c>
      <c r="B72">
        <v>-2.2978900000000002</v>
      </c>
      <c r="C72">
        <f t="shared" si="2"/>
        <v>0.10047061322131151</v>
      </c>
      <c r="H72" t="s">
        <v>183</v>
      </c>
      <c r="I72" s="2">
        <v>0</v>
      </c>
      <c r="K72" s="21"/>
      <c r="L72">
        <v>70</v>
      </c>
      <c r="M72" s="4">
        <f>C55</f>
        <v>1.1263452678672681</v>
      </c>
      <c r="N72" s="4">
        <f>(1-I62)*I40+I62*C55+I73</f>
        <v>1.1263452678672681</v>
      </c>
    </row>
    <row r="73" spans="1:14" x14ac:dyDescent="0.25">
      <c r="A73" t="s">
        <v>29</v>
      </c>
      <c r="B73">
        <v>-2.5791200000000001</v>
      </c>
      <c r="C73">
        <f t="shared" si="2"/>
        <v>7.5840714494688141E-2</v>
      </c>
      <c r="H73" t="s">
        <v>86</v>
      </c>
      <c r="I73" s="2">
        <v>0</v>
      </c>
      <c r="K73" s="21"/>
      <c r="L73">
        <v>71</v>
      </c>
      <c r="M73" s="4">
        <f>C56</f>
        <v>1.1107351502063272</v>
      </c>
      <c r="N73" s="4">
        <f>(1-I63)*I41+I63*C56+I74</f>
        <v>1.1107351502063272</v>
      </c>
    </row>
    <row r="74" spans="1:14" x14ac:dyDescent="0.25">
      <c r="A74" t="s">
        <v>77</v>
      </c>
      <c r="B74">
        <v>-4.9964500000000003</v>
      </c>
      <c r="C74">
        <f t="shared" si="2"/>
        <v>6.7619092187067289E-3</v>
      </c>
      <c r="H74" t="s">
        <v>87</v>
      </c>
      <c r="I74" s="2">
        <v>0</v>
      </c>
      <c r="K74" s="21"/>
      <c r="L74">
        <v>72</v>
      </c>
      <c r="M74" s="4">
        <f>C24</f>
        <v>1</v>
      </c>
      <c r="N74" s="4">
        <f>1-I54*1+I54*C24+I75</f>
        <v>1</v>
      </c>
    </row>
    <row r="75" spans="1:14" x14ac:dyDescent="0.25">
      <c r="A75" t="s">
        <v>41</v>
      </c>
      <c r="C75">
        <f t="shared" si="2"/>
        <v>1</v>
      </c>
      <c r="H75" t="s">
        <v>90</v>
      </c>
      <c r="I75" s="2">
        <v>0</v>
      </c>
      <c r="K75" s="21"/>
      <c r="L75">
        <v>73</v>
      </c>
      <c r="M75" s="14">
        <f>C28</f>
        <v>6</v>
      </c>
      <c r="N75" s="14">
        <f>(1-I58)*I19+I58*C28+I76</f>
        <v>6</v>
      </c>
    </row>
    <row r="76" spans="1:14" x14ac:dyDescent="0.25">
      <c r="A76" t="s">
        <v>56</v>
      </c>
      <c r="B76">
        <v>-1.7529999999999999</v>
      </c>
      <c r="C76">
        <f t="shared" si="2"/>
        <v>0.17325340282144272</v>
      </c>
      <c r="H76" t="s">
        <v>91</v>
      </c>
      <c r="I76" s="2">
        <v>0</v>
      </c>
      <c r="K76" s="21"/>
      <c r="L76">
        <v>74</v>
      </c>
      <c r="M76" s="14">
        <f>C27</f>
        <v>4.9999999999999991</v>
      </c>
      <c r="N76" s="14">
        <f>(1-I57)*I18+I57*C27+I77</f>
        <v>4.9999999999999991</v>
      </c>
    </row>
    <row r="77" spans="1:14" x14ac:dyDescent="0.25">
      <c r="A77" t="s">
        <v>55</v>
      </c>
      <c r="B77">
        <v>-0.16186300000000001</v>
      </c>
      <c r="C77">
        <f t="shared" si="2"/>
        <v>0.85055772296658494</v>
      </c>
      <c r="H77" t="s">
        <v>83</v>
      </c>
      <c r="I77" s="2">
        <v>0</v>
      </c>
      <c r="K77" s="22"/>
      <c r="L77">
        <v>75</v>
      </c>
      <c r="M77" s="4">
        <f>C26</f>
        <v>1</v>
      </c>
      <c r="N77" s="4">
        <f>1-I56*1+I56*C26+I78</f>
        <v>1</v>
      </c>
    </row>
    <row r="78" spans="1:14" x14ac:dyDescent="0.25">
      <c r="A78" t="s">
        <v>49</v>
      </c>
      <c r="B78">
        <v>0.18232200000000001</v>
      </c>
      <c r="C78">
        <f t="shared" si="2"/>
        <v>1.2000005318473723</v>
      </c>
      <c r="H78" t="s">
        <v>81</v>
      </c>
      <c r="I78" s="2">
        <v>0</v>
      </c>
      <c r="K78" s="20" t="s">
        <v>185</v>
      </c>
      <c r="L78">
        <v>76</v>
      </c>
      <c r="M78" s="4">
        <f>B71</f>
        <v>0.10047061322131151</v>
      </c>
      <c r="N78" s="4">
        <f>C48-I7*C48*(1+C66)/C59</f>
        <v>0.10188171314398353</v>
      </c>
    </row>
    <row r="79" spans="1:14" x14ac:dyDescent="0.25">
      <c r="A79" t="s">
        <v>51</v>
      </c>
      <c r="B79">
        <v>0.26830799999999999</v>
      </c>
      <c r="C79">
        <f t="shared" si="2"/>
        <v>1.307749864950517</v>
      </c>
      <c r="K79" s="21"/>
      <c r="L79">
        <v>77</v>
      </c>
      <c r="M79" s="4">
        <f>B4</f>
        <v>7.5840714494688141E-2</v>
      </c>
      <c r="N79" s="4">
        <f>C42/C5</f>
        <v>8.1435254318368885E-2</v>
      </c>
    </row>
    <row r="80" spans="1:14" x14ac:dyDescent="0.25">
      <c r="A80" t="s">
        <v>38</v>
      </c>
      <c r="B80">
        <v>0.26830799999999999</v>
      </c>
      <c r="C80">
        <f t="shared" si="2"/>
        <v>1.307749864950517</v>
      </c>
      <c r="K80" s="21"/>
      <c r="L80">
        <v>78</v>
      </c>
      <c r="M80" s="4">
        <f>C13</f>
        <v>7.5720609217937588E-3</v>
      </c>
      <c r="N80" s="4">
        <f>C8/(C8+C6)*C67+C6/(C8+C6)*C66-C68</f>
        <v>8.3211422423557259E-3</v>
      </c>
    </row>
    <row r="81" spans="1:14" x14ac:dyDescent="0.25">
      <c r="A81" t="s">
        <v>73</v>
      </c>
      <c r="B81">
        <f>B79</f>
        <v>0.26830799999999999</v>
      </c>
      <c r="C81">
        <f t="shared" si="2"/>
        <v>1.307749864950517</v>
      </c>
      <c r="K81" s="22"/>
      <c r="L81">
        <v>79</v>
      </c>
      <c r="M81" s="4">
        <f>C74</f>
        <v>6.7619092187067289E-3</v>
      </c>
      <c r="N81" s="4">
        <f>0.5*C67+0.5*C66-C68</f>
        <v>8.3211422423557276E-3</v>
      </c>
    </row>
  </sheetData>
  <sortState ref="E2:F15">
    <sortCondition ref="E15"/>
  </sortState>
  <mergeCells count="9">
    <mergeCell ref="K52:K64"/>
    <mergeCell ref="K66:K77"/>
    <mergeCell ref="K78:K81"/>
    <mergeCell ref="K15:K20"/>
    <mergeCell ref="K21:K27"/>
    <mergeCell ref="K28:K29"/>
    <mergeCell ref="K30:K39"/>
    <mergeCell ref="K40:K49"/>
    <mergeCell ref="K50:K51"/>
  </mergeCells>
  <pageMargins left="0.7" right="0.7" top="0.75" bottom="0.75" header="0.3" footer="0.3"/>
  <pageSetup paperSize="9" orientation="portrait" r:id="rId1"/>
  <headerFooter>
    <oddHeader>&amp;R&amp;"Times New Roman"&amp;12&amp;K000000BNR - Uz intern&amp;1#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92"/>
  <sheetViews>
    <sheetView topLeftCell="A48" zoomScale="85" zoomScaleNormal="85" workbookViewId="0">
      <selection activeCell="B56" sqref="B56"/>
    </sheetView>
  </sheetViews>
  <sheetFormatPr defaultRowHeight="15" x14ac:dyDescent="0.25"/>
  <cols>
    <col min="1" max="1" width="16.7109375" bestFit="1" customWidth="1"/>
    <col min="4" max="4" width="4.42578125" customWidth="1"/>
    <col min="7" max="7" width="4.28515625" customWidth="1"/>
    <col min="8" max="8" width="12.5703125" customWidth="1"/>
    <col min="10" max="10" width="3.7109375" customWidth="1"/>
    <col min="13" max="13" width="12.7109375" style="4" bestFit="1" customWidth="1"/>
    <col min="14" max="14" width="9.28515625" style="4" bestFit="1" customWidth="1"/>
  </cols>
  <sheetData>
    <row r="2" spans="1:17" x14ac:dyDescent="0.25">
      <c r="A2" t="s">
        <v>78</v>
      </c>
      <c r="B2" t="s">
        <v>150</v>
      </c>
      <c r="C2" t="s">
        <v>173</v>
      </c>
      <c r="E2" t="s">
        <v>79</v>
      </c>
      <c r="H2" t="s">
        <v>93</v>
      </c>
      <c r="I2" t="s">
        <v>147</v>
      </c>
      <c r="M2" s="4" t="s">
        <v>171</v>
      </c>
      <c r="N2" s="4" t="s">
        <v>172</v>
      </c>
    </row>
    <row r="3" spans="1:17" x14ac:dyDescent="0.25">
      <c r="A3" t="s">
        <v>62</v>
      </c>
      <c r="B3">
        <f>VLOOKUP(A3,Sheet4!B:C,2,0)</f>
        <v>1.26752E-17</v>
      </c>
      <c r="C3">
        <f t="shared" ref="C3:C66" si="0">EXP(B3)</f>
        <v>1</v>
      </c>
      <c r="E3" t="s">
        <v>80</v>
      </c>
      <c r="F3">
        <f xml:space="preserve"> 0.0062^2</f>
        <v>3.8439999999999998E-5</v>
      </c>
      <c r="H3" t="s">
        <v>106</v>
      </c>
      <c r="I3">
        <v>0</v>
      </c>
      <c r="L3">
        <v>1</v>
      </c>
      <c r="M3" s="4">
        <f>B36</f>
        <v>2.9002500000000002</v>
      </c>
      <c r="N3" s="4">
        <f>400*C69</f>
        <v>2.9002430595203874</v>
      </c>
      <c r="O3" t="b">
        <f>M3=initial!M3</f>
        <v>0</v>
      </c>
      <c r="P3" t="b">
        <f>N3=initial!N3</f>
        <v>0</v>
      </c>
      <c r="Q3" s="4">
        <f t="shared" ref="Q3:Q66" si="1">N3-M3</f>
        <v>-6.9404796128047508E-6</v>
      </c>
    </row>
    <row r="4" spans="1:17" x14ac:dyDescent="0.25">
      <c r="A4" t="s">
        <v>75</v>
      </c>
      <c r="B4">
        <f>VLOOKUP(A4,Sheet4!B:C,2,0)</f>
        <v>0.16286600000000001</v>
      </c>
      <c r="C4">
        <f t="shared" si="0"/>
        <v>1.1768789773390123</v>
      </c>
      <c r="E4" t="s">
        <v>81</v>
      </c>
      <c r="F4">
        <f xml:space="preserve"> 0.05^2</f>
        <v>2.5000000000000005E-3</v>
      </c>
      <c r="H4" t="s">
        <v>104</v>
      </c>
      <c r="I4" s="2">
        <v>0.86700376630640397</v>
      </c>
      <c r="J4" s="2"/>
      <c r="L4">
        <v>2</v>
      </c>
      <c r="M4" s="4">
        <f>B35</f>
        <v>7.9653400000000003</v>
      </c>
      <c r="N4" s="4">
        <f>400*C67</f>
        <v>7.9653791728616046</v>
      </c>
      <c r="O4" t="e">
        <f>M4=initial!M4</f>
        <v>#REF!</v>
      </c>
      <c r="P4" t="b">
        <f>N4=initial!N4</f>
        <v>0</v>
      </c>
      <c r="Q4" s="4">
        <f t="shared" si="1"/>
        <v>3.9172861604264142E-5</v>
      </c>
    </row>
    <row r="5" spans="1:17" x14ac:dyDescent="0.25">
      <c r="A5" t="s">
        <v>3</v>
      </c>
      <c r="B5">
        <f>VLOOKUP(A5,Sheet4!B:C,2,0)</f>
        <v>3.1572800000000001</v>
      </c>
      <c r="C5">
        <f t="shared" si="0"/>
        <v>23.506571021488853</v>
      </c>
      <c r="E5" t="s">
        <v>82</v>
      </c>
      <c r="F5" s="3">
        <f>0.0658^2</f>
        <v>4.3296400000000001E-3</v>
      </c>
      <c r="H5" t="s">
        <v>105</v>
      </c>
      <c r="I5">
        <v>0</v>
      </c>
      <c r="L5">
        <v>3</v>
      </c>
      <c r="M5" s="4">
        <f>B34</f>
        <v>9.2597100000000001</v>
      </c>
      <c r="N5" s="4">
        <f>400*C66</f>
        <v>9.2597268196756595</v>
      </c>
      <c r="O5" t="e">
        <f>M5=initial!M5</f>
        <v>#REF!</v>
      </c>
      <c r="P5" t="b">
        <f>N5=initial!N5</f>
        <v>0</v>
      </c>
      <c r="Q5" s="4">
        <f t="shared" si="1"/>
        <v>1.6819675659363043E-5</v>
      </c>
    </row>
    <row r="6" spans="1:17" x14ac:dyDescent="0.25">
      <c r="A6" t="s">
        <v>44</v>
      </c>
      <c r="B6">
        <f>VLOOKUP(A6,Sheet4!B:C,2,0)</f>
        <v>3.0725899999999999</v>
      </c>
      <c r="C6">
        <f t="shared" si="0"/>
        <v>21.597768517967843</v>
      </c>
      <c r="E6" t="s">
        <v>83</v>
      </c>
      <c r="F6">
        <f xml:space="preserve"> 0.3721^2</f>
        <v>0.13845840999999998</v>
      </c>
      <c r="H6" t="s">
        <v>100</v>
      </c>
      <c r="I6">
        <v>0.55000000000000004</v>
      </c>
      <c r="L6">
        <v>4</v>
      </c>
      <c r="M6" s="12">
        <f>B32</f>
        <v>5.9447300000000001E-13</v>
      </c>
      <c r="N6" s="4">
        <f>B59*100</f>
        <v>5.9447300000000001E-13</v>
      </c>
      <c r="O6" t="e">
        <f>M6=initial!M6</f>
        <v>#REF!</v>
      </c>
      <c r="P6" t="b">
        <f>N6=initial!N6</f>
        <v>0</v>
      </c>
      <c r="Q6" s="4">
        <f t="shared" si="1"/>
        <v>0</v>
      </c>
    </row>
    <row r="7" spans="1:17" x14ac:dyDescent="0.25">
      <c r="A7" t="s">
        <v>37</v>
      </c>
      <c r="B7">
        <f>VLOOKUP(A7,Sheet4!B:C,2,0)</f>
        <v>3.0725899999999999</v>
      </c>
      <c r="C7">
        <f t="shared" si="0"/>
        <v>21.597768517967843</v>
      </c>
      <c r="E7" t="s">
        <v>84</v>
      </c>
      <c r="F7">
        <f xml:space="preserve"> 0.0034^2</f>
        <v>1.1559999999999999E-5</v>
      </c>
      <c r="H7" t="s">
        <v>98</v>
      </c>
      <c r="I7">
        <f>I8</f>
        <v>0.97499999999999998</v>
      </c>
      <c r="L7">
        <v>5</v>
      </c>
      <c r="M7" s="4">
        <f>B52</f>
        <v>64.6554</v>
      </c>
      <c r="N7" s="4">
        <f>B12*100</f>
        <v>64.6554</v>
      </c>
      <c r="O7" t="b">
        <f>M7=initial!M7</f>
        <v>0</v>
      </c>
      <c r="P7" t="b">
        <f>N7=initial!N7</f>
        <v>0</v>
      </c>
      <c r="Q7" s="4">
        <f t="shared" si="1"/>
        <v>0</v>
      </c>
    </row>
    <row r="8" spans="1:17" x14ac:dyDescent="0.25">
      <c r="A8" t="s">
        <v>43</v>
      </c>
      <c r="B8">
        <f>VLOOKUP(A8,Sheet4!B:C,2,0)</f>
        <v>0.64655399999999996</v>
      </c>
      <c r="C8">
        <f t="shared" si="0"/>
        <v>1.9089512357072858</v>
      </c>
      <c r="E8" t="s">
        <v>85</v>
      </c>
      <c r="F8">
        <f xml:space="preserve"> 0.0023^2</f>
        <v>5.2900000000000002E-6</v>
      </c>
      <c r="H8" t="s">
        <v>96</v>
      </c>
      <c r="I8">
        <v>0.97499999999999998</v>
      </c>
      <c r="L8">
        <v>6</v>
      </c>
      <c r="M8" s="4">
        <f>B51</f>
        <v>307.25900000000001</v>
      </c>
      <c r="N8" s="4">
        <f>B11*100</f>
        <v>307.25900000000001</v>
      </c>
      <c r="O8" t="e">
        <f>M8=initial!M8</f>
        <v>#REF!</v>
      </c>
      <c r="P8" t="b">
        <f>N8=initial!N8</f>
        <v>0</v>
      </c>
      <c r="Q8" s="4">
        <f t="shared" si="1"/>
        <v>0</v>
      </c>
    </row>
    <row r="9" spans="1:17" x14ac:dyDescent="0.25">
      <c r="A9" t="s">
        <v>26</v>
      </c>
      <c r="B9">
        <f>VLOOKUP(A9,Sheet4!B:C,2,0)</f>
        <v>0.64655399999999996</v>
      </c>
      <c r="C9">
        <f t="shared" si="0"/>
        <v>1.9089512357072858</v>
      </c>
      <c r="E9" t="s">
        <v>86</v>
      </c>
      <c r="F9">
        <f xml:space="preserve"> 0.1454^2</f>
        <v>2.1141159999999999E-2</v>
      </c>
      <c r="H9" t="s">
        <v>8</v>
      </c>
      <c r="I9">
        <v>0.99629999999999996</v>
      </c>
      <c r="L9">
        <v>7</v>
      </c>
      <c r="M9" s="4">
        <f>B58</f>
        <v>221.56100000000001</v>
      </c>
      <c r="N9" s="4">
        <f>B81*100</f>
        <v>221.56099999999998</v>
      </c>
      <c r="O9" t="b">
        <f>M9=initial!M9</f>
        <v>0</v>
      </c>
      <c r="P9" t="b">
        <f>N9=initial!N9</f>
        <v>0</v>
      </c>
      <c r="Q9" s="4">
        <f t="shared" si="1"/>
        <v>0</v>
      </c>
    </row>
    <row r="10" spans="1:17" x14ac:dyDescent="0.25">
      <c r="A10" t="s">
        <v>162</v>
      </c>
      <c r="B10">
        <f>VLOOKUP(A10,Sheet4!B:C,2,0)</f>
        <v>134.245</v>
      </c>
      <c r="C10">
        <f t="shared" si="0"/>
        <v>2.0038385304434076E+58</v>
      </c>
      <c r="E10" t="s">
        <v>87</v>
      </c>
      <c r="F10">
        <f xml:space="preserve"> 0.0051^2</f>
        <v>2.6010000000000003E-5</v>
      </c>
      <c r="H10" t="s">
        <v>118</v>
      </c>
      <c r="I10">
        <f>I50/I65*(I17-I14+I65*I17*(I14-1))/((I14*-1)*(I17-1))</f>
        <v>-9.7736039717428072E-2</v>
      </c>
      <c r="L10">
        <v>8</v>
      </c>
      <c r="M10" s="4">
        <f>B18</f>
        <v>177.73099999999999</v>
      </c>
      <c r="N10" s="4">
        <f>B14*100</f>
        <v>177.73099999999999</v>
      </c>
      <c r="O10" t="e">
        <f>M10=initial!M10</f>
        <v>#REF!</v>
      </c>
      <c r="P10" t="b">
        <f>N10=initial!N10</f>
        <v>0</v>
      </c>
      <c r="Q10" s="4">
        <f t="shared" si="1"/>
        <v>0</v>
      </c>
    </row>
    <row r="11" spans="1:17" x14ac:dyDescent="0.25">
      <c r="A11" t="s">
        <v>53</v>
      </c>
      <c r="B11">
        <f>VLOOKUP(A11,Sheet4!B:C,2,0)</f>
        <v>3.0725899999999999</v>
      </c>
      <c r="C11">
        <f t="shared" si="0"/>
        <v>21.597768517967843</v>
      </c>
      <c r="E11" t="s">
        <v>88</v>
      </c>
      <c r="F11">
        <f xml:space="preserve"> 0.0488^2</f>
        <v>2.3814400000000003E-3</v>
      </c>
      <c r="H11" t="s">
        <v>148</v>
      </c>
      <c r="I11">
        <v>4.9000000000000002E-2</v>
      </c>
      <c r="L11">
        <v>9</v>
      </c>
      <c r="M11" s="4">
        <f>B37</f>
        <v>117.96</v>
      </c>
      <c r="N11" s="4">
        <f>B31*100</f>
        <v>117.96</v>
      </c>
      <c r="O11" t="e">
        <f>M11=initial!M11</f>
        <v>#REF!</v>
      </c>
      <c r="P11" t="b">
        <f>N11=initial!N11</f>
        <v>0</v>
      </c>
      <c r="Q11" s="4">
        <f t="shared" si="1"/>
        <v>0</v>
      </c>
    </row>
    <row r="12" spans="1:17" x14ac:dyDescent="0.25">
      <c r="A12" t="s">
        <v>54</v>
      </c>
      <c r="B12">
        <f>VLOOKUP(A12,Sheet4!B:C,2,0)</f>
        <v>0.64655399999999996</v>
      </c>
      <c r="C12">
        <f t="shared" si="0"/>
        <v>1.9089512357072858</v>
      </c>
      <c r="E12" t="s">
        <v>90</v>
      </c>
      <c r="F12">
        <f xml:space="preserve"> 0.0128^2</f>
        <v>1.6384E-4</v>
      </c>
      <c r="H12" t="s">
        <v>101</v>
      </c>
      <c r="I12">
        <f>I51</f>
        <v>8.3122659951666678E-2</v>
      </c>
      <c r="L12">
        <v>10</v>
      </c>
      <c r="M12" s="4">
        <f>B22</f>
        <v>297.95100000000002</v>
      </c>
      <c r="N12" s="4">
        <f>B19*100</f>
        <v>297.95099999999996</v>
      </c>
      <c r="O12" t="e">
        <f>M12=initial!M12</f>
        <v>#REF!</v>
      </c>
      <c r="P12" t="b">
        <f>N12=initial!N12</f>
        <v>0</v>
      </c>
      <c r="Q12" s="4">
        <f t="shared" si="1"/>
        <v>0</v>
      </c>
    </row>
    <row r="13" spans="1:17" x14ac:dyDescent="0.25">
      <c r="A13" t="s">
        <v>76</v>
      </c>
      <c r="B13">
        <f>VLOOKUP(A13,Sheet4!B:C,2,0)</f>
        <v>-3.9542600000000001</v>
      </c>
      <c r="C13">
        <f t="shared" si="0"/>
        <v>1.9172851211307834E-2</v>
      </c>
      <c r="E13" t="s">
        <v>89</v>
      </c>
      <c r="F13">
        <f xml:space="preserve"> 0.0018^2</f>
        <v>3.2399999999999999E-6</v>
      </c>
      <c r="H13" t="s">
        <v>102</v>
      </c>
      <c r="I13">
        <f>0.1*I12</f>
        <v>8.3122659951666688E-3</v>
      </c>
      <c r="L13">
        <v>11</v>
      </c>
      <c r="M13" s="4">
        <f>B33</f>
        <v>1.4855</v>
      </c>
      <c r="N13" s="4">
        <f>400*C68</f>
        <v>1.4854897964140101</v>
      </c>
      <c r="O13" t="e">
        <f>M13=initial!M13</f>
        <v>#REF!</v>
      </c>
      <c r="P13" t="b">
        <f>N13=initial!N13</f>
        <v>0</v>
      </c>
      <c r="Q13" s="4">
        <f t="shared" si="1"/>
        <v>-1.0203585989909669E-5</v>
      </c>
    </row>
    <row r="14" spans="1:17" x14ac:dyDescent="0.25">
      <c r="A14" t="s">
        <v>50</v>
      </c>
      <c r="B14">
        <f>VLOOKUP(A14,Sheet4!B:C,2,0)</f>
        <v>1.7773099999999999</v>
      </c>
      <c r="C14">
        <f t="shared" si="0"/>
        <v>5.9139265401175312</v>
      </c>
      <c r="E14" t="s">
        <v>91</v>
      </c>
      <c r="F14">
        <f xml:space="preserve"> 1.0099^2</f>
        <v>1.0198980100000001</v>
      </c>
      <c r="H14" t="s">
        <v>149</v>
      </c>
      <c r="I14">
        <f>AVERAGE(I15:I16)</f>
        <v>1.8877930564999998</v>
      </c>
      <c r="L14">
        <v>12</v>
      </c>
      <c r="M14" s="4">
        <f>B10</f>
        <v>134.245</v>
      </c>
      <c r="N14" s="4">
        <f>100*B42</f>
        <v>134.245</v>
      </c>
      <c r="O14" t="e">
        <f>M14=initial!M14</f>
        <v>#REF!</v>
      </c>
      <c r="P14" t="b">
        <f>N14=initial!N14</f>
        <v>0</v>
      </c>
      <c r="Q14" s="4">
        <f t="shared" si="1"/>
        <v>0</v>
      </c>
    </row>
    <row r="15" spans="1:17" x14ac:dyDescent="0.25">
      <c r="A15" t="s">
        <v>33</v>
      </c>
      <c r="B15">
        <f>VLOOKUP(A15,Sheet4!B:C,2,0)</f>
        <v>0.13846</v>
      </c>
      <c r="C15">
        <f t="shared" si="0"/>
        <v>1.1485037405017433</v>
      </c>
      <c r="E15" t="s">
        <v>92</v>
      </c>
      <c r="F15">
        <f xml:space="preserve"> 0.0144^2</f>
        <v>2.0735999999999999E-4</v>
      </c>
      <c r="H15" t="s">
        <v>113</v>
      </c>
      <c r="I15">
        <v>1.4073828559999999</v>
      </c>
      <c r="K15" s="23" t="s">
        <v>174</v>
      </c>
      <c r="L15">
        <v>13</v>
      </c>
      <c r="M15" s="4">
        <f>(1-I4)*C25/(C17-I4*C17)</f>
        <v>0.2234159496196616</v>
      </c>
      <c r="N15" s="4">
        <f>C50</f>
        <v>0.2234159496196616</v>
      </c>
      <c r="O15" t="b">
        <f>M15=initial!M15</f>
        <v>0</v>
      </c>
      <c r="P15" t="b">
        <f>N15=initial!N15</f>
        <v>0</v>
      </c>
      <c r="Q15" s="4">
        <f t="shared" si="1"/>
        <v>0</v>
      </c>
    </row>
    <row r="16" spans="1:17" x14ac:dyDescent="0.25">
      <c r="A16" t="s">
        <v>24</v>
      </c>
      <c r="B16">
        <f>VLOOKUP(A16,Sheet4!B:C,2,0)</f>
        <v>-1.23969</v>
      </c>
      <c r="C16">
        <f t="shared" si="0"/>
        <v>0.28947394095296036</v>
      </c>
      <c r="H16" t="s">
        <v>12</v>
      </c>
      <c r="I16">
        <v>2.3682032569999998</v>
      </c>
      <c r="K16" s="24"/>
      <c r="L16">
        <v>14</v>
      </c>
      <c r="M16" s="4">
        <f>I30*C23/C30-C50*C63+C50*C63*I9</f>
        <v>-1.042304219822654E-6</v>
      </c>
      <c r="N16" s="4">
        <v>0</v>
      </c>
      <c r="O16" t="b">
        <f>M16=initial!M16</f>
        <v>0</v>
      </c>
      <c r="P16" t="b">
        <f>N16=initial!N16</f>
        <v>1</v>
      </c>
      <c r="Q16" s="4">
        <f t="shared" si="1"/>
        <v>1.042304219822654E-6</v>
      </c>
    </row>
    <row r="17" spans="1:18" x14ac:dyDescent="0.25">
      <c r="A17" t="s">
        <v>16</v>
      </c>
      <c r="B17">
        <f>VLOOKUP(A17,Sheet4!B:C,2,0)</f>
        <v>1.4987200000000001</v>
      </c>
      <c r="C17">
        <f t="shared" si="0"/>
        <v>4.4759561781617556</v>
      </c>
      <c r="H17" t="s">
        <v>9</v>
      </c>
      <c r="I17">
        <v>-0.32374204699999998</v>
      </c>
      <c r="K17" s="24"/>
      <c r="L17">
        <v>15</v>
      </c>
      <c r="M17" s="4">
        <f>C50</f>
        <v>0.2234159496196616</v>
      </c>
      <c r="N17" s="4">
        <f>I9*C50*(1+C68)/C59</f>
        <v>0.22341594598030787</v>
      </c>
      <c r="O17" t="b">
        <f>M17=initial!M17</f>
        <v>0</v>
      </c>
      <c r="P17" t="b">
        <f>N17=initial!N17</f>
        <v>0</v>
      </c>
      <c r="Q17" s="4">
        <f t="shared" si="1"/>
        <v>-3.6393537350409844E-9</v>
      </c>
    </row>
    <row r="18" spans="1:18" x14ac:dyDescent="0.25">
      <c r="A18" t="s">
        <v>158</v>
      </c>
      <c r="B18">
        <f>VLOOKUP(A18,Sheet4!B:C,2,0)</f>
        <v>177.73099999999999</v>
      </c>
      <c r="C18">
        <f t="shared" si="0"/>
        <v>1.5402547725427687E+77</v>
      </c>
      <c r="H18" t="s">
        <v>111</v>
      </c>
      <c r="I18">
        <v>5</v>
      </c>
      <c r="K18" s="24"/>
      <c r="L18">
        <v>16</v>
      </c>
      <c r="M18" s="4">
        <f>(1-C27)*C46+C46^(1+I44)/C77*C27/C50-I37*(C61-C59^I29*I47^(1-I29))*C61+I9*C50/C50*I37*(C61-C59^I29*I47^(1-I29))*C61^2/C59</f>
        <v>-1.1195432739856344E-6</v>
      </c>
      <c r="N18" s="4">
        <v>0</v>
      </c>
      <c r="O18" t="b">
        <f>M18=initial!M18</f>
        <v>0</v>
      </c>
      <c r="P18" t="b">
        <f>N18=initial!N18</f>
        <v>1</v>
      </c>
      <c r="Q18" s="4">
        <f t="shared" si="1"/>
        <v>1.1195432739856344E-6</v>
      </c>
    </row>
    <row r="19" spans="1:18" x14ac:dyDescent="0.25">
      <c r="A19" t="s">
        <v>52</v>
      </c>
      <c r="B19">
        <f>VLOOKUP(A19,Sheet4!B:C,2,0)</f>
        <v>2.9795099999999999</v>
      </c>
      <c r="C19">
        <f t="shared" si="0"/>
        <v>19.678171977742856</v>
      </c>
      <c r="H19" t="s">
        <v>120</v>
      </c>
      <c r="I19">
        <v>6</v>
      </c>
      <c r="K19" s="24"/>
      <c r="L19">
        <v>17</v>
      </c>
      <c r="M19" s="4">
        <f>C61</f>
        <v>1.000000000000006</v>
      </c>
      <c r="N19" s="4">
        <f>C77/C77*C59</f>
        <v>1.000000000000006</v>
      </c>
      <c r="O19" t="b">
        <f>M19=initial!M19</f>
        <v>0</v>
      </c>
      <c r="P19" t="b">
        <f>N19=initial!N19</f>
        <v>1</v>
      </c>
      <c r="Q19" s="4">
        <f t="shared" si="1"/>
        <v>0</v>
      </c>
    </row>
    <row r="20" spans="1:18" x14ac:dyDescent="0.25">
      <c r="A20" t="s">
        <v>42</v>
      </c>
      <c r="B20">
        <f>VLOOKUP(A20,Sheet4!B:C,2,0)</f>
        <v>2.9795099999999999</v>
      </c>
      <c r="C20">
        <f t="shared" si="0"/>
        <v>19.678171977742856</v>
      </c>
      <c r="H20" t="s">
        <v>178</v>
      </c>
      <c r="I20">
        <v>1</v>
      </c>
      <c r="K20" s="25"/>
      <c r="L20">
        <v>18</v>
      </c>
      <c r="M20" s="4">
        <f>C17+C63*(C30-C30)+C21</f>
        <v>24.154128155904612</v>
      </c>
      <c r="N20" s="4">
        <f>C46*C77+(1+C68)*C21/C59+C40/I23</f>
        <v>24.154128142392064</v>
      </c>
      <c r="O20" t="b">
        <f>M20=initial!M20</f>
        <v>0</v>
      </c>
      <c r="P20" t="b">
        <f>N20=initial!N20</f>
        <v>0</v>
      </c>
      <c r="Q20" s="4">
        <f t="shared" si="1"/>
        <v>-1.3512547525351692E-8</v>
      </c>
    </row>
    <row r="21" spans="1:18" x14ac:dyDescent="0.25">
      <c r="A21" t="s">
        <v>18</v>
      </c>
      <c r="B21">
        <f>VLOOKUP(A21,Sheet4!B:C,2,0)</f>
        <v>2.9795099999999999</v>
      </c>
      <c r="C21">
        <f t="shared" si="0"/>
        <v>19.678171977742856</v>
      </c>
      <c r="H21" t="s">
        <v>109</v>
      </c>
      <c r="I21">
        <v>1</v>
      </c>
      <c r="K21" s="20" t="s">
        <v>175</v>
      </c>
      <c r="L21">
        <v>19</v>
      </c>
      <c r="M21" s="4">
        <f>(1-I4)*C25/(C16-C16*I4)</f>
        <v>3.4545423906136716</v>
      </c>
      <c r="N21" s="4">
        <f>C49</f>
        <v>3.4545423906136699</v>
      </c>
      <c r="O21" t="b">
        <f>M21=initial!M21</f>
        <v>0</v>
      </c>
      <c r="P21" t="b">
        <f>N21=initial!N21</f>
        <v>0</v>
      </c>
      <c r="Q21" s="4">
        <f t="shared" si="1"/>
        <v>0</v>
      </c>
    </row>
    <row r="22" spans="1:18" x14ac:dyDescent="0.25">
      <c r="A22" t="s">
        <v>160</v>
      </c>
      <c r="B22">
        <f>VLOOKUP(A22,Sheet4!B:C,2,0)</f>
        <v>297.95100000000002</v>
      </c>
      <c r="C22">
        <f t="shared" si="0"/>
        <v>2.5030825786323655E+129</v>
      </c>
      <c r="H22" t="s">
        <v>108</v>
      </c>
      <c r="I22">
        <v>1</v>
      </c>
      <c r="K22" s="21"/>
      <c r="L22">
        <v>20</v>
      </c>
      <c r="M22" s="4">
        <f>I30*C23/C29-C49*C63+I8*C49*C63+C73*C63*C54*C59</f>
        <v>-7.8821003569373715E-5</v>
      </c>
      <c r="N22" s="4">
        <v>0</v>
      </c>
      <c r="O22" t="b">
        <f>M22=initial!M22</f>
        <v>0</v>
      </c>
      <c r="P22" t="b">
        <f>N22=initial!N22</f>
        <v>1</v>
      </c>
      <c r="Q22" s="4">
        <f t="shared" si="1"/>
        <v>7.8821003569373715E-5</v>
      </c>
    </row>
    <row r="23" spans="1:18" x14ac:dyDescent="0.25">
      <c r="A23" t="s">
        <v>63</v>
      </c>
      <c r="B23">
        <f>VLOOKUP(A23,Sheet4!B:C,2,0)</f>
        <v>-2.7512200000000001E-16</v>
      </c>
      <c r="C23">
        <f t="shared" si="0"/>
        <v>0.99999999999999978</v>
      </c>
      <c r="H23" t="s">
        <v>107</v>
      </c>
      <c r="I23">
        <v>1</v>
      </c>
      <c r="K23" s="21"/>
      <c r="L23">
        <v>21</v>
      </c>
      <c r="M23" s="4">
        <f>C49-I8*C49*(1+C67)/C59</f>
        <v>1.9291505991080093E-2</v>
      </c>
      <c r="N23" s="4">
        <f>C73*(1+C67)</f>
        <v>1.9291856188374663E-2</v>
      </c>
      <c r="O23" t="b">
        <f>M23=initial!M23</f>
        <v>0</v>
      </c>
      <c r="P23" t="b">
        <f>N23=initial!N23</f>
        <v>0</v>
      </c>
      <c r="Q23" s="4">
        <f t="shared" si="1"/>
        <v>3.5019729456922666E-7</v>
      </c>
    </row>
    <row r="24" spans="1:18" x14ac:dyDescent="0.25">
      <c r="A24" t="s">
        <v>67</v>
      </c>
      <c r="B24">
        <f>VLOOKUP(A24,Sheet4!B:C,2,0)</f>
        <v>-1.8820600000000001E-16</v>
      </c>
      <c r="C24">
        <f t="shared" si="0"/>
        <v>0.99999999999999978</v>
      </c>
      <c r="H24" t="s">
        <v>103</v>
      </c>
      <c r="I24">
        <v>1</v>
      </c>
      <c r="K24" s="21"/>
      <c r="L24">
        <v>22</v>
      </c>
      <c r="M24" s="4">
        <f>(1-C27)*C44+C44^(1+I44)/C76*C27/C49-I37*(C60-C59^I29*I47^(1-I29))*C60+I8*C49/C49*I37*(C60-C59^I29*I47^(1-I29))*C60^2/C59</f>
        <v>1.0423992618637308E-5</v>
      </c>
      <c r="N24" s="4">
        <v>0</v>
      </c>
      <c r="O24" t="b">
        <f>M24=initial!M24</f>
        <v>0</v>
      </c>
      <c r="P24" t="b">
        <f>N24=initial!N24</f>
        <v>1</v>
      </c>
      <c r="Q24" s="4">
        <f t="shared" si="1"/>
        <v>-1.0423992618637308E-5</v>
      </c>
    </row>
    <row r="25" spans="1:18" x14ac:dyDescent="0.25">
      <c r="A25" t="s">
        <v>61</v>
      </c>
      <c r="B25">
        <f>VLOOKUP(A25,Sheet4!B:C,2,0)</f>
        <v>1.27738E-16</v>
      </c>
      <c r="C25">
        <f t="shared" si="0"/>
        <v>1.0000000000000002</v>
      </c>
      <c r="H25" t="s">
        <v>129</v>
      </c>
      <c r="I25">
        <v>0</v>
      </c>
      <c r="K25" s="21"/>
      <c r="L25">
        <v>23</v>
      </c>
      <c r="M25" s="4">
        <f>C60</f>
        <v>1.000000000000006</v>
      </c>
      <c r="N25" s="4">
        <f>C76/C76*C59</f>
        <v>1.000000000000006</v>
      </c>
      <c r="O25" t="b">
        <f>M25=initial!M25</f>
        <v>0</v>
      </c>
      <c r="P25" t="b">
        <f>N25=initial!N25</f>
        <v>1</v>
      </c>
      <c r="Q25" s="4">
        <f t="shared" si="1"/>
        <v>0</v>
      </c>
    </row>
    <row r="26" spans="1:18" x14ac:dyDescent="0.25">
      <c r="A26" t="s">
        <v>72</v>
      </c>
      <c r="B26">
        <f>VLOOKUP(A26,Sheet4!B:C,2,0)</f>
        <v>-5.20552E-18</v>
      </c>
      <c r="C26">
        <f t="shared" si="0"/>
        <v>1</v>
      </c>
      <c r="H26" t="s">
        <v>130</v>
      </c>
      <c r="I26">
        <v>0</v>
      </c>
      <c r="K26" s="21"/>
      <c r="L26">
        <v>24</v>
      </c>
      <c r="M26" s="4">
        <f>C16+C63*(C29-C29)+(1+C67)*C9/C59</f>
        <v>2.2364389776975129</v>
      </c>
      <c r="N26" s="4">
        <f>C76*C44+C9</f>
        <v>2.2364379145577007</v>
      </c>
      <c r="O26" t="b">
        <f>M26=initial!M26</f>
        <v>0</v>
      </c>
      <c r="P26" t="b">
        <f>N26=initial!N26</f>
        <v>0</v>
      </c>
      <c r="Q26" s="4">
        <f t="shared" si="1"/>
        <v>-1.0631398121851987E-6</v>
      </c>
    </row>
    <row r="27" spans="1:18" x14ac:dyDescent="0.25">
      <c r="A27" t="s">
        <v>71</v>
      </c>
      <c r="B27">
        <f>VLOOKUP(A27,Sheet4!B:C,2,0)</f>
        <v>1.60944</v>
      </c>
      <c r="C27">
        <f t="shared" si="0"/>
        <v>5.0000104378403929</v>
      </c>
      <c r="H27" t="s">
        <v>128</v>
      </c>
      <c r="I27">
        <v>0</v>
      </c>
      <c r="J27" s="2"/>
      <c r="K27" s="22"/>
      <c r="L27">
        <v>25</v>
      </c>
      <c r="M27" s="4">
        <f>(1+C67)*C9</f>
        <v>1.9469650367445641</v>
      </c>
      <c r="N27" s="4">
        <f>C54*C63*C29*C59</f>
        <v>1.9469810628106556</v>
      </c>
      <c r="O27" t="b">
        <f>M27=initial!M27</f>
        <v>0</v>
      </c>
      <c r="P27" t="b">
        <f>N27=initial!N27</f>
        <v>0</v>
      </c>
      <c r="Q27" s="4">
        <f t="shared" si="1"/>
        <v>1.6026066091523461E-5</v>
      </c>
    </row>
    <row r="28" spans="1:18" x14ac:dyDescent="0.25">
      <c r="A28" t="s">
        <v>70</v>
      </c>
      <c r="B28">
        <f>VLOOKUP(A28,Sheet4!B:C,2,0)</f>
        <v>1.79176</v>
      </c>
      <c r="C28">
        <f t="shared" si="0"/>
        <v>6.000003184632515</v>
      </c>
      <c r="H28" t="s">
        <v>122</v>
      </c>
      <c r="I28" s="2">
        <v>0.158112794106546</v>
      </c>
      <c r="J28" s="2"/>
      <c r="K28" s="20" t="s">
        <v>176</v>
      </c>
      <c r="L28">
        <v>26</v>
      </c>
      <c r="M28" s="14">
        <f>C41</f>
        <v>66.389572268462302</v>
      </c>
      <c r="N28" s="14">
        <f>(1-I11)*C41+(1-I34/2*(C31*C24/C31-1)^2)*C31</f>
        <v>66.389555940831386</v>
      </c>
      <c r="O28" t="b">
        <f>M28=initial!M28</f>
        <v>0</v>
      </c>
      <c r="P28" t="b">
        <f>N28=initial!N28</f>
        <v>0</v>
      </c>
      <c r="Q28" s="4">
        <f t="shared" si="1"/>
        <v>-1.6327630916634917E-5</v>
      </c>
    </row>
    <row r="29" spans="1:18" x14ac:dyDescent="0.25">
      <c r="A29" t="s">
        <v>25</v>
      </c>
      <c r="B29">
        <f>VLOOKUP(A29,Sheet4!B:C,2,0)</f>
        <v>-4.4912099999999997</v>
      </c>
      <c r="C29">
        <f t="shared" si="0"/>
        <v>1.1207075041339781E-2</v>
      </c>
      <c r="H29" t="s">
        <v>123</v>
      </c>
      <c r="I29" s="11">
        <v>0.30019780401748902</v>
      </c>
      <c r="K29" s="22"/>
      <c r="L29">
        <v>27</v>
      </c>
      <c r="M29" s="4">
        <v>1</v>
      </c>
      <c r="N29" s="4">
        <f>C64*(1-I34/2*(C31/C31*C24-1)^2-I34*(C31/C31*C24-1)*C31/C31*C24)+I7*C48/C48*C64*I34*(C31/C31*C24-1)*C24*C31/C31</f>
        <v>1.0000000000000002</v>
      </c>
      <c r="O29" t="b">
        <f>M29=initial!M29</f>
        <v>1</v>
      </c>
      <c r="P29" t="b">
        <f>N29=initial!N29</f>
        <v>1</v>
      </c>
      <c r="Q29" s="4">
        <f t="shared" si="1"/>
        <v>0</v>
      </c>
    </row>
    <row r="30" spans="1:18" x14ac:dyDescent="0.25">
      <c r="A30" t="s">
        <v>17</v>
      </c>
      <c r="B30">
        <f>VLOOKUP(A30,Sheet4!B:C,2,0)</f>
        <v>-1.12703E-2</v>
      </c>
      <c r="C30">
        <f t="shared" si="0"/>
        <v>0.98879297191016602</v>
      </c>
      <c r="H30" t="s">
        <v>94</v>
      </c>
      <c r="I30">
        <v>0.2</v>
      </c>
      <c r="J30" s="2"/>
      <c r="K30" s="20" t="s">
        <v>177</v>
      </c>
      <c r="L30">
        <v>28</v>
      </c>
      <c r="M30" s="4">
        <f>(1-I4)/(C15-I4*C15)</f>
        <v>0.87069807849570713</v>
      </c>
      <c r="N30" s="4">
        <f>C48</f>
        <v>0.87069807849570691</v>
      </c>
      <c r="O30" t="b">
        <f>M30=initial!M30</f>
        <v>0</v>
      </c>
      <c r="P30" t="b">
        <f>N30=initial!N30</f>
        <v>0</v>
      </c>
      <c r="Q30" s="4">
        <f t="shared" si="1"/>
        <v>0</v>
      </c>
    </row>
    <row r="31" spans="1:18" x14ac:dyDescent="0.25">
      <c r="A31" t="s">
        <v>31</v>
      </c>
      <c r="B31">
        <f>VLOOKUP(A31,Sheet4!B:C,2,0)</f>
        <v>1.1796</v>
      </c>
      <c r="C31">
        <f t="shared" si="0"/>
        <v>3.2530727135237414</v>
      </c>
      <c r="H31" t="s">
        <v>126</v>
      </c>
      <c r="I31" s="2">
        <v>7.9800595904463698</v>
      </c>
      <c r="J31" s="2"/>
      <c r="K31" s="21"/>
      <c r="L31">
        <v>29</v>
      </c>
      <c r="M31" s="14">
        <f>C72*C53*C64*C59*(1-I11)+I7*C48*(C64*(1-I11)+C70*C75)-(I12*(C75-1)+I13/2*(C75-1)^2)</f>
        <v>0.87419558667410269</v>
      </c>
      <c r="N31" s="14">
        <f>C48*C64</f>
        <v>0.87069807849570713</v>
      </c>
      <c r="O31" t="b">
        <f>M31=initial!M31</f>
        <v>0</v>
      </c>
      <c r="P31" t="b">
        <f>N31=initial!N31</f>
        <v>0</v>
      </c>
      <c r="Q31" s="4">
        <f t="shared" si="1"/>
        <v>-3.4975081783955586E-3</v>
      </c>
      <c r="R31" s="4"/>
    </row>
    <row r="32" spans="1:18" x14ac:dyDescent="0.25">
      <c r="A32" t="s">
        <v>154</v>
      </c>
      <c r="B32">
        <f>VLOOKUP(A32,Sheet4!B:C,2,0)</f>
        <v>5.9447300000000001E-13</v>
      </c>
      <c r="C32">
        <f t="shared" si="0"/>
        <v>1.0000000000005944</v>
      </c>
      <c r="H32" t="s">
        <v>127</v>
      </c>
      <c r="I32" s="2">
        <v>9.0442671874948193</v>
      </c>
      <c r="J32" s="2"/>
      <c r="K32" s="21"/>
      <c r="L32">
        <v>30</v>
      </c>
      <c r="M32" s="14">
        <f>C77</f>
        <v>3.1694878077744146</v>
      </c>
      <c r="N32" s="14">
        <f>I43*(1-I6)*C80/(C78*C47)</f>
        <v>2.8173309143221563</v>
      </c>
      <c r="O32" t="b">
        <f>M32=initial!M32</f>
        <v>0</v>
      </c>
      <c r="P32" t="b">
        <f>N32=initial!N32</f>
        <v>0</v>
      </c>
      <c r="Q32" s="4">
        <f>N32-M32</f>
        <v>-0.35215689345225831</v>
      </c>
    </row>
    <row r="33" spans="1:17" x14ac:dyDescent="0.25">
      <c r="A33" t="s">
        <v>161</v>
      </c>
      <c r="B33">
        <f>VLOOKUP(A33,Sheet4!B:C,2,0)</f>
        <v>1.4855</v>
      </c>
      <c r="C33">
        <f t="shared" si="0"/>
        <v>4.4171734474476336</v>
      </c>
      <c r="H33" t="s">
        <v>125</v>
      </c>
      <c r="I33" s="2">
        <v>2.7753737710421298</v>
      </c>
      <c r="J33" s="2"/>
      <c r="K33" s="21"/>
      <c r="L33">
        <v>31</v>
      </c>
      <c r="M33" s="14">
        <f>C76</f>
        <v>0.33121088224198098</v>
      </c>
      <c r="N33" s="14">
        <f>(1-I43)*(1-I6)*C80/(C78*C45)</f>
        <v>0.66242382514096376</v>
      </c>
      <c r="O33" t="b">
        <f>M33=initial!M33</f>
        <v>0</v>
      </c>
      <c r="P33" t="b">
        <f>N33=initial!N33</f>
        <v>0</v>
      </c>
      <c r="Q33" s="4">
        <f t="shared" si="1"/>
        <v>0.33121294289898279</v>
      </c>
    </row>
    <row r="34" spans="1:17" x14ac:dyDescent="0.25">
      <c r="A34" t="s">
        <v>153</v>
      </c>
      <c r="B34">
        <f>VLOOKUP(A34,Sheet4!B:C,2,0)</f>
        <v>9.2597100000000001</v>
      </c>
      <c r="C34">
        <f t="shared" si="0"/>
        <v>10506.086133647977</v>
      </c>
      <c r="H34" t="s">
        <v>124</v>
      </c>
      <c r="I34" s="2">
        <v>10.030556224800799</v>
      </c>
      <c r="J34" s="2"/>
      <c r="K34" s="21"/>
      <c r="L34">
        <v>32</v>
      </c>
      <c r="M34" s="4">
        <f>C48-C72*(1+C66)</f>
        <v>0.8685827698888311</v>
      </c>
      <c r="N34" s="4">
        <f>I7*C48*(1+C66)/C59</f>
        <v>0.86858279075969547</v>
      </c>
      <c r="O34" t="b">
        <f>M34=initial!M34</f>
        <v>0</v>
      </c>
      <c r="P34" t="b">
        <f>N34=initial!N34</f>
        <v>0</v>
      </c>
      <c r="Q34" s="4">
        <f t="shared" si="1"/>
        <v>2.0870864370081676E-8</v>
      </c>
    </row>
    <row r="35" spans="1:17" x14ac:dyDescent="0.25">
      <c r="A35" t="s">
        <v>152</v>
      </c>
      <c r="B35">
        <f>VLOOKUP(A35,Sheet4!B:C,2,0)</f>
        <v>7.9653400000000003</v>
      </c>
      <c r="C35">
        <f t="shared" si="0"/>
        <v>2879.4080102363041</v>
      </c>
      <c r="H35" t="s">
        <v>119</v>
      </c>
      <c r="I35" s="11">
        <v>8.9148195803466894</v>
      </c>
      <c r="J35" s="2"/>
      <c r="K35" s="21"/>
      <c r="L35">
        <v>33</v>
      </c>
      <c r="M35" s="4">
        <f>C70</f>
        <v>7.3706079010984873E-2</v>
      </c>
      <c r="N35" s="4">
        <f>I12+I13*(C75-1)</f>
        <v>8.1609657165053848E-2</v>
      </c>
      <c r="O35" t="b">
        <f>M35=initial!M35</f>
        <v>0</v>
      </c>
      <c r="P35" t="b">
        <f>N35=initial!N35</f>
        <v>0</v>
      </c>
      <c r="Q35" s="4">
        <f t="shared" si="1"/>
        <v>7.9035781540689742E-3</v>
      </c>
    </row>
    <row r="36" spans="1:17" x14ac:dyDescent="0.25">
      <c r="A36" t="s">
        <v>151</v>
      </c>
      <c r="B36">
        <f>VLOOKUP(A36,Sheet4!B:C,2,0)</f>
        <v>2.9002500000000002</v>
      </c>
      <c r="C36">
        <f t="shared" si="0"/>
        <v>18.178689473774799</v>
      </c>
      <c r="H36" t="s">
        <v>121</v>
      </c>
      <c r="I36" s="2">
        <v>33.770526501639502</v>
      </c>
      <c r="J36" s="2"/>
      <c r="K36" s="21"/>
      <c r="L36">
        <v>34</v>
      </c>
      <c r="M36" s="4">
        <f>C15+(1+C66)*C7/C59+C77*C47+C76*C45+C64*C43+(I12*(C75-1)+I13/2*(C75-1)^2)*C43</f>
        <v>91.915350951252947</v>
      </c>
      <c r="N36" s="4">
        <f>C80/C78+C7+C64*(1-I11)*C43</f>
        <v>92.01175613624639</v>
      </c>
      <c r="O36" t="b">
        <f>M36=initial!M36</f>
        <v>0</v>
      </c>
      <c r="P36" t="b">
        <f>N36=initial!N36</f>
        <v>0</v>
      </c>
      <c r="Q36" s="4">
        <f t="shared" si="1"/>
        <v>9.6405184993443527E-2</v>
      </c>
    </row>
    <row r="37" spans="1:17" x14ac:dyDescent="0.25">
      <c r="A37" t="s">
        <v>159</v>
      </c>
      <c r="B37">
        <f>VLOOKUP(A37,Sheet4!B:C,2,0)</f>
        <v>117.96</v>
      </c>
      <c r="C37">
        <f t="shared" si="0"/>
        <v>1.6958095836981612E+51</v>
      </c>
      <c r="H37" t="s">
        <v>112</v>
      </c>
      <c r="I37" s="2">
        <v>107.352040072465</v>
      </c>
      <c r="K37" s="21"/>
      <c r="L37">
        <v>35</v>
      </c>
      <c r="M37" s="14">
        <f>C80</f>
        <v>8.733009139686656</v>
      </c>
      <c r="N37" s="14">
        <f>C3*(C75*C43)^I6*(C47^I43*C45^(1-I43))^(1-I6)</f>
        <v>8.7571388561203385</v>
      </c>
      <c r="O37" t="b">
        <f>M37=initial!M37</f>
        <v>0</v>
      </c>
      <c r="P37" t="b">
        <f>N37=initial!N37</f>
        <v>0</v>
      </c>
      <c r="Q37" s="4">
        <f t="shared" si="1"/>
        <v>2.4129716433682447E-2</v>
      </c>
    </row>
    <row r="38" spans="1:17" x14ac:dyDescent="0.25">
      <c r="A38" t="s">
        <v>22</v>
      </c>
      <c r="B38">
        <f>VLOOKUP(A38,Sheet4!B:C,2,0)</f>
        <v>-0.76663700000000001</v>
      </c>
      <c r="C38">
        <f t="shared" si="0"/>
        <v>0.4645728024829493</v>
      </c>
      <c r="H38" t="s">
        <v>99</v>
      </c>
      <c r="I38">
        <v>0.35</v>
      </c>
      <c r="K38" s="21"/>
      <c r="L38">
        <v>36</v>
      </c>
      <c r="M38" s="14">
        <f>(1+C66)*C7</f>
        <v>22.09774210894528</v>
      </c>
      <c r="N38" s="14">
        <f>C53*C64*C59*C43*(1-I11)</f>
        <v>22.097816076288979</v>
      </c>
      <c r="O38" t="b">
        <f>M38=initial!M38</f>
        <v>0</v>
      </c>
      <c r="P38" t="b">
        <f>N38=initial!N38</f>
        <v>0</v>
      </c>
      <c r="Q38" s="4">
        <f t="shared" si="1"/>
        <v>7.3967343698910781E-5</v>
      </c>
    </row>
    <row r="39" spans="1:17" x14ac:dyDescent="0.25">
      <c r="A39" t="s">
        <v>57</v>
      </c>
      <c r="B39">
        <f>VLOOKUP(A39,Sheet4!B:C,2,0)</f>
        <v>-0.76663700000000001</v>
      </c>
      <c r="C39">
        <f t="shared" si="0"/>
        <v>0.4645728024829493</v>
      </c>
      <c r="H39" t="s">
        <v>97</v>
      </c>
      <c r="I39">
        <v>0.7</v>
      </c>
      <c r="K39" s="22"/>
      <c r="L39">
        <v>37</v>
      </c>
      <c r="M39" s="14">
        <f>C70</f>
        <v>7.3706079010984873E-2</v>
      </c>
      <c r="N39" s="14">
        <f>I6*C3*C75^(I6-1)*C43^(I6-1)*(C47^I43*C45^(1-I43))^(1-I6)/C78</f>
        <v>7.3909658420530003E-2</v>
      </c>
      <c r="O39" t="b">
        <f>M39=initial!M39</f>
        <v>0</v>
      </c>
      <c r="P39" t="b">
        <f>N39=initial!N39</f>
        <v>0</v>
      </c>
      <c r="Q39" s="4">
        <f t="shared" si="1"/>
        <v>2.0357940954512932E-4</v>
      </c>
    </row>
    <row r="40" spans="1:17" x14ac:dyDescent="0.25">
      <c r="A40" t="s">
        <v>21</v>
      </c>
      <c r="B40">
        <f>VLOOKUP(A40,Sheet4!B:C,2,0)</f>
        <v>0.37534699999999999</v>
      </c>
      <c r="C40">
        <f t="shared" si="0"/>
        <v>1.4554963842462374</v>
      </c>
      <c r="H40" t="s">
        <v>114</v>
      </c>
      <c r="I40">
        <f>I35/(I35-1)</f>
        <v>1.1263452678672681</v>
      </c>
      <c r="K40" s="18" t="s">
        <v>179</v>
      </c>
      <c r="L40">
        <v>38</v>
      </c>
      <c r="M40" s="4">
        <f>C65</f>
        <v>9.8870902395473692E-3</v>
      </c>
      <c r="N40" s="4">
        <f>-I35*(C42/C5-I65)*(C42/C5)^2+C69</f>
        <v>1.8436406164330562E-3</v>
      </c>
      <c r="O40" t="b">
        <f>M40=initial!M40</f>
        <v>0</v>
      </c>
      <c r="P40" t="b">
        <f>N40=initial!N40</f>
        <v>0</v>
      </c>
      <c r="Q40" s="4">
        <f t="shared" si="1"/>
        <v>-8.043449623114313E-3</v>
      </c>
    </row>
    <row r="41" spans="1:17" x14ac:dyDescent="0.25">
      <c r="A41" t="s">
        <v>59</v>
      </c>
      <c r="B41">
        <f>VLOOKUP(A41,Sheet4!B:C,2,0)</f>
        <v>4.1955400000000003</v>
      </c>
      <c r="C41">
        <f t="shared" si="0"/>
        <v>66.389572268462302</v>
      </c>
      <c r="H41" t="s">
        <v>13</v>
      </c>
      <c r="I41">
        <f>I34/(I34-1)</f>
        <v>1.1107351502063272</v>
      </c>
      <c r="K41" s="19"/>
      <c r="L41">
        <v>39</v>
      </c>
      <c r="M41" s="14">
        <f>C42*C59</f>
        <v>3.8284116332251181</v>
      </c>
      <c r="N41" s="14">
        <f>(1-I10)*C42/C26+C38</f>
        <v>4.6671582271475955</v>
      </c>
      <c r="O41" t="b">
        <f>M41=initial!M41</f>
        <v>0</v>
      </c>
      <c r="P41" t="b">
        <f>N41=initial!N41</f>
        <v>0</v>
      </c>
      <c r="Q41" s="4">
        <f t="shared" si="1"/>
        <v>0.83874659392247741</v>
      </c>
    </row>
    <row r="42" spans="1:17" x14ac:dyDescent="0.25">
      <c r="A42" t="s">
        <v>2</v>
      </c>
      <c r="B42">
        <f>VLOOKUP(A42,Sheet4!B:C,2,0)</f>
        <v>1.3424499999999999</v>
      </c>
      <c r="C42">
        <f t="shared" si="0"/>
        <v>3.828411633225095</v>
      </c>
      <c r="H42" t="s">
        <v>11</v>
      </c>
      <c r="I42">
        <f>I35/(I35-1)</f>
        <v>1.1263452678672681</v>
      </c>
      <c r="K42" s="19"/>
      <c r="L42">
        <v>40</v>
      </c>
      <c r="M42" s="14">
        <f>I20*C20</f>
        <v>19.678171977742856</v>
      </c>
      <c r="N42" s="14">
        <f>I23*C21</f>
        <v>19.678171977742856</v>
      </c>
      <c r="O42" t="b">
        <f>M42=initial!M42</f>
        <v>0</v>
      </c>
      <c r="P42" t="b">
        <f>N42=initial!N42</f>
        <v>0</v>
      </c>
      <c r="Q42" s="4">
        <f t="shared" si="1"/>
        <v>0</v>
      </c>
    </row>
    <row r="43" spans="1:17" x14ac:dyDescent="0.25">
      <c r="A43" t="s">
        <v>34</v>
      </c>
      <c r="B43">
        <f>VLOOKUP(A43,Sheet4!B:C,2,0)</f>
        <v>4.1955400000000003</v>
      </c>
      <c r="C43">
        <f t="shared" si="0"/>
        <v>66.389572268462302</v>
      </c>
      <c r="H43" t="s">
        <v>110</v>
      </c>
      <c r="I43">
        <v>0.8</v>
      </c>
      <c r="K43" s="19"/>
      <c r="L43">
        <v>41</v>
      </c>
      <c r="M43" s="4">
        <f>I20*C8</f>
        <v>1.9089512357072858</v>
      </c>
      <c r="N43" s="4">
        <f>I22*C9</f>
        <v>1.9089512357072858</v>
      </c>
      <c r="O43" t="b">
        <f>M43=initial!M43</f>
        <v>0</v>
      </c>
      <c r="P43" t="b">
        <f>N43=initial!N43</f>
        <v>0</v>
      </c>
      <c r="Q43" s="4">
        <f t="shared" si="1"/>
        <v>0</v>
      </c>
    </row>
    <row r="44" spans="1:17" x14ac:dyDescent="0.25">
      <c r="A44" t="s">
        <v>27</v>
      </c>
      <c r="B44">
        <f>VLOOKUP(A44,Sheet4!B:C,2,0)</f>
        <v>-1.1307899999999999E-2</v>
      </c>
      <c r="C44">
        <f t="shared" si="0"/>
        <v>0.98875579399337143</v>
      </c>
      <c r="H44" t="s">
        <v>95</v>
      </c>
      <c r="I44">
        <v>7.8220000000000001</v>
      </c>
      <c r="J44" s="2"/>
      <c r="K44" s="19"/>
      <c r="L44">
        <v>42</v>
      </c>
      <c r="M44" s="4">
        <f>I20*C6</f>
        <v>21.597768517967843</v>
      </c>
      <c r="N44" s="4">
        <f>I21*C7</f>
        <v>21.597768517967843</v>
      </c>
      <c r="O44" t="b">
        <f>M44=initial!M44</f>
        <v>0</v>
      </c>
      <c r="P44" t="b">
        <f>N44=initial!N44</f>
        <v>0</v>
      </c>
      <c r="Q44" s="4">
        <f t="shared" si="1"/>
        <v>0</v>
      </c>
    </row>
    <row r="45" spans="1:17" x14ac:dyDescent="0.25">
      <c r="A45" t="s">
        <v>36</v>
      </c>
      <c r="B45">
        <f>VLOOKUP(A45,Sheet4!B:C,2,0)</f>
        <v>-1.1307899999999999E-2</v>
      </c>
      <c r="C45">
        <f t="shared" si="0"/>
        <v>0.98875579399337143</v>
      </c>
      <c r="H45" t="s">
        <v>132</v>
      </c>
      <c r="I45" s="11">
        <v>2.0038478018082402</v>
      </c>
      <c r="J45" s="2"/>
      <c r="K45" s="19"/>
      <c r="L45">
        <v>43</v>
      </c>
      <c r="M45" s="14">
        <f>C8+C6</f>
        <v>23.506719753675128</v>
      </c>
      <c r="N45" s="14">
        <f>C20+C42</f>
        <v>23.506583610967951</v>
      </c>
      <c r="O45" t="b">
        <f>M45=initial!M45</f>
        <v>0</v>
      </c>
      <c r="P45" t="b">
        <f>N45=initial!N45</f>
        <v>0</v>
      </c>
      <c r="Q45" s="4">
        <f t="shared" si="1"/>
        <v>-1.3614270717710042E-4</v>
      </c>
    </row>
    <row r="46" spans="1:17" x14ac:dyDescent="0.25">
      <c r="A46" t="s">
        <v>19</v>
      </c>
      <c r="B46">
        <f>VLOOKUP(A46,Sheet4!B:C,2,0)</f>
        <v>-7.2653200000000001E-2</v>
      </c>
      <c r="C46">
        <f t="shared" si="0"/>
        <v>0.9299232715017659</v>
      </c>
      <c r="H46" t="s">
        <v>133</v>
      </c>
      <c r="I46" s="2">
        <v>0.303247771697294</v>
      </c>
      <c r="K46" s="19"/>
      <c r="L46">
        <v>44</v>
      </c>
      <c r="M46" s="14">
        <f>-1+C57/(C57-1)-C57/(C57-1)*C69/C68-I33*(C68/C68-(C68/C68)^I27)*C68/C68+I9*(C50/C50)*I33*(C68/C68-(C68/C68)^I27)*((C68/C68)^2)*(C20/C20)</f>
        <v>-3.4204723957810232</v>
      </c>
      <c r="N46" s="14">
        <v>0</v>
      </c>
      <c r="O46" t="b">
        <f>M46=initial!M46</f>
        <v>0</v>
      </c>
      <c r="P46" t="b">
        <f>N46=initial!N46</f>
        <v>1</v>
      </c>
      <c r="Q46" s="4">
        <f t="shared" si="1"/>
        <v>3.4204723957810232</v>
      </c>
    </row>
    <row r="47" spans="1:17" x14ac:dyDescent="0.25">
      <c r="A47" t="s">
        <v>35</v>
      </c>
      <c r="B47">
        <f>VLOOKUP(A47,Sheet4!B:C,2,0)</f>
        <v>-7.2653200000000001E-2</v>
      </c>
      <c r="C47">
        <f t="shared" si="0"/>
        <v>0.9299232715017659</v>
      </c>
      <c r="H47" t="s">
        <v>7</v>
      </c>
      <c r="I47">
        <v>1</v>
      </c>
      <c r="K47" s="19"/>
      <c r="L47">
        <v>45</v>
      </c>
      <c r="M47" s="14">
        <f>1-C55/(C55-1)+C55/(C55-1)*C65/C66-I31*(C66/C66-(C66/C66)^I25)*C66/C66+I9*(C50/C50)*I31*(C66/C66-(C66/C66)^I25)*((C66/C66)^2)*(C6/C6)</f>
        <v>2.6375156387333138</v>
      </c>
      <c r="N47" s="14">
        <v>0</v>
      </c>
      <c r="O47" t="b">
        <f>M47=initial!M47</f>
        <v>0</v>
      </c>
      <c r="P47" t="b">
        <f>N47=initial!N47</f>
        <v>1</v>
      </c>
      <c r="Q47" s="4">
        <f t="shared" si="1"/>
        <v>-2.6375156387333138</v>
      </c>
    </row>
    <row r="48" spans="1:17" x14ac:dyDescent="0.25">
      <c r="A48" t="s">
        <v>39</v>
      </c>
      <c r="B48">
        <f>VLOOKUP(A48,Sheet4!B:C,2,0)</f>
        <v>-0.13846</v>
      </c>
      <c r="C48">
        <f t="shared" si="0"/>
        <v>0.87069807849570691</v>
      </c>
      <c r="H48" t="s">
        <v>115</v>
      </c>
      <c r="I48">
        <f>I50*I15/(I15-1)</f>
        <v>5.2459646177557079E-2</v>
      </c>
      <c r="K48" s="19"/>
      <c r="L48">
        <v>46</v>
      </c>
      <c r="M48" s="14">
        <f>1-C56/(C56-1)+C56/(C56-1)*C65/C67-I32*(C67/C67-(C67/C67)^I25)*C67/C67+I9*(C50/C50)*I32*(C67/C67-(C67/C67)^I25)*((C67/C67)^2)*(C8/C8)</f>
        <v>-0.27963418650427241</v>
      </c>
      <c r="N48" s="14">
        <v>0</v>
      </c>
      <c r="O48" t="b">
        <f>M48=initial!M48</f>
        <v>0</v>
      </c>
      <c r="P48" t="b">
        <f>N48=initial!N48</f>
        <v>1</v>
      </c>
      <c r="Q48" s="4">
        <f t="shared" si="1"/>
        <v>0.27963418650427241</v>
      </c>
    </row>
    <row r="49" spans="1:17" x14ac:dyDescent="0.25">
      <c r="A49" t="s">
        <v>28</v>
      </c>
      <c r="B49">
        <f>VLOOKUP(A49,Sheet4!B:C,2,0)</f>
        <v>1.23969</v>
      </c>
      <c r="C49">
        <f t="shared" si="0"/>
        <v>3.4545423906136699</v>
      </c>
      <c r="H49" t="s">
        <v>116</v>
      </c>
      <c r="I49">
        <f>I50*I16/(I16-1)</f>
        <v>2.6283560914424769E-2</v>
      </c>
      <c r="K49" s="26"/>
      <c r="L49">
        <v>47</v>
      </c>
      <c r="M49" s="14">
        <f>C38</f>
        <v>0.4645728024829493</v>
      </c>
      <c r="N49" s="14">
        <f>C67*C8+C66*C6-C68*C20-I33/2*((C68/C68-1)^2*C68*C20)-I31/2*((C66/C66-1)^2*C66*C6)-I32/2*((C67/C67-1)^2*C67*C8)-I35/2*((C42/C6-I65)^2*C42)</f>
        <v>0.44121741094933487</v>
      </c>
      <c r="O49" t="b">
        <f>M49=initial!M49</f>
        <v>0</v>
      </c>
      <c r="P49" t="b">
        <f>N49=initial!N49</f>
        <v>0</v>
      </c>
      <c r="Q49" s="4">
        <f t="shared" si="1"/>
        <v>-2.3355391533614434E-2</v>
      </c>
    </row>
    <row r="50" spans="1:17" x14ac:dyDescent="0.25">
      <c r="A50" t="s">
        <v>20</v>
      </c>
      <c r="B50">
        <f>VLOOKUP(A50,Sheet4!B:C,2,0)</f>
        <v>-1.4987200000000001</v>
      </c>
      <c r="C50">
        <f t="shared" si="0"/>
        <v>0.2234159496196616</v>
      </c>
      <c r="H50" t="s">
        <v>134</v>
      </c>
      <c r="I50">
        <f>(I47/I9-1)*(I17-1)/I17</f>
        <v>1.5185036817417849E-2</v>
      </c>
      <c r="K50" s="27" t="s">
        <v>180</v>
      </c>
      <c r="L50">
        <v>48</v>
      </c>
      <c r="M50" s="14">
        <f>C40</f>
        <v>1.4554963842462374</v>
      </c>
      <c r="N50" s="14">
        <f>C79*(1-1/C78-I36/2*(C59-C59^I28*I47^(1-I28))^2)</f>
        <v>1.455504748715766</v>
      </c>
      <c r="O50" t="b">
        <f>M50=initial!M50</f>
        <v>0</v>
      </c>
      <c r="P50" t="b">
        <f>N50=initial!N50</f>
        <v>0</v>
      </c>
      <c r="Q50" s="4">
        <f t="shared" si="1"/>
        <v>8.3644695285656212E-6</v>
      </c>
    </row>
    <row r="51" spans="1:17" x14ac:dyDescent="0.25">
      <c r="A51" t="s">
        <v>156</v>
      </c>
      <c r="B51">
        <f>VLOOKUP(A51,Sheet4!B:C,2,0)</f>
        <v>307.25900000000001</v>
      </c>
      <c r="C51">
        <f t="shared" si="0"/>
        <v>2.7598673908793713E+133</v>
      </c>
      <c r="H51" t="s">
        <v>117</v>
      </c>
      <c r="I51">
        <f>-(1-I11)-I38*(1-I11)*I47/I7*(1/(1+I48)-I7/I47)+1/I7</f>
        <v>8.3122659951666678E-2</v>
      </c>
      <c r="J51" s="2"/>
      <c r="K51" s="28"/>
      <c r="L51">
        <v>49</v>
      </c>
      <c r="M51" s="4">
        <f>1-C28+C28/C78-I36*(C59-C59^I28*I47^(1-I28))*C59+I9*C50/C50*I36*(C59-C59^I28*I47^(1-I28))*C59*C79/C79</f>
        <v>-2.7468029981378696E-6</v>
      </c>
      <c r="N51" s="4">
        <v>0</v>
      </c>
      <c r="O51" t="b">
        <f>M51=initial!M51</f>
        <v>0</v>
      </c>
      <c r="P51" t="b">
        <f>N51=initial!N51</f>
        <v>1</v>
      </c>
      <c r="Q51" s="4">
        <f t="shared" si="1"/>
        <v>2.7468029981378696E-6</v>
      </c>
    </row>
    <row r="52" spans="1:17" ht="14.45" customHeight="1" x14ac:dyDescent="0.25">
      <c r="A52" t="s">
        <v>155</v>
      </c>
      <c r="B52">
        <f>VLOOKUP(A52,Sheet4!B:C,2,0)</f>
        <v>64.6554</v>
      </c>
      <c r="C52">
        <f t="shared" si="0"/>
        <v>1.2008352978301751E+28</v>
      </c>
      <c r="H52" t="s">
        <v>136</v>
      </c>
      <c r="I52" s="2">
        <v>0.93816527333293998</v>
      </c>
      <c r="J52" s="2"/>
      <c r="K52" s="18" t="s">
        <v>181</v>
      </c>
      <c r="L52">
        <v>50</v>
      </c>
      <c r="M52" s="4">
        <f>C14</f>
        <v>5.9139265401175312</v>
      </c>
      <c r="N52" s="4">
        <f>I23*C17+I22*C16+I21*C15</f>
        <v>5.913933859616459</v>
      </c>
      <c r="O52" t="b">
        <f>M52=initial!M52</f>
        <v>0</v>
      </c>
      <c r="P52" t="b">
        <f>N52=initial!N52</f>
        <v>0</v>
      </c>
      <c r="Q52" s="4">
        <f t="shared" si="1"/>
        <v>7.3194989278491107E-6</v>
      </c>
    </row>
    <row r="53" spans="1:17" x14ac:dyDescent="0.25">
      <c r="A53" t="s">
        <v>69</v>
      </c>
      <c r="B53">
        <f>VLOOKUP(A53,Sheet4!B:C,2,0)</f>
        <v>-1.04982</v>
      </c>
      <c r="C53">
        <f t="shared" si="0"/>
        <v>0.35000074357532707</v>
      </c>
      <c r="H53" t="s">
        <v>137</v>
      </c>
      <c r="I53" s="2">
        <v>0.92187271910220603</v>
      </c>
      <c r="J53" s="2"/>
      <c r="K53" s="19"/>
      <c r="L53">
        <v>51</v>
      </c>
      <c r="M53" s="4">
        <f>C12</f>
        <v>1.9089512357072858</v>
      </c>
      <c r="N53" s="4">
        <f>I20*C8</f>
        <v>1.9089512357072858</v>
      </c>
      <c r="O53" t="b">
        <f>M53=initial!M53</f>
        <v>0</v>
      </c>
      <c r="P53" t="b">
        <f>N53=initial!N53</f>
        <v>0</v>
      </c>
      <c r="Q53" s="4">
        <f t="shared" si="1"/>
        <v>0</v>
      </c>
    </row>
    <row r="54" spans="1:17" x14ac:dyDescent="0.25">
      <c r="A54" t="s">
        <v>68</v>
      </c>
      <c r="B54">
        <f>VLOOKUP(A54,Sheet4!B:C,2,0)</f>
        <v>-0.34249000000000002</v>
      </c>
      <c r="C54">
        <f t="shared" si="0"/>
        <v>0.71000021935224478</v>
      </c>
      <c r="H54" t="s">
        <v>143</v>
      </c>
      <c r="I54" s="2">
        <v>0.57169238371417097</v>
      </c>
      <c r="J54" s="2"/>
      <c r="K54" s="19"/>
      <c r="L54">
        <v>52</v>
      </c>
      <c r="M54" s="4">
        <f>C11</f>
        <v>21.597768517967843</v>
      </c>
      <c r="N54" s="4">
        <f>I20*C6</f>
        <v>21.597768517967843</v>
      </c>
      <c r="O54" t="b">
        <f>M54=initial!M54</f>
        <v>0</v>
      </c>
      <c r="P54" t="b">
        <f>N54=initial!N54</f>
        <v>0</v>
      </c>
      <c r="Q54" s="4">
        <f t="shared" si="1"/>
        <v>0</v>
      </c>
    </row>
    <row r="55" spans="1:17" x14ac:dyDescent="0.25">
      <c r="A55" t="s">
        <v>65</v>
      </c>
      <c r="B55">
        <v>-0.3</v>
      </c>
      <c r="C55">
        <f t="shared" si="0"/>
        <v>0.74081822068171788</v>
      </c>
      <c r="H55" t="s">
        <v>135</v>
      </c>
      <c r="I55" s="2">
        <v>0.38595343816817801</v>
      </c>
      <c r="J55" s="2"/>
      <c r="K55" s="19"/>
      <c r="L55">
        <v>53</v>
      </c>
      <c r="M55" s="4">
        <f>C5</f>
        <v>23.506571021488853</v>
      </c>
      <c r="N55" s="4">
        <f>C11+C12</f>
        <v>23.506719753675128</v>
      </c>
      <c r="O55" t="b">
        <f>M55=initial!M55</f>
        <v>0</v>
      </c>
      <c r="P55" t="b">
        <f>N55=initial!N55</f>
        <v>0</v>
      </c>
      <c r="Q55" s="4">
        <f t="shared" si="1"/>
        <v>1.4873218627542428E-4</v>
      </c>
    </row>
    <row r="56" spans="1:17" x14ac:dyDescent="0.25">
      <c r="A56" t="s">
        <v>66</v>
      </c>
      <c r="B56">
        <v>0.5</v>
      </c>
      <c r="C56">
        <f t="shared" si="0"/>
        <v>1.6487212707001282</v>
      </c>
      <c r="H56" t="s">
        <v>146</v>
      </c>
      <c r="I56" s="2">
        <v>0.813022758608552</v>
      </c>
      <c r="J56" s="2"/>
      <c r="K56" s="19"/>
      <c r="L56">
        <v>54</v>
      </c>
      <c r="M56" s="4">
        <f>C19</f>
        <v>19.678171977742856</v>
      </c>
      <c r="N56" s="4">
        <f>I23*C21</f>
        <v>19.678171977742856</v>
      </c>
      <c r="O56" t="b">
        <f>M56=initial!M56</f>
        <v>0</v>
      </c>
      <c r="P56" t="b">
        <f>N56=initial!N56</f>
        <v>0</v>
      </c>
      <c r="Q56" s="4">
        <f t="shared" si="1"/>
        <v>0</v>
      </c>
    </row>
    <row r="57" spans="1:17" x14ac:dyDescent="0.25">
      <c r="A57" t="s">
        <v>64</v>
      </c>
      <c r="B57">
        <v>0.5</v>
      </c>
      <c r="C57">
        <f t="shared" si="0"/>
        <v>1.6487212707001282</v>
      </c>
      <c r="H57" t="s">
        <v>145</v>
      </c>
      <c r="I57" s="2">
        <v>0.59618644088413197</v>
      </c>
      <c r="J57" s="2"/>
      <c r="K57" s="19"/>
      <c r="L57">
        <v>55</v>
      </c>
      <c r="M57" s="4">
        <f>C79</f>
        <v>8.733009139686656</v>
      </c>
      <c r="N57" s="4">
        <f>I21*C80</f>
        <v>8.733009139686656</v>
      </c>
      <c r="O57" t="b">
        <f>M57=initial!M57</f>
        <v>0</v>
      </c>
      <c r="P57" t="b">
        <f>N57=initial!N57</f>
        <v>0</v>
      </c>
      <c r="Q57" s="4">
        <f t="shared" si="1"/>
        <v>0</v>
      </c>
    </row>
    <row r="58" spans="1:17" x14ac:dyDescent="0.25">
      <c r="A58" t="s">
        <v>157</v>
      </c>
      <c r="B58">
        <f>VLOOKUP(A58,Sheet4!B:C,2,0)</f>
        <v>221.56100000000001</v>
      </c>
      <c r="C58">
        <f t="shared" si="0"/>
        <v>1.6700124351050359E+96</v>
      </c>
      <c r="H58" t="s">
        <v>144</v>
      </c>
      <c r="I58" s="2">
        <v>0.29418223956738399</v>
      </c>
      <c r="J58" s="2"/>
      <c r="K58" s="19"/>
      <c r="L58">
        <v>56</v>
      </c>
      <c r="M58" s="4">
        <f>C39</f>
        <v>0.4645728024829493</v>
      </c>
      <c r="N58" s="4">
        <f>I20*C38</f>
        <v>0.4645728024829493</v>
      </c>
      <c r="O58" t="b">
        <f>M58=initial!M58</f>
        <v>0</v>
      </c>
      <c r="P58" t="b">
        <f>N58=initial!N58</f>
        <v>0</v>
      </c>
      <c r="Q58" s="4">
        <f t="shared" si="1"/>
        <v>0</v>
      </c>
    </row>
    <row r="59" spans="1:17" x14ac:dyDescent="0.25">
      <c r="A59" s="9" t="s">
        <v>48</v>
      </c>
      <c r="B59">
        <f>VLOOKUP(A59,Sheet4!B:C,2,0)</f>
        <v>5.9447299999999999E-15</v>
      </c>
      <c r="C59">
        <f t="shared" si="0"/>
        <v>1.000000000000006</v>
      </c>
      <c r="H59" t="s">
        <v>131</v>
      </c>
      <c r="I59" s="2">
        <v>0.75048187308431102</v>
      </c>
      <c r="J59" s="2"/>
      <c r="K59" s="19"/>
      <c r="L59">
        <v>57</v>
      </c>
      <c r="M59" s="4">
        <f>I21*C47</f>
        <v>0.9299232715017659</v>
      </c>
      <c r="N59" s="4">
        <f>I23*C46</f>
        <v>0.9299232715017659</v>
      </c>
      <c r="O59" t="b">
        <f>M59=initial!M59</f>
        <v>0</v>
      </c>
      <c r="P59" t="b">
        <f>N59=initial!N59</f>
        <v>0</v>
      </c>
      <c r="Q59" s="4">
        <f t="shared" si="1"/>
        <v>0</v>
      </c>
    </row>
    <row r="60" spans="1:17" x14ac:dyDescent="0.25">
      <c r="A60" t="s">
        <v>30</v>
      </c>
      <c r="B60">
        <f>VLOOKUP(A60,Sheet4!B:C,2,0)</f>
        <v>5.9618099999999997E-15</v>
      </c>
      <c r="C60">
        <f t="shared" si="0"/>
        <v>1.000000000000006</v>
      </c>
      <c r="H60" t="s">
        <v>138</v>
      </c>
      <c r="I60" s="2">
        <v>0.90129485520181996</v>
      </c>
      <c r="J60" s="2"/>
      <c r="K60" s="19"/>
      <c r="L60">
        <v>58</v>
      </c>
      <c r="M60" s="4">
        <f>I21*C45</f>
        <v>0.98875579399337143</v>
      </c>
      <c r="N60" s="4">
        <f>I22*C44</f>
        <v>0.98875579399337143</v>
      </c>
      <c r="O60" t="b">
        <f>M60=initial!M60</f>
        <v>0</v>
      </c>
      <c r="P60" t="b">
        <f>N60=initial!N60</f>
        <v>0</v>
      </c>
      <c r="Q60" s="4">
        <f t="shared" si="1"/>
        <v>0</v>
      </c>
    </row>
    <row r="61" spans="1:17" x14ac:dyDescent="0.25">
      <c r="A61" t="s">
        <v>23</v>
      </c>
      <c r="B61">
        <f>VLOOKUP(A61,Sheet4!B:C,2,0)</f>
        <v>5.9727899999999998E-15</v>
      </c>
      <c r="C61">
        <f t="shared" si="0"/>
        <v>1.000000000000006</v>
      </c>
      <c r="H61" t="s">
        <v>139</v>
      </c>
      <c r="I61" s="2">
        <v>0.92237838275307804</v>
      </c>
      <c r="J61" s="2"/>
      <c r="K61" s="19"/>
      <c r="L61">
        <v>59</v>
      </c>
      <c r="M61" s="4">
        <f>I24</f>
        <v>1</v>
      </c>
      <c r="N61" s="4">
        <f>I23*C30+I22*C29</f>
        <v>1.0000000469515058</v>
      </c>
      <c r="O61" t="b">
        <f>M61=initial!M61</f>
        <v>1</v>
      </c>
      <c r="P61" t="b">
        <f>N61=initial!N61</f>
        <v>0</v>
      </c>
      <c r="Q61" s="4">
        <f t="shared" si="1"/>
        <v>4.6951505794368131E-8</v>
      </c>
    </row>
    <row r="62" spans="1:17" x14ac:dyDescent="0.25">
      <c r="A62" t="s">
        <v>60</v>
      </c>
      <c r="B62">
        <f>VLOOKUP(A62,Sheet4!B:C,2,0)</f>
        <v>5.7971400000000002E-15</v>
      </c>
      <c r="C62">
        <f t="shared" si="0"/>
        <v>1.0000000000000058</v>
      </c>
      <c r="H62" t="s">
        <v>142</v>
      </c>
      <c r="I62" s="2">
        <v>0.87390121347579897</v>
      </c>
      <c r="J62" s="2"/>
      <c r="K62" s="19"/>
      <c r="L62">
        <v>60</v>
      </c>
      <c r="M62" s="4">
        <f>C41</f>
        <v>66.389572268462302</v>
      </c>
      <c r="N62" s="4">
        <f>I21*C43</f>
        <v>66.389572268462302</v>
      </c>
      <c r="O62" t="b">
        <f>M62=initial!M62</f>
        <v>0</v>
      </c>
      <c r="P62" t="b">
        <f>N62=initial!N62</f>
        <v>0</v>
      </c>
      <c r="Q62" s="4">
        <f t="shared" si="1"/>
        <v>0</v>
      </c>
    </row>
    <row r="63" spans="1:17" x14ac:dyDescent="0.25">
      <c r="A63" t="s">
        <v>58</v>
      </c>
      <c r="B63">
        <f>VLOOKUP(A63,Sheet4!B:C,2,0)</f>
        <v>5.4999799999999999</v>
      </c>
      <c r="C63">
        <f t="shared" si="0"/>
        <v>244.68703847451314</v>
      </c>
      <c r="H63" t="s">
        <v>141</v>
      </c>
      <c r="I63" s="2">
        <v>0.85122967386455495</v>
      </c>
      <c r="J63" s="2"/>
      <c r="K63" s="19"/>
      <c r="L63">
        <v>61</v>
      </c>
      <c r="M63" s="14">
        <f>C81</f>
        <v>9.16699927599368</v>
      </c>
      <c r="N63" s="14">
        <f>C14+1*(C41-(1-I11)*C41)</f>
        <v>9.1670155812721834</v>
      </c>
      <c r="O63" t="b">
        <f>M63=initial!M63</f>
        <v>0</v>
      </c>
      <c r="P63" t="b">
        <f>N63=initial!N63</f>
        <v>0</v>
      </c>
      <c r="Q63" s="4">
        <f t="shared" si="1"/>
        <v>1.630527850338126E-5</v>
      </c>
    </row>
    <row r="64" spans="1:17" x14ac:dyDescent="0.25">
      <c r="A64" t="s">
        <v>32</v>
      </c>
      <c r="B64">
        <f>VLOOKUP(A64,Sheet4!B:C,2,0)</f>
        <v>1.4082700000000001E-16</v>
      </c>
      <c r="C64">
        <f t="shared" si="0"/>
        <v>1.0000000000000002</v>
      </c>
      <c r="H64" t="s">
        <v>140</v>
      </c>
      <c r="I64" s="2">
        <v>0.89273135289954697</v>
      </c>
      <c r="K64" s="19"/>
      <c r="L64">
        <v>62</v>
      </c>
      <c r="M64" s="4">
        <f>C62</f>
        <v>1.0000000000000058</v>
      </c>
      <c r="N64" s="4">
        <f>(C77+C76)/(C76+C77)*C59</f>
        <v>1.000000000000006</v>
      </c>
      <c r="O64" t="b">
        <f>M64=initial!M64</f>
        <v>0</v>
      </c>
      <c r="P64" t="b">
        <f>N64=initial!N64</f>
        <v>1</v>
      </c>
      <c r="Q64" s="4">
        <f t="shared" si="1"/>
        <v>0</v>
      </c>
    </row>
    <row r="65" spans="1:17" x14ac:dyDescent="0.25">
      <c r="A65" t="s">
        <v>0</v>
      </c>
      <c r="B65">
        <v>-4.6165253890179292</v>
      </c>
      <c r="C65">
        <f t="shared" si="0"/>
        <v>9.8870902395473692E-3</v>
      </c>
      <c r="H65" t="s">
        <v>4</v>
      </c>
      <c r="I65">
        <v>0.14000000000000001</v>
      </c>
      <c r="K65" s="10" t="s">
        <v>182</v>
      </c>
      <c r="L65">
        <v>63</v>
      </c>
      <c r="M65" s="4">
        <f>(1+C69)</f>
        <v>1.007250607648801</v>
      </c>
      <c r="N65" s="4">
        <f>(1+I50)^(1-I59)*(1+C69)^I59*((C59/I47)^I45*(C81/C81)^I46)^(1-I59)*(1+I66)</f>
        <v>1.0092245662816137</v>
      </c>
      <c r="O65" t="b">
        <f>M65=initial!M65</f>
        <v>0</v>
      </c>
      <c r="P65" t="b">
        <f>N65=initial!N65</f>
        <v>0</v>
      </c>
      <c r="Q65" s="4">
        <f t="shared" si="1"/>
        <v>1.973958632812689E-3</v>
      </c>
    </row>
    <row r="66" spans="1:17" x14ac:dyDescent="0.25">
      <c r="A66" t="s">
        <v>47</v>
      </c>
      <c r="B66">
        <f>VLOOKUP(A66,Sheet4!B:C,2,0)</f>
        <v>-3.76579</v>
      </c>
      <c r="C66">
        <f t="shared" si="0"/>
        <v>2.3149317049189148E-2</v>
      </c>
      <c r="H66" t="s">
        <v>89</v>
      </c>
      <c r="I66" s="2">
        <v>0</v>
      </c>
      <c r="K66" s="20" t="s">
        <v>184</v>
      </c>
      <c r="L66">
        <v>64</v>
      </c>
      <c r="M66" s="4">
        <f>C25</f>
        <v>1.0000000000000002</v>
      </c>
      <c r="N66" s="4">
        <f>1-I55*1+I55*C25+I67</f>
        <v>1.0000000000000002</v>
      </c>
      <c r="O66" t="b">
        <f>M66=initial!M66</f>
        <v>1</v>
      </c>
      <c r="P66" t="b">
        <f>N66=initial!N66</f>
        <v>1</v>
      </c>
      <c r="Q66" s="4">
        <f t="shared" si="1"/>
        <v>0</v>
      </c>
    </row>
    <row r="67" spans="1:17" x14ac:dyDescent="0.25">
      <c r="A67" t="s">
        <v>46</v>
      </c>
      <c r="B67">
        <f>VLOOKUP(A67,Sheet4!B:C,2,0)</f>
        <v>-3.9163600000000001</v>
      </c>
      <c r="C67">
        <f t="shared" ref="C67:C82" si="2">EXP(B67)</f>
        <v>1.9913447932154011E-2</v>
      </c>
      <c r="H67" t="s">
        <v>92</v>
      </c>
      <c r="I67" s="2">
        <v>0</v>
      </c>
      <c r="K67" s="21"/>
      <c r="L67">
        <v>65</v>
      </c>
      <c r="M67" s="4">
        <f>C23</f>
        <v>0.99999999999999978</v>
      </c>
      <c r="N67" s="4">
        <f>1-I52*1+I52*C3+I68</f>
        <v>1</v>
      </c>
      <c r="O67" t="b">
        <f>M67=initial!M67</f>
        <v>1</v>
      </c>
      <c r="P67" t="b">
        <f>N67=initial!N67</f>
        <v>1</v>
      </c>
      <c r="Q67" s="4">
        <f t="shared" ref="Q67:Q81" si="3">N67-M67</f>
        <v>0</v>
      </c>
    </row>
    <row r="68" spans="1:17" x14ac:dyDescent="0.25">
      <c r="A68" t="s">
        <v>45</v>
      </c>
      <c r="B68">
        <f>VLOOKUP(A68,Sheet4!B:C,2,0)</f>
        <v>-5.59572</v>
      </c>
      <c r="C68">
        <f t="shared" si="2"/>
        <v>3.7137244910350254E-3</v>
      </c>
      <c r="H68" t="s">
        <v>80</v>
      </c>
      <c r="I68" s="2">
        <v>0</v>
      </c>
      <c r="K68" s="21"/>
      <c r="L68">
        <v>66</v>
      </c>
      <c r="M68" s="4">
        <f>C3</f>
        <v>1</v>
      </c>
      <c r="N68" s="4">
        <f>1-I53*1+I53*C23+I69</f>
        <v>0.99999999999999978</v>
      </c>
      <c r="O68" t="b">
        <f>M68=initial!M68</f>
        <v>1</v>
      </c>
      <c r="P68" t="b">
        <f>N68=initial!N68</f>
        <v>1</v>
      </c>
      <c r="Q68" s="4">
        <f t="shared" si="3"/>
        <v>0</v>
      </c>
    </row>
    <row r="69" spans="1:17" x14ac:dyDescent="0.25">
      <c r="A69" t="s">
        <v>5</v>
      </c>
      <c r="B69">
        <f>VLOOKUP(A69,Sheet4!B:C,2,0)</f>
        <v>-4.9266699999999997</v>
      </c>
      <c r="C69">
        <f t="shared" si="2"/>
        <v>7.2506076488009687E-3</v>
      </c>
      <c r="H69" t="s">
        <v>82</v>
      </c>
      <c r="I69" s="2">
        <v>0</v>
      </c>
      <c r="K69" s="21"/>
      <c r="L69">
        <v>67</v>
      </c>
      <c r="M69" s="4">
        <f>C54</f>
        <v>0.71000021935224478</v>
      </c>
      <c r="N69" s="4">
        <f>(1-I61)*I39+I61*C54+I70</f>
        <v>0.70922398615329951</v>
      </c>
      <c r="O69" t="b">
        <f>M69=initial!M69</f>
        <v>0</v>
      </c>
      <c r="P69" t="b">
        <f>N69=initial!N69</f>
        <v>0</v>
      </c>
      <c r="Q69" s="4">
        <f t="shared" si="3"/>
        <v>-7.7623319894526421E-4</v>
      </c>
    </row>
    <row r="70" spans="1:17" x14ac:dyDescent="0.25">
      <c r="A70" t="s">
        <v>163</v>
      </c>
      <c r="B70">
        <f>VLOOKUP(A70,Sheet4!B:C,2,0)</f>
        <v>-2.6076700000000002</v>
      </c>
      <c r="C70">
        <f>EXP(B70)</f>
        <v>7.3706079010984873E-2</v>
      </c>
      <c r="H70" t="s">
        <v>85</v>
      </c>
      <c r="I70" s="2">
        <v>0</v>
      </c>
      <c r="K70" s="21"/>
      <c r="L70">
        <v>68</v>
      </c>
      <c r="M70" s="4">
        <f>C53</f>
        <v>0.35000074357532707</v>
      </c>
      <c r="N70" s="4">
        <f>(1-I60)*I38+I60*C53+I71</f>
        <v>0.3500006701806167</v>
      </c>
      <c r="O70" t="b">
        <f>M70=initial!M70</f>
        <v>0</v>
      </c>
      <c r="P70" t="b">
        <f>N70=initial!N70</f>
        <v>0</v>
      </c>
      <c r="Q70" s="4">
        <f t="shared" si="3"/>
        <v>-7.3394710364826921E-8</v>
      </c>
    </row>
    <row r="71" spans="1:17" x14ac:dyDescent="0.25">
      <c r="A71" t="s">
        <v>74</v>
      </c>
      <c r="B71">
        <f>VLOOKUP(A71,Sheet4!B:C,2,0)</f>
        <v>2.11532E-3</v>
      </c>
      <c r="C71">
        <f t="shared" si="2"/>
        <v>1.0021175588677134</v>
      </c>
      <c r="H71" t="s">
        <v>84</v>
      </c>
      <c r="I71" s="2">
        <v>0</v>
      </c>
      <c r="K71" s="21"/>
      <c r="L71">
        <v>69</v>
      </c>
      <c r="M71" s="4">
        <f>C57</f>
        <v>1.6487212707001282</v>
      </c>
      <c r="N71" s="4">
        <f>(1-I64)*I42+I64*C57+I72</f>
        <v>1.5926867035985048</v>
      </c>
      <c r="O71" t="b">
        <f>M71=initial!M71</f>
        <v>0</v>
      </c>
      <c r="P71" t="b">
        <f>N71=initial!N71</f>
        <v>0</v>
      </c>
      <c r="Q71" s="4">
        <f t="shared" si="3"/>
        <v>-5.6034567101623356E-2</v>
      </c>
    </row>
    <row r="72" spans="1:17" x14ac:dyDescent="0.25">
      <c r="A72" t="s">
        <v>40</v>
      </c>
      <c r="B72">
        <f>VLOOKUP(A72,Sheet4!B:C,2,0)</f>
        <v>-6.1814400000000003</v>
      </c>
      <c r="C72">
        <f t="shared" si="2"/>
        <v>2.0674485841191705E-3</v>
      </c>
      <c r="H72" t="s">
        <v>183</v>
      </c>
      <c r="I72" s="2">
        <v>0</v>
      </c>
      <c r="K72" s="21"/>
      <c r="L72">
        <v>70</v>
      </c>
      <c r="M72" s="4">
        <f>C55</f>
        <v>0.74081822068171788</v>
      </c>
      <c r="N72" s="4">
        <f>(1-I62)*I40+I62*C55+I73</f>
        <v>0.78943271350407418</v>
      </c>
      <c r="O72" t="b">
        <f>M72=initial!M72</f>
        <v>0</v>
      </c>
      <c r="P72" t="b">
        <f>N72=initial!N72</f>
        <v>0</v>
      </c>
      <c r="Q72" s="4">
        <f t="shared" si="3"/>
        <v>4.8614492822356303E-2</v>
      </c>
    </row>
    <row r="73" spans="1:17" x14ac:dyDescent="0.25">
      <c r="A73" t="s">
        <v>29</v>
      </c>
      <c r="B73">
        <f>VLOOKUP(A73,Sheet4!B:C,2,0)</f>
        <v>-3.9677899999999999</v>
      </c>
      <c r="C73">
        <f t="shared" si="2"/>
        <v>1.8915189546219201E-2</v>
      </c>
      <c r="H73" t="s">
        <v>86</v>
      </c>
      <c r="I73" s="2">
        <v>0</v>
      </c>
      <c r="K73" s="21"/>
      <c r="L73">
        <v>71</v>
      </c>
      <c r="M73" s="4">
        <f>C56</f>
        <v>1.6487212707001282</v>
      </c>
      <c r="N73" s="4">
        <f>(1-I63)*I41+I63*C56+I74</f>
        <v>1.5686849000979226</v>
      </c>
      <c r="O73" t="b">
        <f>M73=initial!M73</f>
        <v>0</v>
      </c>
      <c r="P73" t="b">
        <f>N73=initial!N73</f>
        <v>0</v>
      </c>
      <c r="Q73" s="4">
        <f t="shared" si="3"/>
        <v>-8.0036370602205587E-2</v>
      </c>
    </row>
    <row r="74" spans="1:17" x14ac:dyDescent="0.25">
      <c r="A74" t="s">
        <v>77</v>
      </c>
      <c r="B74">
        <f>VLOOKUP(A74,Sheet4!B:C,2,0)</f>
        <v>-4.0275699999999999</v>
      </c>
      <c r="C74">
        <f t="shared" si="2"/>
        <v>1.7817574095800183E-2</v>
      </c>
      <c r="H74" t="s">
        <v>87</v>
      </c>
      <c r="I74" s="2">
        <v>0</v>
      </c>
      <c r="K74" s="21"/>
      <c r="L74">
        <v>72</v>
      </c>
      <c r="M74" s="4">
        <f>C24</f>
        <v>0.99999999999999978</v>
      </c>
      <c r="N74" s="4">
        <f>1-I54*1+I54*C24+I75</f>
        <v>0.99999999999999989</v>
      </c>
      <c r="O74" t="b">
        <f>M74=initial!M74</f>
        <v>1</v>
      </c>
      <c r="P74" t="b">
        <f>N74=initial!N74</f>
        <v>1</v>
      </c>
      <c r="Q74" s="4">
        <f t="shared" si="3"/>
        <v>0</v>
      </c>
    </row>
    <row r="75" spans="1:17" x14ac:dyDescent="0.25">
      <c r="A75" t="s">
        <v>41</v>
      </c>
      <c r="B75">
        <f>VLOOKUP(A75,Sheet4!B:C,2,0)</f>
        <v>-0.20091800000000001</v>
      </c>
      <c r="C75">
        <f t="shared" si="2"/>
        <v>0.8179795031231436</v>
      </c>
      <c r="H75" t="s">
        <v>90</v>
      </c>
      <c r="I75" s="2">
        <v>0</v>
      </c>
      <c r="K75" s="21"/>
      <c r="L75">
        <v>73</v>
      </c>
      <c r="M75" s="14">
        <f>C28</f>
        <v>6.000003184632515</v>
      </c>
      <c r="N75" s="14">
        <f>(1-I58)*I19+I58*C28+I76</f>
        <v>6.0000009368623255</v>
      </c>
      <c r="O75" t="b">
        <f>M75=initial!M75</f>
        <v>0</v>
      </c>
      <c r="P75" t="b">
        <f>N75=initial!N75</f>
        <v>0</v>
      </c>
      <c r="Q75" s="4">
        <f t="shared" si="3"/>
        <v>-2.2477701895340374E-6</v>
      </c>
    </row>
    <row r="76" spans="1:17" x14ac:dyDescent="0.25">
      <c r="A76" t="s">
        <v>56</v>
      </c>
      <c r="B76">
        <f>VLOOKUP(A76,Sheet4!B:C,2,0)</f>
        <v>-1.105</v>
      </c>
      <c r="C76">
        <f t="shared" si="2"/>
        <v>0.33121088224198098</v>
      </c>
      <c r="H76" t="s">
        <v>91</v>
      </c>
      <c r="I76" s="2">
        <v>0</v>
      </c>
      <c r="K76" s="21"/>
      <c r="L76">
        <v>74</v>
      </c>
      <c r="M76" s="14">
        <f>C27</f>
        <v>5.0000104378403929</v>
      </c>
      <c r="N76" s="14">
        <f>(1-I57)*I18+I57*C27+I77</f>
        <v>5.0000062228989144</v>
      </c>
      <c r="O76" t="b">
        <f>M76=initial!M76</f>
        <v>0</v>
      </c>
      <c r="P76" t="b">
        <f>N76=initial!N76</f>
        <v>0</v>
      </c>
      <c r="Q76" s="4">
        <f t="shared" si="3"/>
        <v>-4.2149414785086492E-6</v>
      </c>
    </row>
    <row r="77" spans="1:17" x14ac:dyDescent="0.25">
      <c r="A77" t="s">
        <v>55</v>
      </c>
      <c r="B77">
        <f>VLOOKUP(A77,Sheet4!B:C,2,0)</f>
        <v>1.15357</v>
      </c>
      <c r="C77">
        <f t="shared" si="2"/>
        <v>3.1694878077744146</v>
      </c>
      <c r="H77" t="s">
        <v>83</v>
      </c>
      <c r="I77" s="2">
        <v>0</v>
      </c>
      <c r="K77" s="22"/>
      <c r="L77">
        <v>75</v>
      </c>
      <c r="M77" s="4">
        <f>C26</f>
        <v>1</v>
      </c>
      <c r="N77" s="4">
        <f>1-I56*1+I56*C26+I78</f>
        <v>1</v>
      </c>
      <c r="O77" t="b">
        <f>M77=initial!M77</f>
        <v>1</v>
      </c>
      <c r="P77" t="b">
        <f>N77=initial!N77</f>
        <v>1</v>
      </c>
      <c r="Q77" s="4">
        <f t="shared" si="3"/>
        <v>0</v>
      </c>
    </row>
    <row r="78" spans="1:17" x14ac:dyDescent="0.25">
      <c r="A78" t="s">
        <v>49</v>
      </c>
      <c r="B78">
        <f>VLOOKUP(A78,Sheet4!B:C,2,0)</f>
        <v>0.18232200000000001</v>
      </c>
      <c r="C78">
        <f t="shared" si="2"/>
        <v>1.2000005318473723</v>
      </c>
      <c r="H78" t="s">
        <v>81</v>
      </c>
      <c r="I78" s="2">
        <v>0</v>
      </c>
      <c r="K78" s="20" t="s">
        <v>185</v>
      </c>
      <c r="L78">
        <v>76</v>
      </c>
      <c r="M78" s="4">
        <f>B71</f>
        <v>2.11532E-3</v>
      </c>
      <c r="N78" s="4">
        <f>C48-I7*C48*(1+C66)/C59</f>
        <v>2.1152877360114397E-3</v>
      </c>
      <c r="O78" t="b">
        <f>M78=initial!M78</f>
        <v>0</v>
      </c>
      <c r="P78" t="b">
        <f>N78=initial!N78</f>
        <v>0</v>
      </c>
      <c r="Q78" s="4">
        <f t="shared" si="3"/>
        <v>-3.2263988560248674E-8</v>
      </c>
    </row>
    <row r="79" spans="1:17" x14ac:dyDescent="0.25">
      <c r="A79" t="s">
        <v>51</v>
      </c>
      <c r="B79">
        <f>VLOOKUP(A79,Sheet4!B:C,2,0)</f>
        <v>2.1671100000000001</v>
      </c>
      <c r="C79">
        <f t="shared" si="2"/>
        <v>8.733009139686656</v>
      </c>
      <c r="H79" t="s">
        <v>283</v>
      </c>
      <c r="I79" s="2">
        <v>0.999</v>
      </c>
      <c r="K79" s="21"/>
      <c r="L79">
        <v>77</v>
      </c>
      <c r="M79" s="4">
        <f>B4</f>
        <v>0.16286600000000001</v>
      </c>
      <c r="N79" s="4">
        <f>C42/C5</f>
        <v>0.16286559318776442</v>
      </c>
      <c r="O79" t="b">
        <f>M79=initial!M79</f>
        <v>0</v>
      </c>
      <c r="P79" t="b">
        <f>N79=initial!N79</f>
        <v>0</v>
      </c>
      <c r="Q79" s="4">
        <f t="shared" si="3"/>
        <v>-4.0681223559269064E-7</v>
      </c>
    </row>
    <row r="80" spans="1:17" x14ac:dyDescent="0.25">
      <c r="A80" t="s">
        <v>38</v>
      </c>
      <c r="B80">
        <f>VLOOKUP(A80,Sheet4!B:C,2,0)</f>
        <v>2.1671100000000001</v>
      </c>
      <c r="C80">
        <f t="shared" si="2"/>
        <v>8.733009139686656</v>
      </c>
      <c r="H80" t="s">
        <v>284</v>
      </c>
      <c r="I80" s="2">
        <v>0.14000000000000001</v>
      </c>
      <c r="K80" s="21"/>
      <c r="L80">
        <v>78</v>
      </c>
      <c r="M80" s="4">
        <f>C13</f>
        <v>1.9172851211307834E-2</v>
      </c>
      <c r="N80" s="4">
        <f>C8/(C8+C6)*C67+C6/(C8+C6)*C66-C68</f>
        <v>1.9172811684672806E-2</v>
      </c>
      <c r="O80" t="b">
        <f>M80=initial!M80</f>
        <v>0</v>
      </c>
      <c r="P80" t="b">
        <f>N80=initial!N80</f>
        <v>0</v>
      </c>
      <c r="Q80" s="4">
        <f t="shared" si="3"/>
        <v>-3.95266350275425E-8</v>
      </c>
    </row>
    <row r="81" spans="1:17" x14ac:dyDescent="0.25">
      <c r="A81" t="s">
        <v>73</v>
      </c>
      <c r="B81">
        <f>VLOOKUP(A81,Sheet4!B:C,2,0)</f>
        <v>2.2156099999999999</v>
      </c>
      <c r="C81">
        <f t="shared" si="2"/>
        <v>9.16699927599368</v>
      </c>
      <c r="H81" t="s">
        <v>285</v>
      </c>
      <c r="I81" s="2">
        <v>0</v>
      </c>
      <c r="K81" s="22"/>
      <c r="L81">
        <v>79</v>
      </c>
      <c r="M81" s="4">
        <f>C74</f>
        <v>1.7817574095800183E-2</v>
      </c>
      <c r="N81" s="4">
        <f>0.5*C67+0.5*C66-C68</f>
        <v>1.7817657999636555E-2</v>
      </c>
      <c r="O81" t="b">
        <f>M81=initial!M81</f>
        <v>0</v>
      </c>
      <c r="P81" t="b">
        <f>N81=initial!N81</f>
        <v>0</v>
      </c>
      <c r="Q81" s="4">
        <f t="shared" si="3"/>
        <v>8.3903836371745921E-8</v>
      </c>
    </row>
    <row r="82" spans="1:17" x14ac:dyDescent="0.25">
      <c r="A82" t="s">
        <v>4</v>
      </c>
      <c r="B82">
        <v>-3</v>
      </c>
      <c r="C82">
        <f t="shared" si="2"/>
        <v>4.9787068367863944E-2</v>
      </c>
      <c r="L82">
        <v>80</v>
      </c>
      <c r="M82" s="4">
        <f>C82</f>
        <v>4.9787068367863944E-2</v>
      </c>
      <c r="N82" s="14">
        <f>(1-I79)*I80+I79*C82+I81</f>
        <v>4.9877281299496083E-2</v>
      </c>
    </row>
    <row r="92" spans="1:17" x14ac:dyDescent="0.25">
      <c r="M92" s="4">
        <f>0.99*0.14+0.99*0.14</f>
        <v>0.2772</v>
      </c>
    </row>
  </sheetData>
  <mergeCells count="9">
    <mergeCell ref="K52:K64"/>
    <mergeCell ref="K66:K77"/>
    <mergeCell ref="K78:K81"/>
    <mergeCell ref="K15:K20"/>
    <mergeCell ref="K21:K27"/>
    <mergeCell ref="K28:K29"/>
    <mergeCell ref="K30:K39"/>
    <mergeCell ref="K40:K49"/>
    <mergeCell ref="K50:K51"/>
  </mergeCells>
  <conditionalFormatting sqref="O1:P1048576">
    <cfRule type="containsText" dxfId="0" priority="1" operator="containsText" text="false">
      <formula>NOT(ISERROR(SEARCH("false",O1)))</formula>
    </cfRule>
  </conditionalFormatting>
  <pageMargins left="0.7" right="0.7" top="0.75" bottom="0.75" header="0.3" footer="0.3"/>
  <pageSetup paperSize="9" orientation="portrait" r:id="rId1"/>
  <headerFooter>
    <oddHeader>&amp;R&amp;"Times New Roman"&amp;12&amp;K000000BNR - Uz intern&amp;1#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O103"/>
  <sheetViews>
    <sheetView tabSelected="1" topLeftCell="A49" workbookViewId="0">
      <selection activeCell="Q69" sqref="Q69"/>
    </sheetView>
  </sheetViews>
  <sheetFormatPr defaultRowHeight="15" x14ac:dyDescent="0.25"/>
  <cols>
    <col min="7" max="7" width="10.140625" bestFit="1" customWidth="1"/>
    <col min="8" max="8" width="5.5703125" customWidth="1"/>
  </cols>
  <sheetData>
    <row r="1" spans="2:67" x14ac:dyDescent="0.25">
      <c r="F1" t="s">
        <v>265</v>
      </c>
      <c r="I1" t="s">
        <v>266</v>
      </c>
      <c r="M1" t="s">
        <v>267</v>
      </c>
      <c r="Q1" t="s">
        <v>268</v>
      </c>
      <c r="U1" t="s">
        <v>269</v>
      </c>
      <c r="Y1" t="s">
        <v>270</v>
      </c>
      <c r="AC1" t="s">
        <v>271</v>
      </c>
      <c r="AG1" t="s">
        <v>272</v>
      </c>
      <c r="AK1" t="s">
        <v>273</v>
      </c>
      <c r="AO1" t="s">
        <v>280</v>
      </c>
      <c r="AS1" t="s">
        <v>281</v>
      </c>
      <c r="AW1" t="s">
        <v>282</v>
      </c>
      <c r="BA1" t="s">
        <v>287</v>
      </c>
      <c r="BE1" t="s">
        <v>288</v>
      </c>
      <c r="BI1" t="s">
        <v>289</v>
      </c>
      <c r="BM1" t="s">
        <v>290</v>
      </c>
    </row>
    <row r="2" spans="2:67" x14ac:dyDescent="0.25">
      <c r="B2" t="s">
        <v>16</v>
      </c>
      <c r="C2">
        <v>1.4987200000000001</v>
      </c>
      <c r="D2" t="str">
        <f>B2&amp;"="&amp;C2&amp;";"</f>
        <v>c_p=1.49872;</v>
      </c>
      <c r="F2" t="s">
        <v>16</v>
      </c>
      <c r="G2">
        <v>-0.113499</v>
      </c>
      <c r="I2" t="s">
        <v>186</v>
      </c>
      <c r="K2">
        <v>1.7704</v>
      </c>
      <c r="M2" t="s">
        <v>186</v>
      </c>
      <c r="O2">
        <v>1.2565999999999999</v>
      </c>
      <c r="Q2" t="s">
        <v>186</v>
      </c>
      <c r="S2">
        <v>1.2794399999999999</v>
      </c>
      <c r="U2" t="s">
        <v>186</v>
      </c>
      <c r="W2">
        <v>1.5018</v>
      </c>
      <c r="Y2" t="s">
        <v>186</v>
      </c>
      <c r="AA2">
        <v>1.57369</v>
      </c>
      <c r="AC2" t="s">
        <v>186</v>
      </c>
      <c r="AE2">
        <v>1.5735300000000001</v>
      </c>
      <c r="AG2" t="s">
        <v>186</v>
      </c>
      <c r="AI2">
        <v>1.5733600000000001</v>
      </c>
      <c r="AK2" t="s">
        <v>186</v>
      </c>
      <c r="AM2">
        <v>1.5733600000000001</v>
      </c>
      <c r="AO2" t="s">
        <v>186</v>
      </c>
      <c r="AQ2">
        <v>1.56528</v>
      </c>
      <c r="AS2" t="s">
        <v>186</v>
      </c>
      <c r="AU2">
        <v>1.5432300000000001</v>
      </c>
      <c r="AW2" t="s">
        <v>186</v>
      </c>
      <c r="AY2">
        <v>1.4829300000000001</v>
      </c>
      <c r="BA2" t="s">
        <v>186</v>
      </c>
      <c r="BC2">
        <v>1.49594</v>
      </c>
      <c r="BE2" t="s">
        <v>186</v>
      </c>
      <c r="BG2">
        <v>1.48593</v>
      </c>
      <c r="BI2" t="s">
        <v>186</v>
      </c>
      <c r="BK2">
        <v>1.4976400000000001</v>
      </c>
      <c r="BM2" t="s">
        <v>186</v>
      </c>
      <c r="BO2">
        <v>1.4987200000000001</v>
      </c>
    </row>
    <row r="3" spans="2:67" x14ac:dyDescent="0.25">
      <c r="B3" t="s">
        <v>17</v>
      </c>
      <c r="C3">
        <v>-1.12703E-2</v>
      </c>
      <c r="D3" t="str">
        <f t="shared" ref="D3:D66" si="0">B3&amp;"="&amp;C3&amp;";"</f>
        <v>h_p=-0.0112703;</v>
      </c>
      <c r="F3" t="s">
        <v>17</v>
      </c>
      <c r="G3">
        <v>-5.2065800000000002E-2</v>
      </c>
      <c r="I3" t="s">
        <v>187</v>
      </c>
      <c r="K3">
        <v>-4.3781100000000003E-2</v>
      </c>
      <c r="M3" t="s">
        <v>187</v>
      </c>
      <c r="O3">
        <v>-4.4323700000000001E-2</v>
      </c>
      <c r="Q3" t="s">
        <v>187</v>
      </c>
      <c r="S3">
        <v>-3.7132499999999999E-2</v>
      </c>
      <c r="U3" t="s">
        <v>187</v>
      </c>
      <c r="W3">
        <v>-3.7132499999999999E-2</v>
      </c>
      <c r="Y3" t="s">
        <v>187</v>
      </c>
      <c r="AA3">
        <v>-1.7575400000000001E-2</v>
      </c>
      <c r="AC3" t="s">
        <v>187</v>
      </c>
      <c r="AE3">
        <v>-1.75786E-2</v>
      </c>
      <c r="AG3" t="s">
        <v>187</v>
      </c>
      <c r="AI3">
        <v>-1.7581800000000002E-2</v>
      </c>
      <c r="AK3" t="s">
        <v>187</v>
      </c>
      <c r="AM3">
        <v>-1.7581800000000002E-2</v>
      </c>
      <c r="AO3" t="s">
        <v>187</v>
      </c>
      <c r="AQ3">
        <v>-1.6466999999999999E-2</v>
      </c>
      <c r="AS3" t="s">
        <v>187</v>
      </c>
      <c r="AU3">
        <v>-1.38575E-2</v>
      </c>
      <c r="AW3" t="s">
        <v>187</v>
      </c>
      <c r="AY3">
        <v>-1.05705E-2</v>
      </c>
      <c r="BA3" t="s">
        <v>187</v>
      </c>
      <c r="BC3">
        <v>-1.1139E-2</v>
      </c>
      <c r="BE3" t="s">
        <v>187</v>
      </c>
      <c r="BG3">
        <v>-1.0553399999999999E-2</v>
      </c>
      <c r="BI3" t="s">
        <v>187</v>
      </c>
      <c r="BK3">
        <v>-1.1209E-2</v>
      </c>
      <c r="BM3" t="s">
        <v>187</v>
      </c>
      <c r="BO3">
        <v>-1.12703E-2</v>
      </c>
    </row>
    <row r="4" spans="2:67" x14ac:dyDescent="0.25">
      <c r="B4" t="s">
        <v>18</v>
      </c>
      <c r="C4">
        <v>2.9795099999999999</v>
      </c>
      <c r="D4" t="str">
        <f t="shared" si="0"/>
        <v>d_p=2.97951;</v>
      </c>
      <c r="F4" t="s">
        <v>18</v>
      </c>
      <c r="G4">
        <v>1.04257</v>
      </c>
      <c r="I4" t="s">
        <v>188</v>
      </c>
      <c r="K4">
        <v>3.7342900000000001</v>
      </c>
      <c r="M4" t="s">
        <v>188</v>
      </c>
      <c r="O4">
        <v>2.8674499999999998</v>
      </c>
      <c r="Q4" t="s">
        <v>188</v>
      </c>
      <c r="S4">
        <v>2.9760599999999999</v>
      </c>
      <c r="U4" t="s">
        <v>188</v>
      </c>
      <c r="W4">
        <v>3.19842</v>
      </c>
      <c r="Y4" t="s">
        <v>188</v>
      </c>
      <c r="AA4">
        <v>3.0739800000000002</v>
      </c>
      <c r="AC4" t="s">
        <v>188</v>
      </c>
      <c r="AE4">
        <v>3.0629400000000002</v>
      </c>
      <c r="AG4" t="s">
        <v>188</v>
      </c>
      <c r="AI4">
        <v>3.05179</v>
      </c>
      <c r="AK4" t="s">
        <v>188</v>
      </c>
      <c r="AM4">
        <v>3.05179</v>
      </c>
      <c r="AO4" t="s">
        <v>188</v>
      </c>
      <c r="AQ4">
        <v>2.99478</v>
      </c>
      <c r="AS4" t="s">
        <v>188</v>
      </c>
      <c r="AU4">
        <v>2.9329200000000002</v>
      </c>
      <c r="AW4" t="s">
        <v>188</v>
      </c>
      <c r="AY4">
        <v>2.8512599999999999</v>
      </c>
      <c r="BA4" t="s">
        <v>188</v>
      </c>
      <c r="BC4">
        <v>2.9677199999999999</v>
      </c>
      <c r="BE4" t="s">
        <v>188</v>
      </c>
      <c r="BG4">
        <v>2.95648</v>
      </c>
      <c r="BI4" t="s">
        <v>188</v>
      </c>
      <c r="BK4">
        <v>2.9858899999999999</v>
      </c>
      <c r="BM4" t="s">
        <v>188</v>
      </c>
      <c r="BO4">
        <v>2.9795099999999999</v>
      </c>
    </row>
    <row r="5" spans="2:67" x14ac:dyDescent="0.25">
      <c r="B5" t="s">
        <v>19</v>
      </c>
      <c r="C5">
        <v>-7.2653200000000001E-2</v>
      </c>
      <c r="D5" t="str">
        <f t="shared" si="0"/>
        <v>l_p=-0.0726532;</v>
      </c>
      <c r="F5" t="s">
        <v>19</v>
      </c>
      <c r="G5">
        <v>-0.26460400000000001</v>
      </c>
      <c r="I5" t="s">
        <v>189</v>
      </c>
      <c r="K5">
        <v>-0.35334599999999999</v>
      </c>
      <c r="M5" t="s">
        <v>189</v>
      </c>
      <c r="O5">
        <v>-0.34705000000000003</v>
      </c>
      <c r="Q5" t="s">
        <v>189</v>
      </c>
      <c r="S5">
        <v>-0.34272200000000003</v>
      </c>
      <c r="U5" t="s">
        <v>189</v>
      </c>
      <c r="W5">
        <v>-7.7697199999999994E-2</v>
      </c>
      <c r="Y5" t="s">
        <v>189</v>
      </c>
      <c r="AA5">
        <v>-7.2690299999999999E-2</v>
      </c>
      <c r="AC5" t="s">
        <v>189</v>
      </c>
      <c r="AE5">
        <v>-7.2669499999999998E-2</v>
      </c>
      <c r="AG5" t="s">
        <v>189</v>
      </c>
      <c r="AI5">
        <v>-7.2648799999999999E-2</v>
      </c>
      <c r="AK5" t="s">
        <v>189</v>
      </c>
      <c r="AM5">
        <v>-7.2648799999999999E-2</v>
      </c>
      <c r="AO5" t="s">
        <v>189</v>
      </c>
      <c r="AQ5">
        <v>-7.2559200000000004E-2</v>
      </c>
      <c r="AS5" t="s">
        <v>189</v>
      </c>
      <c r="AU5">
        <v>-7.2489499999999998E-2</v>
      </c>
      <c r="AW5" t="s">
        <v>189</v>
      </c>
      <c r="AY5">
        <v>-7.2453299999999998E-2</v>
      </c>
      <c r="BA5" t="s">
        <v>189</v>
      </c>
      <c r="BC5">
        <v>-7.2636400000000004E-2</v>
      </c>
      <c r="BE5" t="s">
        <v>189</v>
      </c>
      <c r="BG5">
        <v>-7.2634099999999993E-2</v>
      </c>
      <c r="BI5" t="s">
        <v>189</v>
      </c>
      <c r="BK5">
        <v>-7.2667300000000004E-2</v>
      </c>
      <c r="BM5" t="s">
        <v>189</v>
      </c>
      <c r="BO5">
        <v>-7.2653200000000001E-2</v>
      </c>
    </row>
    <row r="6" spans="2:67" x14ac:dyDescent="0.25">
      <c r="B6" t="s">
        <v>20</v>
      </c>
      <c r="C6">
        <v>-1.4987200000000001</v>
      </c>
      <c r="D6" t="str">
        <f t="shared" si="0"/>
        <v>lam_p=-1.49872;</v>
      </c>
      <c r="F6" t="s">
        <v>20</v>
      </c>
      <c r="G6">
        <v>0.113499</v>
      </c>
      <c r="I6" t="s">
        <v>190</v>
      </c>
      <c r="K6">
        <v>-1.7704</v>
      </c>
      <c r="M6" t="s">
        <v>190</v>
      </c>
      <c r="O6">
        <v>-1.2565999999999999</v>
      </c>
      <c r="Q6" t="s">
        <v>190</v>
      </c>
      <c r="S6">
        <v>-1.2794399999999999</v>
      </c>
      <c r="U6" t="s">
        <v>190</v>
      </c>
      <c r="W6">
        <v>-1.5018</v>
      </c>
      <c r="Y6" t="s">
        <v>190</v>
      </c>
      <c r="AA6">
        <v>-1.57369</v>
      </c>
      <c r="AC6" t="s">
        <v>190</v>
      </c>
      <c r="AE6">
        <v>-1.5735300000000001</v>
      </c>
      <c r="AG6" t="s">
        <v>190</v>
      </c>
      <c r="AI6">
        <v>-1.5733600000000001</v>
      </c>
      <c r="AK6" t="s">
        <v>190</v>
      </c>
      <c r="AM6">
        <v>-1.5733600000000001</v>
      </c>
      <c r="AO6" t="s">
        <v>190</v>
      </c>
      <c r="AQ6">
        <v>-1.56528</v>
      </c>
      <c r="AS6" t="s">
        <v>190</v>
      </c>
      <c r="AU6">
        <v>-1.5432300000000001</v>
      </c>
      <c r="AW6" t="s">
        <v>190</v>
      </c>
      <c r="AY6">
        <v>-1.4829300000000001</v>
      </c>
      <c r="BA6" t="s">
        <v>190</v>
      </c>
      <c r="BC6">
        <v>-1.49594</v>
      </c>
      <c r="BE6" t="s">
        <v>190</v>
      </c>
      <c r="BG6">
        <v>-1.48593</v>
      </c>
      <c r="BI6" t="s">
        <v>190</v>
      </c>
      <c r="BK6">
        <v>-1.4976400000000001</v>
      </c>
      <c r="BM6" t="s">
        <v>190</v>
      </c>
      <c r="BO6">
        <v>-1.4987200000000001</v>
      </c>
    </row>
    <row r="7" spans="2:67" x14ac:dyDescent="0.25">
      <c r="B7" t="s">
        <v>21</v>
      </c>
      <c r="C7">
        <v>0.37534699999999999</v>
      </c>
      <c r="D7" t="str">
        <f t="shared" si="0"/>
        <v>J_R=0.375347;</v>
      </c>
      <c r="F7" t="s">
        <v>21</v>
      </c>
      <c r="G7">
        <v>-1.5181800000000001</v>
      </c>
      <c r="I7" t="s">
        <v>191</v>
      </c>
      <c r="K7">
        <v>0.69906299999999999</v>
      </c>
      <c r="M7" t="s">
        <v>191</v>
      </c>
      <c r="O7">
        <v>0.197856</v>
      </c>
      <c r="Q7" t="s">
        <v>191</v>
      </c>
      <c r="S7">
        <v>0.229348</v>
      </c>
      <c r="U7" t="s">
        <v>191</v>
      </c>
      <c r="W7">
        <v>0.451712</v>
      </c>
      <c r="Y7" t="s">
        <v>191</v>
      </c>
      <c r="AA7">
        <v>0.44999</v>
      </c>
      <c r="AC7" t="s">
        <v>191</v>
      </c>
      <c r="AE7">
        <v>0.45000800000000002</v>
      </c>
      <c r="AG7" t="s">
        <v>191</v>
      </c>
      <c r="AI7">
        <v>0.45002700000000001</v>
      </c>
      <c r="AK7" t="s">
        <v>191</v>
      </c>
      <c r="AM7">
        <v>0.45002700000000001</v>
      </c>
      <c r="AO7" t="s">
        <v>191</v>
      </c>
      <c r="AQ7">
        <v>0.44273800000000002</v>
      </c>
      <c r="AS7" t="s">
        <v>191</v>
      </c>
      <c r="AU7">
        <v>0.42130200000000001</v>
      </c>
      <c r="AW7" t="s">
        <v>191</v>
      </c>
      <c r="AY7">
        <v>0.36132300000000001</v>
      </c>
      <c r="BA7" t="s">
        <v>191</v>
      </c>
      <c r="BC7">
        <v>0.37271799999999999</v>
      </c>
      <c r="BE7" t="s">
        <v>191</v>
      </c>
      <c r="BG7">
        <v>0.36272300000000002</v>
      </c>
      <c r="BI7" t="s">
        <v>191</v>
      </c>
      <c r="BK7">
        <v>0.374141</v>
      </c>
      <c r="BM7" t="s">
        <v>191</v>
      </c>
      <c r="BO7">
        <v>0.37534699999999999</v>
      </c>
    </row>
    <row r="8" spans="2:67" x14ac:dyDescent="0.25">
      <c r="B8" t="s">
        <v>22</v>
      </c>
      <c r="C8">
        <v>-0.76663700000000001</v>
      </c>
      <c r="D8" t="str">
        <f t="shared" si="0"/>
        <v>j_B=-0.766637;</v>
      </c>
      <c r="F8" t="s">
        <v>22</v>
      </c>
      <c r="G8">
        <v>-3.52603</v>
      </c>
      <c r="I8" t="s">
        <v>192</v>
      </c>
      <c r="K8">
        <v>-0.83431699999999998</v>
      </c>
      <c r="M8" t="s">
        <v>192</v>
      </c>
      <c r="O8">
        <v>-1.7011499999999999</v>
      </c>
      <c r="Q8" t="s">
        <v>192</v>
      </c>
      <c r="S8">
        <v>-2.0266899999999999</v>
      </c>
      <c r="U8" t="s">
        <v>192</v>
      </c>
      <c r="W8">
        <v>-1.8043199999999999</v>
      </c>
      <c r="Y8" t="s">
        <v>192</v>
      </c>
      <c r="AA8">
        <v>-1.9287700000000001</v>
      </c>
      <c r="AC8" t="s">
        <v>192</v>
      </c>
      <c r="AE8">
        <v>-1.9227000000000001</v>
      </c>
      <c r="AG8" t="s">
        <v>192</v>
      </c>
      <c r="AI8">
        <v>-1.91666</v>
      </c>
      <c r="AK8" t="s">
        <v>192</v>
      </c>
      <c r="AM8">
        <v>-1.91666</v>
      </c>
      <c r="AO8" t="s">
        <v>192</v>
      </c>
      <c r="AQ8">
        <v>-1.73872</v>
      </c>
      <c r="AS8" t="s">
        <v>192</v>
      </c>
      <c r="AU8">
        <v>-1.39855</v>
      </c>
      <c r="AW8" t="s">
        <v>192</v>
      </c>
      <c r="AY8">
        <v>-0.81368600000000002</v>
      </c>
      <c r="BA8" t="s">
        <v>192</v>
      </c>
      <c r="BC8">
        <v>-0.77896600000000005</v>
      </c>
      <c r="BE8" t="s">
        <v>192</v>
      </c>
      <c r="BG8">
        <v>-0.69902500000000001</v>
      </c>
      <c r="BI8" t="s">
        <v>192</v>
      </c>
      <c r="BK8">
        <v>-0.77442299999999997</v>
      </c>
      <c r="BM8" t="s">
        <v>192</v>
      </c>
      <c r="BO8">
        <v>-0.76663700000000001</v>
      </c>
    </row>
    <row r="9" spans="2:67" x14ac:dyDescent="0.25">
      <c r="B9" t="s">
        <v>23</v>
      </c>
      <c r="C9" s="2">
        <v>5.9727899999999998E-15</v>
      </c>
      <c r="D9" t="str">
        <f t="shared" si="0"/>
        <v>pie_wp=5.97279E-15;</v>
      </c>
      <c r="F9" t="s">
        <v>23</v>
      </c>
      <c r="G9" s="2">
        <v>1.9851500000000001E-16</v>
      </c>
      <c r="H9" s="2"/>
      <c r="I9" t="s">
        <v>193</v>
      </c>
      <c r="K9" s="2">
        <v>1.43473E-14</v>
      </c>
      <c r="M9" t="s">
        <v>193</v>
      </c>
      <c r="O9" s="2">
        <v>-7.0274900000000001E-16</v>
      </c>
      <c r="Q9" t="s">
        <v>193</v>
      </c>
      <c r="S9" s="2">
        <v>-8.49894E-15</v>
      </c>
      <c r="U9" t="s">
        <v>193</v>
      </c>
      <c r="W9" s="2">
        <v>-8.1824600000000004E-14</v>
      </c>
      <c r="Y9" t="s">
        <v>193</v>
      </c>
      <c r="AA9" s="2">
        <v>4.41614E-11</v>
      </c>
      <c r="AC9" t="s">
        <v>193</v>
      </c>
      <c r="AE9" s="2">
        <v>-2.4524499999999998E-15</v>
      </c>
      <c r="AG9" t="s">
        <v>193</v>
      </c>
      <c r="AI9" s="2">
        <v>-7.2169399999999997E-16</v>
      </c>
      <c r="AK9" t="s">
        <v>193</v>
      </c>
      <c r="AM9" s="2">
        <v>-7.2169399999999997E-16</v>
      </c>
      <c r="AO9" t="s">
        <v>193</v>
      </c>
      <c r="AQ9" s="2">
        <v>-1.9112299999999999E-13</v>
      </c>
      <c r="AS9" t="s">
        <v>193</v>
      </c>
      <c r="AU9" s="2">
        <v>2.5699800000000002E-13</v>
      </c>
      <c r="AW9" t="s">
        <v>193</v>
      </c>
      <c r="AY9" s="2">
        <v>2.0104400000000001E-14</v>
      </c>
      <c r="BA9" t="s">
        <v>193</v>
      </c>
      <c r="BC9" s="2">
        <v>5.8736099999999996E-15</v>
      </c>
      <c r="BE9" t="s">
        <v>193</v>
      </c>
      <c r="BG9" s="2">
        <v>2.8490200000000002E-7</v>
      </c>
      <c r="BI9" t="s">
        <v>193</v>
      </c>
      <c r="BK9" s="2">
        <v>7.3052399999999996E-15</v>
      </c>
      <c r="BM9" t="s">
        <v>193</v>
      </c>
      <c r="BO9" s="2">
        <v>5.9727899999999998E-15</v>
      </c>
    </row>
    <row r="10" spans="2:67" x14ac:dyDescent="0.25">
      <c r="B10" t="s">
        <v>24</v>
      </c>
      <c r="C10">
        <v>-1.23969</v>
      </c>
      <c r="D10" t="str">
        <f t="shared" si="0"/>
        <v>c_i=-1.23969;</v>
      </c>
      <c r="F10" t="s">
        <v>24</v>
      </c>
      <c r="G10">
        <v>-1.91456</v>
      </c>
      <c r="I10" t="s">
        <v>194</v>
      </c>
      <c r="K10">
        <v>-0.20814199999999999</v>
      </c>
      <c r="M10" t="s">
        <v>194</v>
      </c>
      <c r="O10">
        <v>-0.70934900000000001</v>
      </c>
      <c r="Q10" t="s">
        <v>194</v>
      </c>
      <c r="S10">
        <v>-0.65853600000000001</v>
      </c>
      <c r="U10" t="s">
        <v>194</v>
      </c>
      <c r="W10">
        <v>-0.436172</v>
      </c>
      <c r="Y10" t="s">
        <v>194</v>
      </c>
      <c r="AA10">
        <v>-1.13323</v>
      </c>
      <c r="AC10" t="s">
        <v>194</v>
      </c>
      <c r="AE10">
        <v>-1.1332100000000001</v>
      </c>
      <c r="AG10" t="s">
        <v>194</v>
      </c>
      <c r="AI10">
        <v>-1.1331899999999999</v>
      </c>
      <c r="AK10" t="s">
        <v>194</v>
      </c>
      <c r="AM10">
        <v>-1.1331899999999999</v>
      </c>
      <c r="AO10" t="s">
        <v>194</v>
      </c>
      <c r="AQ10">
        <v>-1.14611</v>
      </c>
      <c r="AS10" t="s">
        <v>194</v>
      </c>
      <c r="AU10">
        <v>-1.1807000000000001</v>
      </c>
      <c r="AW10" t="s">
        <v>194</v>
      </c>
      <c r="AY10">
        <v>-1.25739</v>
      </c>
      <c r="BA10" t="s">
        <v>194</v>
      </c>
      <c r="BC10">
        <v>-1.2430000000000001</v>
      </c>
      <c r="BE10" t="s">
        <v>194</v>
      </c>
      <c r="BG10">
        <v>-1.2559899999999999</v>
      </c>
      <c r="BI10" t="s">
        <v>194</v>
      </c>
      <c r="BK10">
        <v>-1.2412099999999999</v>
      </c>
      <c r="BM10" t="s">
        <v>194</v>
      </c>
      <c r="BO10">
        <v>-1.23969</v>
      </c>
    </row>
    <row r="11" spans="2:67" x14ac:dyDescent="0.25">
      <c r="B11" t="s">
        <v>25</v>
      </c>
      <c r="C11">
        <v>-4.4912099999999997</v>
      </c>
      <c r="D11" t="str">
        <f t="shared" si="0"/>
        <v>h_i=-4.49121;</v>
      </c>
      <c r="F11" t="s">
        <v>25</v>
      </c>
      <c r="G11">
        <v>-2.9811700000000001</v>
      </c>
      <c r="I11" t="s">
        <v>195</v>
      </c>
      <c r="K11">
        <v>-3.15036</v>
      </c>
      <c r="M11" t="s">
        <v>195</v>
      </c>
      <c r="O11">
        <v>-3.1383200000000002</v>
      </c>
      <c r="Q11" t="s">
        <v>195</v>
      </c>
      <c r="S11">
        <v>-3.3117700000000001</v>
      </c>
      <c r="U11" t="s">
        <v>195</v>
      </c>
      <c r="W11">
        <v>-3.3117700000000001</v>
      </c>
      <c r="Y11" t="s">
        <v>195</v>
      </c>
      <c r="AA11">
        <v>-4.0500299999999996</v>
      </c>
      <c r="AC11" t="s">
        <v>195</v>
      </c>
      <c r="AE11">
        <v>-4.0498500000000002</v>
      </c>
      <c r="AG11" t="s">
        <v>195</v>
      </c>
      <c r="AI11">
        <v>-4.0496699999999999</v>
      </c>
      <c r="AK11" t="s">
        <v>195</v>
      </c>
      <c r="AM11">
        <v>-4.0496699999999999</v>
      </c>
      <c r="AO11" t="s">
        <v>195</v>
      </c>
      <c r="AQ11">
        <v>-4.1146200000000004</v>
      </c>
      <c r="AS11" t="s">
        <v>195</v>
      </c>
      <c r="AU11">
        <v>-4.2858499999999999</v>
      </c>
      <c r="AW11" t="s">
        <v>195</v>
      </c>
      <c r="AY11">
        <v>-4.5549600000000003</v>
      </c>
      <c r="BA11" t="s">
        <v>195</v>
      </c>
      <c r="BC11">
        <v>-4.5028600000000001</v>
      </c>
      <c r="BE11" t="s">
        <v>195</v>
      </c>
      <c r="BG11">
        <v>-4.5565800000000003</v>
      </c>
      <c r="BI11" t="s">
        <v>195</v>
      </c>
      <c r="BK11">
        <v>-4.4966400000000002</v>
      </c>
      <c r="BM11" t="s">
        <v>195</v>
      </c>
      <c r="BO11">
        <v>-4.4912099999999997</v>
      </c>
    </row>
    <row r="12" spans="2:67" x14ac:dyDescent="0.25">
      <c r="B12" t="s">
        <v>26</v>
      </c>
      <c r="C12">
        <v>0.64655399999999996</v>
      </c>
      <c r="D12" t="str">
        <f t="shared" si="0"/>
        <v>b_i=0.646554;</v>
      </c>
      <c r="F12" t="s">
        <v>26</v>
      </c>
      <c r="G12">
        <v>0.14402699999999999</v>
      </c>
      <c r="I12" t="s">
        <v>196</v>
      </c>
      <c r="K12">
        <v>1.8504400000000001</v>
      </c>
      <c r="M12" t="s">
        <v>196</v>
      </c>
      <c r="O12">
        <v>1.3492299999999999</v>
      </c>
      <c r="Q12" t="s">
        <v>196</v>
      </c>
      <c r="S12">
        <v>1.62866</v>
      </c>
      <c r="U12" t="s">
        <v>196</v>
      </c>
      <c r="W12">
        <v>1.8510200000000001</v>
      </c>
      <c r="Y12" t="s">
        <v>196</v>
      </c>
      <c r="AA12">
        <v>1.1792800000000001</v>
      </c>
      <c r="AC12" t="s">
        <v>196</v>
      </c>
      <c r="AE12">
        <v>1.1793</v>
      </c>
      <c r="AG12" t="s">
        <v>196</v>
      </c>
      <c r="AI12">
        <v>1.1793199999999999</v>
      </c>
      <c r="AK12" t="s">
        <v>196</v>
      </c>
      <c r="AM12">
        <v>1.1793199999999999</v>
      </c>
      <c r="AO12" t="s">
        <v>196</v>
      </c>
      <c r="AQ12">
        <v>1.10392</v>
      </c>
      <c r="AS12" t="s">
        <v>196</v>
      </c>
      <c r="AU12">
        <v>0.90433699999999995</v>
      </c>
      <c r="AW12" t="s">
        <v>196</v>
      </c>
      <c r="AY12">
        <v>0.56435500000000005</v>
      </c>
      <c r="BA12" t="s">
        <v>196</v>
      </c>
      <c r="BC12">
        <v>0.63165000000000004</v>
      </c>
      <c r="BE12" t="s">
        <v>196</v>
      </c>
      <c r="BG12">
        <v>0.56572</v>
      </c>
      <c r="BI12" t="s">
        <v>196</v>
      </c>
      <c r="BK12">
        <v>0.63983000000000001</v>
      </c>
      <c r="BM12" t="s">
        <v>196</v>
      </c>
      <c r="BO12">
        <v>0.64655399999999996</v>
      </c>
    </row>
    <row r="13" spans="2:67" x14ac:dyDescent="0.25">
      <c r="B13" t="s">
        <v>27</v>
      </c>
      <c r="C13">
        <v>-1.1307899999999999E-2</v>
      </c>
      <c r="D13" t="str">
        <f t="shared" si="0"/>
        <v>l_i=-0.0113079;</v>
      </c>
      <c r="F13" t="s">
        <v>27</v>
      </c>
      <c r="G13">
        <v>-5.7223099999999999E-2</v>
      </c>
      <c r="I13" t="s">
        <v>197</v>
      </c>
      <c r="K13">
        <v>-5.7223099999999999E-2</v>
      </c>
      <c r="M13" t="s">
        <v>197</v>
      </c>
      <c r="O13">
        <v>-5.7223099999999999E-2</v>
      </c>
      <c r="Q13" t="s">
        <v>197</v>
      </c>
      <c r="S13">
        <v>-6.6883700000000004E-2</v>
      </c>
      <c r="U13" t="s">
        <v>197</v>
      </c>
      <c r="W13">
        <v>-1.51629E-2</v>
      </c>
      <c r="Y13" t="s">
        <v>197</v>
      </c>
      <c r="AA13">
        <v>-1.4914699999999999E-2</v>
      </c>
      <c r="AC13" t="s">
        <v>197</v>
      </c>
      <c r="AE13">
        <v>-1.4914699999999999E-2</v>
      </c>
      <c r="AG13" t="s">
        <v>197</v>
      </c>
      <c r="AI13">
        <v>-1.4914699999999999E-2</v>
      </c>
      <c r="AK13" t="s">
        <v>197</v>
      </c>
      <c r="AM13">
        <v>-1.4914699999999999E-2</v>
      </c>
      <c r="AO13" t="s">
        <v>197</v>
      </c>
      <c r="AQ13">
        <v>-1.42769E-2</v>
      </c>
      <c r="AS13" t="s">
        <v>197</v>
      </c>
      <c r="AU13">
        <v>-1.27863E-2</v>
      </c>
      <c r="AW13" t="s">
        <v>197</v>
      </c>
      <c r="AY13">
        <v>-1.08915E-2</v>
      </c>
      <c r="BA13" t="s">
        <v>197</v>
      </c>
      <c r="BC13">
        <v>-1.12309E-2</v>
      </c>
      <c r="BE13" t="s">
        <v>197</v>
      </c>
      <c r="BG13">
        <v>-1.08913E-2</v>
      </c>
      <c r="BI13" t="s">
        <v>197</v>
      </c>
      <c r="BK13">
        <v>-1.1273200000000001E-2</v>
      </c>
      <c r="BM13" t="s">
        <v>197</v>
      </c>
      <c r="BO13">
        <v>-1.1307899999999999E-2</v>
      </c>
    </row>
    <row r="14" spans="2:67" x14ac:dyDescent="0.25">
      <c r="B14" t="s">
        <v>28</v>
      </c>
      <c r="C14">
        <v>1.23969</v>
      </c>
      <c r="D14" t="str">
        <f t="shared" si="0"/>
        <v>lam_i=1.23969;</v>
      </c>
      <c r="F14" t="s">
        <v>28</v>
      </c>
      <c r="G14">
        <v>1.91456</v>
      </c>
      <c r="I14" t="s">
        <v>198</v>
      </c>
      <c r="K14">
        <v>0.20814199999999999</v>
      </c>
      <c r="M14" t="s">
        <v>198</v>
      </c>
      <c r="O14">
        <v>0.70934900000000001</v>
      </c>
      <c r="Q14" t="s">
        <v>198</v>
      </c>
      <c r="S14">
        <v>0.65853600000000001</v>
      </c>
      <c r="U14" t="s">
        <v>198</v>
      </c>
      <c r="W14">
        <v>0.436172</v>
      </c>
      <c r="Y14" t="s">
        <v>198</v>
      </c>
      <c r="AA14">
        <v>1.13323</v>
      </c>
      <c r="AC14" t="s">
        <v>198</v>
      </c>
      <c r="AE14">
        <v>1.1332100000000001</v>
      </c>
      <c r="AG14" t="s">
        <v>198</v>
      </c>
      <c r="AI14">
        <v>1.1331899999999999</v>
      </c>
      <c r="AK14" t="s">
        <v>198</v>
      </c>
      <c r="AM14">
        <v>1.1331899999999999</v>
      </c>
      <c r="AO14" t="s">
        <v>198</v>
      </c>
      <c r="AQ14">
        <v>1.14611</v>
      </c>
      <c r="AS14" t="s">
        <v>198</v>
      </c>
      <c r="AU14">
        <v>1.1807000000000001</v>
      </c>
      <c r="AW14" t="s">
        <v>198</v>
      </c>
      <c r="AY14">
        <v>1.25739</v>
      </c>
      <c r="BA14" t="s">
        <v>198</v>
      </c>
      <c r="BC14">
        <v>1.2430000000000001</v>
      </c>
      <c r="BE14" t="s">
        <v>198</v>
      </c>
      <c r="BG14">
        <v>1.2559899999999999</v>
      </c>
      <c r="BI14" t="s">
        <v>198</v>
      </c>
      <c r="BK14">
        <v>1.2412099999999999</v>
      </c>
      <c r="BM14" t="s">
        <v>198</v>
      </c>
      <c r="BO14">
        <v>1.23969</v>
      </c>
    </row>
    <row r="15" spans="2:67" x14ac:dyDescent="0.25">
      <c r="B15" t="s">
        <v>29</v>
      </c>
      <c r="C15">
        <v>-3.9677899999999999</v>
      </c>
      <c r="D15" t="str">
        <f t="shared" si="0"/>
        <v>s_i=-3.96779;</v>
      </c>
      <c r="F15" t="s">
        <v>29</v>
      </c>
      <c r="G15">
        <v>-2.6364999999999998</v>
      </c>
      <c r="I15" t="s">
        <v>199</v>
      </c>
      <c r="K15">
        <v>-4.3429099999999998</v>
      </c>
      <c r="M15" t="s">
        <v>199</v>
      </c>
      <c r="O15">
        <v>-3.84171</v>
      </c>
      <c r="Q15" t="s">
        <v>199</v>
      </c>
      <c r="S15">
        <v>-3.5022600000000002</v>
      </c>
      <c r="U15" t="s">
        <v>199</v>
      </c>
      <c r="W15">
        <v>-3.7246299999999999</v>
      </c>
      <c r="Y15" t="s">
        <v>199</v>
      </c>
      <c r="AA15">
        <v>-3.0275699999999999</v>
      </c>
      <c r="AC15" t="s">
        <v>199</v>
      </c>
      <c r="AE15">
        <v>-3.02759</v>
      </c>
      <c r="AG15" t="s">
        <v>199</v>
      </c>
      <c r="AI15">
        <v>-3.0276100000000001</v>
      </c>
      <c r="AK15" t="s">
        <v>199</v>
      </c>
      <c r="AM15">
        <v>-3.0276100000000001</v>
      </c>
      <c r="AO15" t="s">
        <v>199</v>
      </c>
      <c r="AQ15">
        <v>-3.0974499999999998</v>
      </c>
      <c r="AS15" t="s">
        <v>199</v>
      </c>
      <c r="AU15">
        <v>-3.3562599999999998</v>
      </c>
      <c r="AW15" t="s">
        <v>199</v>
      </c>
      <c r="AY15">
        <v>-4.38164</v>
      </c>
      <c r="BA15" t="s">
        <v>199</v>
      </c>
      <c r="BC15">
        <v>-4.0279100000000003</v>
      </c>
      <c r="BE15" t="s">
        <v>199</v>
      </c>
      <c r="BG15">
        <v>-4.3833299999999999</v>
      </c>
      <c r="BI15" t="s">
        <v>199</v>
      </c>
      <c r="BK15">
        <v>-3.9942000000000002</v>
      </c>
      <c r="BM15" t="s">
        <v>199</v>
      </c>
      <c r="BO15">
        <v>-3.9677899999999999</v>
      </c>
    </row>
    <row r="16" spans="2:67" x14ac:dyDescent="0.25">
      <c r="B16" t="s">
        <v>30</v>
      </c>
      <c r="C16" s="2">
        <v>5.9618099999999997E-15</v>
      </c>
      <c r="D16" t="str">
        <f t="shared" si="0"/>
        <v>pie_wi=5.96181E-15;</v>
      </c>
      <c r="F16" t="s">
        <v>30</v>
      </c>
      <c r="G16" s="2">
        <v>1.9851500000000001E-16</v>
      </c>
      <c r="H16" s="2"/>
      <c r="I16" t="s">
        <v>200</v>
      </c>
      <c r="K16" s="2">
        <v>1.4414499999999999E-14</v>
      </c>
      <c r="M16" t="s">
        <v>200</v>
      </c>
      <c r="O16" s="2">
        <v>-5.2452700000000001E-16</v>
      </c>
      <c r="Q16" t="s">
        <v>200</v>
      </c>
      <c r="S16" s="2">
        <v>-8.5435000000000001E-15</v>
      </c>
      <c r="U16" t="s">
        <v>200</v>
      </c>
      <c r="W16" s="2">
        <v>-8.1853200000000004E-14</v>
      </c>
      <c r="Y16" t="s">
        <v>200</v>
      </c>
      <c r="AA16" s="2">
        <v>1.9876800000000001E-11</v>
      </c>
      <c r="AC16" t="s">
        <v>200</v>
      </c>
      <c r="AE16" s="2">
        <v>-2.47809E-15</v>
      </c>
      <c r="AG16" t="s">
        <v>200</v>
      </c>
      <c r="AI16" s="2">
        <v>-7.1427499999999996E-16</v>
      </c>
      <c r="AK16" t="s">
        <v>200</v>
      </c>
      <c r="AM16" s="2">
        <v>-7.1427499999999996E-16</v>
      </c>
      <c r="AO16" t="s">
        <v>200</v>
      </c>
      <c r="AQ16" s="2">
        <v>-1.9108600000000001E-13</v>
      </c>
      <c r="AS16" t="s">
        <v>200</v>
      </c>
      <c r="AU16" s="2">
        <v>2.5704899999999998E-13</v>
      </c>
      <c r="AW16" t="s">
        <v>200</v>
      </c>
      <c r="AY16" s="2">
        <v>2.0185799999999999E-14</v>
      </c>
      <c r="BA16" t="s">
        <v>200</v>
      </c>
      <c r="BC16" s="2">
        <v>5.90193E-15</v>
      </c>
      <c r="BE16" t="s">
        <v>200</v>
      </c>
      <c r="BG16" s="2">
        <v>2.8490200000000002E-7</v>
      </c>
      <c r="BI16" t="s">
        <v>200</v>
      </c>
      <c r="BK16" s="2">
        <v>7.3378299999999996E-15</v>
      </c>
      <c r="BM16" t="s">
        <v>200</v>
      </c>
      <c r="BO16" s="2">
        <v>5.9618099999999997E-15</v>
      </c>
    </row>
    <row r="17" spans="2:67" x14ac:dyDescent="0.25">
      <c r="B17" t="s">
        <v>31</v>
      </c>
      <c r="C17">
        <v>1.1796</v>
      </c>
      <c r="D17" t="str">
        <f t="shared" si="0"/>
        <v>I=1.1796;</v>
      </c>
      <c r="F17" t="s">
        <v>31</v>
      </c>
      <c r="G17">
        <v>-1.92516</v>
      </c>
      <c r="I17" t="s">
        <v>201</v>
      </c>
      <c r="K17">
        <v>1.08053</v>
      </c>
      <c r="M17" t="s">
        <v>201</v>
      </c>
      <c r="O17">
        <v>0.83807100000000001</v>
      </c>
      <c r="Q17" t="s">
        <v>201</v>
      </c>
      <c r="S17">
        <v>0.89407800000000004</v>
      </c>
      <c r="U17" t="s">
        <v>201</v>
      </c>
      <c r="W17">
        <v>1.1164400000000001</v>
      </c>
      <c r="Y17" t="s">
        <v>201</v>
      </c>
      <c r="AA17">
        <v>1.1147199999999999</v>
      </c>
      <c r="AC17" t="s">
        <v>201</v>
      </c>
      <c r="AE17">
        <v>1.1147400000000001</v>
      </c>
      <c r="AG17" t="s">
        <v>201</v>
      </c>
      <c r="AI17">
        <v>1.11476</v>
      </c>
      <c r="AK17" t="s">
        <v>201</v>
      </c>
      <c r="AM17">
        <v>1.11476</v>
      </c>
      <c r="AO17" t="s">
        <v>201</v>
      </c>
      <c r="AQ17">
        <v>1.1013900000000001</v>
      </c>
      <c r="AS17" t="s">
        <v>201</v>
      </c>
      <c r="AU17">
        <v>1.0622400000000001</v>
      </c>
      <c r="AW17" t="s">
        <v>201</v>
      </c>
      <c r="AY17">
        <v>1.0222599999999999</v>
      </c>
      <c r="BA17" t="s">
        <v>201</v>
      </c>
      <c r="BC17">
        <v>1.14906</v>
      </c>
      <c r="BE17" t="s">
        <v>201</v>
      </c>
      <c r="BG17">
        <v>1.1448199999999999</v>
      </c>
      <c r="BI17" t="s">
        <v>201</v>
      </c>
      <c r="BK17">
        <v>1.1657200000000001</v>
      </c>
      <c r="BM17" t="s">
        <v>201</v>
      </c>
      <c r="BO17">
        <v>1.1796</v>
      </c>
    </row>
    <row r="18" spans="2:67" x14ac:dyDescent="0.25">
      <c r="B18" t="s">
        <v>32</v>
      </c>
      <c r="C18" s="2">
        <v>1.4082700000000001E-16</v>
      </c>
      <c r="D18" t="str">
        <f t="shared" si="0"/>
        <v>q_k=1.40827E-16;</v>
      </c>
      <c r="F18" t="s">
        <v>32</v>
      </c>
      <c r="G18">
        <v>0</v>
      </c>
      <c r="I18" t="s">
        <v>202</v>
      </c>
      <c r="K18" s="2">
        <v>2.0111900000000001E-16</v>
      </c>
      <c r="M18" t="s">
        <v>202</v>
      </c>
      <c r="O18" s="2">
        <v>2.0111900000000001E-16</v>
      </c>
      <c r="Q18" t="s">
        <v>202</v>
      </c>
      <c r="S18" s="2">
        <v>2.0111900000000001E-16</v>
      </c>
      <c r="U18" t="s">
        <v>202</v>
      </c>
      <c r="W18" s="2">
        <v>1.51612E-18</v>
      </c>
      <c r="Y18" t="s">
        <v>202</v>
      </c>
      <c r="AA18" s="2">
        <v>-3.9536800000000001E-17</v>
      </c>
      <c r="AC18" t="s">
        <v>202</v>
      </c>
      <c r="AE18" s="2">
        <v>-3.9125699999999998E-17</v>
      </c>
      <c r="AG18" t="s">
        <v>202</v>
      </c>
      <c r="AI18" s="2">
        <v>-2.53656E-17</v>
      </c>
      <c r="AK18" t="s">
        <v>202</v>
      </c>
      <c r="AM18" s="2">
        <v>-2.53656E-17</v>
      </c>
      <c r="AO18" t="s">
        <v>202</v>
      </c>
      <c r="AQ18" s="2">
        <v>3.2970499999999999E-17</v>
      </c>
      <c r="AS18" t="s">
        <v>202</v>
      </c>
      <c r="AU18" s="2">
        <v>1.0376200000000001E-16</v>
      </c>
      <c r="AW18" t="s">
        <v>202</v>
      </c>
      <c r="AY18" s="2">
        <v>3.2160499999999998E-17</v>
      </c>
      <c r="BA18" t="s">
        <v>202</v>
      </c>
      <c r="BC18" s="2">
        <v>1.6844999999999999E-17</v>
      </c>
      <c r="BE18" t="s">
        <v>202</v>
      </c>
      <c r="BG18" s="2">
        <v>1.6844999999999999E-17</v>
      </c>
      <c r="BI18" t="s">
        <v>202</v>
      </c>
      <c r="BK18" s="2">
        <v>6.1238699999999998E-17</v>
      </c>
      <c r="BM18" t="s">
        <v>202</v>
      </c>
      <c r="BO18" s="2">
        <v>1.4082700000000001E-16</v>
      </c>
    </row>
    <row r="19" spans="2:67" x14ac:dyDescent="0.25">
      <c r="B19" t="s">
        <v>33</v>
      </c>
      <c r="C19">
        <v>0.13846</v>
      </c>
      <c r="D19" t="str">
        <f t="shared" si="0"/>
        <v>c_e=0.13846;</v>
      </c>
      <c r="F19" t="s">
        <v>33</v>
      </c>
      <c r="G19">
        <v>-2.3098000000000001</v>
      </c>
      <c r="I19" t="s">
        <v>203</v>
      </c>
      <c r="K19">
        <v>0.69589400000000001</v>
      </c>
      <c r="M19" t="s">
        <v>203</v>
      </c>
      <c r="O19">
        <v>-0.20711499999999999</v>
      </c>
      <c r="Q19" t="s">
        <v>203</v>
      </c>
      <c r="S19">
        <v>-0.153609</v>
      </c>
      <c r="U19" t="s">
        <v>203</v>
      </c>
      <c r="W19">
        <v>6.8755700000000003E-2</v>
      </c>
      <c r="Y19" t="s">
        <v>203</v>
      </c>
      <c r="AA19">
        <v>6.7033300000000004E-2</v>
      </c>
      <c r="AC19" t="s">
        <v>203</v>
      </c>
      <c r="AE19">
        <v>6.7051899999999998E-2</v>
      </c>
      <c r="AG19" t="s">
        <v>203</v>
      </c>
      <c r="AI19">
        <v>6.7070599999999994E-2</v>
      </c>
      <c r="AK19" t="s">
        <v>203</v>
      </c>
      <c r="AM19">
        <v>6.7070599999999994E-2</v>
      </c>
      <c r="AO19" t="s">
        <v>203</v>
      </c>
      <c r="AQ19">
        <v>5.4315099999999998E-2</v>
      </c>
      <c r="AS19" t="s">
        <v>203</v>
      </c>
      <c r="AU19">
        <v>1.6977800000000001E-2</v>
      </c>
      <c r="AW19" t="s">
        <v>203</v>
      </c>
      <c r="AY19">
        <v>-1.7787799999999999E-2</v>
      </c>
      <c r="BA19" t="s">
        <v>203</v>
      </c>
      <c r="BC19">
        <v>0.108109</v>
      </c>
      <c r="BE19" t="s">
        <v>203</v>
      </c>
      <c r="BG19">
        <v>0.10477499999999999</v>
      </c>
      <c r="BI19" t="s">
        <v>203</v>
      </c>
      <c r="BK19">
        <v>0.12466099999999999</v>
      </c>
      <c r="BM19" t="s">
        <v>203</v>
      </c>
      <c r="BO19">
        <v>0.13846</v>
      </c>
    </row>
    <row r="20" spans="2:67" x14ac:dyDescent="0.25">
      <c r="B20" t="s">
        <v>34</v>
      </c>
      <c r="C20">
        <v>4.1955400000000003</v>
      </c>
      <c r="D20" t="str">
        <f t="shared" si="0"/>
        <v>k_e=4.19554;</v>
      </c>
      <c r="F20" t="s">
        <v>34</v>
      </c>
      <c r="G20">
        <v>1.76372</v>
      </c>
      <c r="I20" t="s">
        <v>204</v>
      </c>
      <c r="K20">
        <v>4.7694099999999997</v>
      </c>
      <c r="M20" t="s">
        <v>204</v>
      </c>
      <c r="O20">
        <v>3.8540100000000002</v>
      </c>
      <c r="Q20" t="s">
        <v>204</v>
      </c>
      <c r="S20">
        <v>3.9100100000000002</v>
      </c>
      <c r="U20" t="s">
        <v>204</v>
      </c>
      <c r="W20">
        <v>4.1323800000000004</v>
      </c>
      <c r="Y20" t="s">
        <v>204</v>
      </c>
      <c r="AA20">
        <v>4.1306500000000002</v>
      </c>
      <c r="AC20" t="s">
        <v>204</v>
      </c>
      <c r="AE20">
        <v>4.1306700000000003</v>
      </c>
      <c r="AG20" t="s">
        <v>204</v>
      </c>
      <c r="AI20">
        <v>4.1306900000000004</v>
      </c>
      <c r="AK20" t="s">
        <v>204</v>
      </c>
      <c r="AM20">
        <v>4.1306900000000004</v>
      </c>
      <c r="AO20" t="s">
        <v>204</v>
      </c>
      <c r="AQ20">
        <v>4.1173200000000003</v>
      </c>
      <c r="AS20" t="s">
        <v>204</v>
      </c>
      <c r="AU20">
        <v>4.0781700000000001</v>
      </c>
      <c r="AW20" t="s">
        <v>204</v>
      </c>
      <c r="AY20">
        <v>4.0381999999999998</v>
      </c>
      <c r="BA20" t="s">
        <v>204</v>
      </c>
      <c r="BC20">
        <v>4.1649900000000004</v>
      </c>
      <c r="BE20" t="s">
        <v>204</v>
      </c>
      <c r="BG20">
        <v>4.1607599999999998</v>
      </c>
      <c r="BI20" t="s">
        <v>204</v>
      </c>
      <c r="BK20">
        <v>4.1816500000000003</v>
      </c>
      <c r="BM20" t="s">
        <v>204</v>
      </c>
      <c r="BO20">
        <v>4.1955400000000003</v>
      </c>
    </row>
    <row r="21" spans="2:67" x14ac:dyDescent="0.25">
      <c r="B21" t="s">
        <v>35</v>
      </c>
      <c r="C21">
        <v>-7.2653200000000001E-2</v>
      </c>
      <c r="D21" t="str">
        <f t="shared" si="0"/>
        <v>l_pd=-0.0726532;</v>
      </c>
      <c r="F21" t="s">
        <v>35</v>
      </c>
      <c r="G21">
        <v>-0.26460400000000001</v>
      </c>
      <c r="I21" t="s">
        <v>205</v>
      </c>
      <c r="K21">
        <v>-0.35334599999999999</v>
      </c>
      <c r="M21" t="s">
        <v>205</v>
      </c>
      <c r="O21">
        <v>-0.34705000000000003</v>
      </c>
      <c r="Q21" t="s">
        <v>205</v>
      </c>
      <c r="S21">
        <v>-0.34272200000000003</v>
      </c>
      <c r="U21" t="s">
        <v>205</v>
      </c>
      <c r="W21">
        <v>-7.7697199999999994E-2</v>
      </c>
      <c r="Y21" t="s">
        <v>205</v>
      </c>
      <c r="AA21">
        <v>-7.2690299999999999E-2</v>
      </c>
      <c r="AC21" t="s">
        <v>205</v>
      </c>
      <c r="AE21">
        <v>-7.2669499999999998E-2</v>
      </c>
      <c r="AG21" t="s">
        <v>205</v>
      </c>
      <c r="AI21">
        <v>-7.2648799999999999E-2</v>
      </c>
      <c r="AK21" t="s">
        <v>205</v>
      </c>
      <c r="AM21">
        <v>-7.2648799999999999E-2</v>
      </c>
      <c r="AO21" t="s">
        <v>205</v>
      </c>
      <c r="AQ21">
        <v>-7.2559200000000004E-2</v>
      </c>
      <c r="AS21" t="s">
        <v>205</v>
      </c>
      <c r="AU21">
        <v>-7.2489499999999998E-2</v>
      </c>
      <c r="AW21" t="s">
        <v>205</v>
      </c>
      <c r="AY21">
        <v>-7.2453299999999998E-2</v>
      </c>
      <c r="BA21" t="s">
        <v>205</v>
      </c>
      <c r="BC21">
        <v>-7.2636400000000004E-2</v>
      </c>
      <c r="BE21" t="s">
        <v>205</v>
      </c>
      <c r="BG21">
        <v>-7.2634099999999993E-2</v>
      </c>
      <c r="BI21" t="s">
        <v>205</v>
      </c>
      <c r="BK21">
        <v>-7.2667300000000004E-2</v>
      </c>
      <c r="BM21" t="s">
        <v>205</v>
      </c>
      <c r="BO21">
        <v>-7.2653200000000001E-2</v>
      </c>
    </row>
    <row r="22" spans="2:67" x14ac:dyDescent="0.25">
      <c r="B22" t="s">
        <v>36</v>
      </c>
      <c r="C22">
        <v>-1.1307899999999999E-2</v>
      </c>
      <c r="D22" t="str">
        <f t="shared" si="0"/>
        <v>l_id=-0.0113079;</v>
      </c>
      <c r="F22" t="s">
        <v>36</v>
      </c>
      <c r="G22">
        <v>-5.7223099999999999E-2</v>
      </c>
      <c r="I22" t="s">
        <v>206</v>
      </c>
      <c r="K22">
        <v>-5.7223099999999999E-2</v>
      </c>
      <c r="M22" t="s">
        <v>206</v>
      </c>
      <c r="O22">
        <v>-5.7223099999999999E-2</v>
      </c>
      <c r="Q22" t="s">
        <v>206</v>
      </c>
      <c r="S22">
        <v>-6.6883700000000004E-2</v>
      </c>
      <c r="U22" t="s">
        <v>206</v>
      </c>
      <c r="W22">
        <v>-1.51629E-2</v>
      </c>
      <c r="Y22" t="s">
        <v>206</v>
      </c>
      <c r="AA22">
        <v>-1.4914699999999999E-2</v>
      </c>
      <c r="AC22" t="s">
        <v>206</v>
      </c>
      <c r="AE22">
        <v>-1.4914699999999999E-2</v>
      </c>
      <c r="AG22" t="s">
        <v>206</v>
      </c>
      <c r="AI22">
        <v>-1.4914699999999999E-2</v>
      </c>
      <c r="AK22" t="s">
        <v>206</v>
      </c>
      <c r="AM22">
        <v>-1.4914699999999999E-2</v>
      </c>
      <c r="AO22" t="s">
        <v>206</v>
      </c>
      <c r="AQ22">
        <v>-1.42769E-2</v>
      </c>
      <c r="AS22" t="s">
        <v>206</v>
      </c>
      <c r="AU22">
        <v>-1.27863E-2</v>
      </c>
      <c r="AW22" t="s">
        <v>206</v>
      </c>
      <c r="AY22">
        <v>-1.08915E-2</v>
      </c>
      <c r="BA22" t="s">
        <v>206</v>
      </c>
      <c r="BC22">
        <v>-1.12309E-2</v>
      </c>
      <c r="BE22" t="s">
        <v>206</v>
      </c>
      <c r="BG22">
        <v>-1.08913E-2</v>
      </c>
      <c r="BI22" t="s">
        <v>206</v>
      </c>
      <c r="BK22">
        <v>-1.1273200000000001E-2</v>
      </c>
      <c r="BM22" t="s">
        <v>206</v>
      </c>
      <c r="BO22">
        <v>-1.1307899999999999E-2</v>
      </c>
    </row>
    <row r="23" spans="2:67" x14ac:dyDescent="0.25">
      <c r="B23" t="s">
        <v>37</v>
      </c>
      <c r="C23">
        <v>3.0725899999999999</v>
      </c>
      <c r="D23" t="str">
        <f t="shared" si="0"/>
        <v>b_ee=3.07259;</v>
      </c>
      <c r="F23" t="s">
        <v>37</v>
      </c>
      <c r="G23">
        <v>0.67402600000000001</v>
      </c>
      <c r="I23" t="s">
        <v>207</v>
      </c>
      <c r="K23">
        <v>3.6797200000000001</v>
      </c>
      <c r="M23" t="s">
        <v>207</v>
      </c>
      <c r="O23">
        <v>2.7393900000000002</v>
      </c>
      <c r="Q23" t="s">
        <v>207</v>
      </c>
      <c r="S23">
        <v>2.8005</v>
      </c>
      <c r="U23" t="s">
        <v>207</v>
      </c>
      <c r="W23">
        <v>3.0228600000000001</v>
      </c>
      <c r="Y23" t="s">
        <v>207</v>
      </c>
      <c r="AA23">
        <v>3.0211399999999999</v>
      </c>
      <c r="AC23" t="s">
        <v>207</v>
      </c>
      <c r="AE23">
        <v>3.0211600000000001</v>
      </c>
      <c r="AG23" t="s">
        <v>207</v>
      </c>
      <c r="AI23">
        <v>3.0211800000000002</v>
      </c>
      <c r="AK23" t="s">
        <v>207</v>
      </c>
      <c r="AM23">
        <v>3.0211800000000002</v>
      </c>
      <c r="AO23" t="s">
        <v>207</v>
      </c>
      <c r="AQ23">
        <v>3.0065599999999999</v>
      </c>
      <c r="AS23" t="s">
        <v>207</v>
      </c>
      <c r="AU23">
        <v>2.9637099999999998</v>
      </c>
      <c r="AW23" t="s">
        <v>207</v>
      </c>
      <c r="AY23">
        <v>2.9129800000000001</v>
      </c>
      <c r="BA23" t="s">
        <v>207</v>
      </c>
      <c r="BC23">
        <v>3.0416500000000002</v>
      </c>
      <c r="BE23" t="s">
        <v>207</v>
      </c>
      <c r="BG23">
        <v>3.0355400000000001</v>
      </c>
      <c r="BI23" t="s">
        <v>207</v>
      </c>
      <c r="BK23">
        <v>3.0585300000000002</v>
      </c>
      <c r="BM23" t="s">
        <v>207</v>
      </c>
      <c r="BO23">
        <v>3.0725899999999999</v>
      </c>
    </row>
    <row r="24" spans="2:67" x14ac:dyDescent="0.25">
      <c r="B24" t="s">
        <v>38</v>
      </c>
      <c r="C24">
        <v>2.1671100000000001</v>
      </c>
      <c r="D24" t="str">
        <f t="shared" si="0"/>
        <v>y_e=2.16711;</v>
      </c>
      <c r="F24" t="s">
        <v>38</v>
      </c>
      <c r="G24">
        <v>0.27358300000000002</v>
      </c>
      <c r="I24" t="s">
        <v>208</v>
      </c>
      <c r="K24">
        <v>2.4908199999999998</v>
      </c>
      <c r="M24" t="s">
        <v>208</v>
      </c>
      <c r="O24">
        <v>1.9896199999999999</v>
      </c>
      <c r="Q24" t="s">
        <v>208</v>
      </c>
      <c r="S24">
        <v>2.0211100000000002</v>
      </c>
      <c r="U24" t="s">
        <v>208</v>
      </c>
      <c r="W24">
        <v>2.2434699999999999</v>
      </c>
      <c r="Y24" t="s">
        <v>208</v>
      </c>
      <c r="AA24">
        <v>2.2417500000000001</v>
      </c>
      <c r="AC24" t="s">
        <v>208</v>
      </c>
      <c r="AE24">
        <v>2.2417699999999998</v>
      </c>
      <c r="AG24" t="s">
        <v>208</v>
      </c>
      <c r="AI24">
        <v>2.2417899999999999</v>
      </c>
      <c r="AK24" t="s">
        <v>208</v>
      </c>
      <c r="AM24">
        <v>2.2417899999999999</v>
      </c>
      <c r="AO24" t="s">
        <v>208</v>
      </c>
      <c r="AQ24">
        <v>2.2345000000000002</v>
      </c>
      <c r="AS24" t="s">
        <v>208</v>
      </c>
      <c r="AU24">
        <v>2.21306</v>
      </c>
      <c r="AW24" t="s">
        <v>208</v>
      </c>
      <c r="AY24">
        <v>2.1530800000000001</v>
      </c>
      <c r="BA24" t="s">
        <v>208</v>
      </c>
      <c r="BC24">
        <v>2.1644800000000002</v>
      </c>
      <c r="BE24" t="s">
        <v>208</v>
      </c>
      <c r="BG24">
        <v>2.15448</v>
      </c>
      <c r="BI24" t="s">
        <v>208</v>
      </c>
      <c r="BK24">
        <v>2.1659000000000002</v>
      </c>
      <c r="BM24" t="s">
        <v>208</v>
      </c>
      <c r="BO24">
        <v>2.1671100000000001</v>
      </c>
    </row>
    <row r="25" spans="2:67" x14ac:dyDescent="0.25">
      <c r="B25" t="s">
        <v>39</v>
      </c>
      <c r="C25">
        <v>-0.13846</v>
      </c>
      <c r="D25" t="str">
        <f t="shared" si="0"/>
        <v>lam_e=-0.13846;</v>
      </c>
      <c r="F25" t="s">
        <v>39</v>
      </c>
      <c r="G25">
        <v>2.3098000000000001</v>
      </c>
      <c r="I25" t="s">
        <v>209</v>
      </c>
      <c r="K25">
        <v>-0.69589400000000001</v>
      </c>
      <c r="M25" t="s">
        <v>209</v>
      </c>
      <c r="O25">
        <v>0.20711499999999999</v>
      </c>
      <c r="Q25" t="s">
        <v>209</v>
      </c>
      <c r="S25">
        <v>0.153609</v>
      </c>
      <c r="U25" t="s">
        <v>209</v>
      </c>
      <c r="W25">
        <v>-6.8755700000000003E-2</v>
      </c>
      <c r="Y25" t="s">
        <v>209</v>
      </c>
      <c r="AA25">
        <v>-6.7033300000000004E-2</v>
      </c>
      <c r="AC25" t="s">
        <v>209</v>
      </c>
      <c r="AE25">
        <v>-6.7051899999999998E-2</v>
      </c>
      <c r="AG25" t="s">
        <v>209</v>
      </c>
      <c r="AI25">
        <v>-6.7070599999999994E-2</v>
      </c>
      <c r="AK25" t="s">
        <v>209</v>
      </c>
      <c r="AM25">
        <v>-6.7070599999999994E-2</v>
      </c>
      <c r="AO25" t="s">
        <v>209</v>
      </c>
      <c r="AQ25">
        <v>-5.4315099999999998E-2</v>
      </c>
      <c r="AS25" t="s">
        <v>209</v>
      </c>
      <c r="AU25">
        <v>-1.6977800000000001E-2</v>
      </c>
      <c r="AW25" t="s">
        <v>209</v>
      </c>
      <c r="AY25">
        <v>1.7787799999999999E-2</v>
      </c>
      <c r="BA25" t="s">
        <v>209</v>
      </c>
      <c r="BC25">
        <v>-0.108109</v>
      </c>
      <c r="BE25" t="s">
        <v>209</v>
      </c>
      <c r="BG25">
        <v>-0.10477499999999999</v>
      </c>
      <c r="BI25" t="s">
        <v>209</v>
      </c>
      <c r="BK25">
        <v>-0.12466099999999999</v>
      </c>
      <c r="BM25" t="s">
        <v>209</v>
      </c>
      <c r="BO25">
        <v>-0.13846</v>
      </c>
    </row>
    <row r="26" spans="2:67" x14ac:dyDescent="0.25">
      <c r="B26" t="s">
        <v>40</v>
      </c>
      <c r="C26">
        <v>-6.1814400000000003</v>
      </c>
      <c r="D26" t="str">
        <f t="shared" si="0"/>
        <v>s_e=-6.18144;</v>
      </c>
      <c r="F26" t="s">
        <v>40</v>
      </c>
      <c r="G26">
        <v>-2.24125</v>
      </c>
      <c r="I26" t="s">
        <v>210</v>
      </c>
      <c r="K26">
        <v>-5.24695</v>
      </c>
      <c r="M26" t="s">
        <v>210</v>
      </c>
      <c r="O26">
        <v>-4.3439399999999999</v>
      </c>
      <c r="Q26" t="s">
        <v>210</v>
      </c>
      <c r="S26">
        <v>-4.0071899999999996</v>
      </c>
      <c r="U26" t="s">
        <v>210</v>
      </c>
      <c r="W26">
        <v>-4.2295600000000002</v>
      </c>
      <c r="Y26" t="s">
        <v>210</v>
      </c>
      <c r="AA26">
        <v>-4.22783</v>
      </c>
      <c r="AC26" t="s">
        <v>210</v>
      </c>
      <c r="AE26">
        <v>-4.2278500000000001</v>
      </c>
      <c r="AG26" t="s">
        <v>210</v>
      </c>
      <c r="AI26">
        <v>-4.2278700000000002</v>
      </c>
      <c r="AK26" t="s">
        <v>210</v>
      </c>
      <c r="AM26">
        <v>-4.2278700000000002</v>
      </c>
      <c r="AO26" t="s">
        <v>210</v>
      </c>
      <c r="AQ26">
        <v>-4.2978699999999996</v>
      </c>
      <c r="AS26" t="s">
        <v>210</v>
      </c>
      <c r="AU26">
        <v>-4.5539300000000003</v>
      </c>
      <c r="AW26" t="s">
        <v>210</v>
      </c>
      <c r="AY26">
        <v>-8.7028499999999998</v>
      </c>
      <c r="BA26" t="s">
        <v>210</v>
      </c>
      <c r="BC26">
        <v>-6.3298500000000004</v>
      </c>
      <c r="BE26" t="s">
        <v>210</v>
      </c>
      <c r="BG26">
        <v>-8.8440399999999997</v>
      </c>
      <c r="BI26" t="s">
        <v>210</v>
      </c>
      <c r="BK26">
        <v>-6.2438000000000002</v>
      </c>
      <c r="BM26" t="s">
        <v>210</v>
      </c>
      <c r="BO26">
        <v>-6.1814400000000003</v>
      </c>
    </row>
    <row r="27" spans="2:67" x14ac:dyDescent="0.25">
      <c r="B27" t="s">
        <v>41</v>
      </c>
      <c r="C27">
        <v>-0.20091800000000001</v>
      </c>
      <c r="D27" t="str">
        <f t="shared" si="0"/>
        <v>u=-0.200918;</v>
      </c>
      <c r="F27" t="s">
        <v>41</v>
      </c>
      <c r="G27" s="2">
        <v>4.7691100000000001E-12</v>
      </c>
      <c r="H27" s="2"/>
      <c r="I27" t="s">
        <v>211</v>
      </c>
      <c r="K27" s="2">
        <v>1.4505699999999999E-10</v>
      </c>
      <c r="M27" t="s">
        <v>211</v>
      </c>
      <c r="O27" s="2">
        <v>2.1683500000000001E-10</v>
      </c>
      <c r="Q27" t="s">
        <v>211</v>
      </c>
      <c r="S27" s="2">
        <v>-2.7213000000000002E-13</v>
      </c>
      <c r="U27" t="s">
        <v>211</v>
      </c>
      <c r="W27" s="2">
        <v>-2.6669999999999998E-12</v>
      </c>
      <c r="Y27" t="s">
        <v>211</v>
      </c>
      <c r="AA27" s="2">
        <v>1.8826199999999999E-9</v>
      </c>
      <c r="AC27" t="s">
        <v>211</v>
      </c>
      <c r="AE27" s="2">
        <v>2.0540800000000001E-11</v>
      </c>
      <c r="AG27" t="s">
        <v>211</v>
      </c>
      <c r="AI27" s="2">
        <v>5.2964299999999998E-11</v>
      </c>
      <c r="AK27" t="s">
        <v>211</v>
      </c>
      <c r="AM27" s="2">
        <v>5.2964299999999998E-11</v>
      </c>
      <c r="AO27" t="s">
        <v>211</v>
      </c>
      <c r="AQ27" s="2">
        <v>-2.5608000000000002E-12</v>
      </c>
      <c r="AS27" t="s">
        <v>211</v>
      </c>
      <c r="AU27" s="2">
        <v>9.8267699999999997E-12</v>
      </c>
      <c r="AW27" t="s">
        <v>211</v>
      </c>
      <c r="AY27">
        <v>-6.9258100000000003E-2</v>
      </c>
      <c r="BA27" t="s">
        <v>211</v>
      </c>
      <c r="BC27">
        <v>-0.175175</v>
      </c>
      <c r="BE27" t="s">
        <v>211</v>
      </c>
      <c r="BG27">
        <v>-0.189141</v>
      </c>
      <c r="BI27" t="s">
        <v>211</v>
      </c>
      <c r="BK27">
        <v>-0.18922</v>
      </c>
      <c r="BM27" t="s">
        <v>211</v>
      </c>
      <c r="BO27">
        <v>-0.20091800000000001</v>
      </c>
    </row>
    <row r="28" spans="2:67" x14ac:dyDescent="0.25">
      <c r="B28" t="s">
        <v>42</v>
      </c>
      <c r="C28">
        <v>2.9795099999999999</v>
      </c>
      <c r="D28" t="str">
        <f t="shared" si="0"/>
        <v>d_b=2.97951;</v>
      </c>
      <c r="F28" t="s">
        <v>42</v>
      </c>
      <c r="G28">
        <v>1.04257</v>
      </c>
      <c r="I28" t="s">
        <v>212</v>
      </c>
      <c r="K28">
        <v>3.7342900000000001</v>
      </c>
      <c r="M28" t="s">
        <v>212</v>
      </c>
      <c r="O28">
        <v>2.8674499999999998</v>
      </c>
      <c r="Q28" t="s">
        <v>212</v>
      </c>
      <c r="S28">
        <v>2.9760599999999999</v>
      </c>
      <c r="U28" t="s">
        <v>212</v>
      </c>
      <c r="W28">
        <v>3.19842</v>
      </c>
      <c r="Y28" t="s">
        <v>212</v>
      </c>
      <c r="AA28">
        <v>3.0739800000000002</v>
      </c>
      <c r="AC28" t="s">
        <v>212</v>
      </c>
      <c r="AE28">
        <v>3.0629400000000002</v>
      </c>
      <c r="AG28" t="s">
        <v>212</v>
      </c>
      <c r="AI28">
        <v>3.05179</v>
      </c>
      <c r="AK28" t="s">
        <v>212</v>
      </c>
      <c r="AM28">
        <v>3.05179</v>
      </c>
      <c r="AO28" t="s">
        <v>212</v>
      </c>
      <c r="AQ28">
        <v>2.99478</v>
      </c>
      <c r="AS28" t="s">
        <v>212</v>
      </c>
      <c r="AU28">
        <v>2.9329200000000002</v>
      </c>
      <c r="AW28" t="s">
        <v>212</v>
      </c>
      <c r="AY28">
        <v>2.8512599999999999</v>
      </c>
      <c r="BA28" t="s">
        <v>212</v>
      </c>
      <c r="BC28">
        <v>2.9677199999999999</v>
      </c>
      <c r="BE28" t="s">
        <v>212</v>
      </c>
      <c r="BG28">
        <v>2.95648</v>
      </c>
      <c r="BI28" t="s">
        <v>212</v>
      </c>
      <c r="BK28">
        <v>2.9858899999999999</v>
      </c>
      <c r="BM28" t="s">
        <v>212</v>
      </c>
      <c r="BO28">
        <v>2.9795099999999999</v>
      </c>
    </row>
    <row r="29" spans="2:67" x14ac:dyDescent="0.25">
      <c r="B29" t="s">
        <v>43</v>
      </c>
      <c r="C29">
        <v>0.64655399999999996</v>
      </c>
      <c r="D29" t="str">
        <f t="shared" si="0"/>
        <v>b_h=0.646554;</v>
      </c>
      <c r="F29" t="s">
        <v>43</v>
      </c>
      <c r="G29">
        <v>0.14402699999999999</v>
      </c>
      <c r="I29" t="s">
        <v>213</v>
      </c>
      <c r="K29">
        <v>1.8504400000000001</v>
      </c>
      <c r="M29" t="s">
        <v>213</v>
      </c>
      <c r="O29">
        <v>1.3492299999999999</v>
      </c>
      <c r="Q29" t="s">
        <v>213</v>
      </c>
      <c r="S29">
        <v>1.62866</v>
      </c>
      <c r="U29" t="s">
        <v>213</v>
      </c>
      <c r="W29">
        <v>1.8510200000000001</v>
      </c>
      <c r="Y29" t="s">
        <v>213</v>
      </c>
      <c r="AA29">
        <v>1.1792800000000001</v>
      </c>
      <c r="AC29" t="s">
        <v>213</v>
      </c>
      <c r="AE29">
        <v>1.1793</v>
      </c>
      <c r="AG29" t="s">
        <v>213</v>
      </c>
      <c r="AI29">
        <v>1.1793199999999999</v>
      </c>
      <c r="AK29" t="s">
        <v>213</v>
      </c>
      <c r="AM29">
        <v>1.1793199999999999</v>
      </c>
      <c r="AO29" t="s">
        <v>213</v>
      </c>
      <c r="AQ29">
        <v>1.10392</v>
      </c>
      <c r="AS29" t="s">
        <v>213</v>
      </c>
      <c r="AU29">
        <v>0.90433699999999995</v>
      </c>
      <c r="AW29" t="s">
        <v>213</v>
      </c>
      <c r="AY29">
        <v>0.56435500000000005</v>
      </c>
      <c r="BA29" t="s">
        <v>213</v>
      </c>
      <c r="BC29">
        <v>0.63165000000000004</v>
      </c>
      <c r="BE29" t="s">
        <v>213</v>
      </c>
      <c r="BG29">
        <v>0.56572</v>
      </c>
      <c r="BI29" t="s">
        <v>213</v>
      </c>
      <c r="BK29">
        <v>0.63983000000000001</v>
      </c>
      <c r="BM29" t="s">
        <v>213</v>
      </c>
      <c r="BO29">
        <v>0.64655399999999996</v>
      </c>
    </row>
    <row r="30" spans="2:67" x14ac:dyDescent="0.25">
      <c r="B30" t="s">
        <v>44</v>
      </c>
      <c r="C30">
        <v>3.0725899999999999</v>
      </c>
      <c r="D30" t="str">
        <f t="shared" si="0"/>
        <v>b_e=3.07259;</v>
      </c>
      <c r="F30" t="s">
        <v>44</v>
      </c>
      <c r="G30">
        <v>0.67402600000000001</v>
      </c>
      <c r="I30" t="s">
        <v>214</v>
      </c>
      <c r="K30">
        <v>3.6797200000000001</v>
      </c>
      <c r="M30" t="s">
        <v>214</v>
      </c>
      <c r="O30">
        <v>2.7393900000000002</v>
      </c>
      <c r="Q30" t="s">
        <v>214</v>
      </c>
      <c r="S30">
        <v>2.8005</v>
      </c>
      <c r="U30" t="s">
        <v>214</v>
      </c>
      <c r="W30">
        <v>3.0228600000000001</v>
      </c>
      <c r="Y30" t="s">
        <v>214</v>
      </c>
      <c r="AA30">
        <v>3.0211399999999999</v>
      </c>
      <c r="AC30" t="s">
        <v>214</v>
      </c>
      <c r="AE30">
        <v>3.0211600000000001</v>
      </c>
      <c r="AG30" t="s">
        <v>214</v>
      </c>
      <c r="AI30">
        <v>3.0211800000000002</v>
      </c>
      <c r="AK30" t="s">
        <v>214</v>
      </c>
      <c r="AM30">
        <v>3.0211800000000002</v>
      </c>
      <c r="AO30" t="s">
        <v>214</v>
      </c>
      <c r="AQ30">
        <v>3.0065599999999999</v>
      </c>
      <c r="AS30" t="s">
        <v>214</v>
      </c>
      <c r="AU30">
        <v>2.9637099999999998</v>
      </c>
      <c r="AW30" t="s">
        <v>214</v>
      </c>
      <c r="AY30">
        <v>2.9129800000000001</v>
      </c>
      <c r="BA30" t="s">
        <v>214</v>
      </c>
      <c r="BC30">
        <v>3.0416500000000002</v>
      </c>
      <c r="BE30" t="s">
        <v>214</v>
      </c>
      <c r="BG30">
        <v>3.0355400000000001</v>
      </c>
      <c r="BI30" t="s">
        <v>214</v>
      </c>
      <c r="BK30">
        <v>3.0585300000000002</v>
      </c>
      <c r="BM30" t="s">
        <v>214</v>
      </c>
      <c r="BO30">
        <v>3.0725899999999999</v>
      </c>
    </row>
    <row r="31" spans="2:67" x14ac:dyDescent="0.25">
      <c r="B31" t="s">
        <v>45</v>
      </c>
      <c r="C31">
        <v>-5.59572</v>
      </c>
      <c r="D31" t="str">
        <f t="shared" si="0"/>
        <v>r_d=-5.59572;</v>
      </c>
      <c r="F31" t="s">
        <v>45</v>
      </c>
      <c r="G31">
        <v>-5.1615700000000002</v>
      </c>
      <c r="I31" t="s">
        <v>215</v>
      </c>
      <c r="K31">
        <v>-5.1615700000000002</v>
      </c>
      <c r="M31" t="s">
        <v>215</v>
      </c>
      <c r="O31">
        <v>-5.1615700000000002</v>
      </c>
      <c r="Q31" t="s">
        <v>215</v>
      </c>
      <c r="S31">
        <v>-5.59572</v>
      </c>
      <c r="U31" t="s">
        <v>215</v>
      </c>
      <c r="W31">
        <v>-5.59572</v>
      </c>
      <c r="Y31" t="s">
        <v>215</v>
      </c>
      <c r="AA31">
        <v>-5.59572</v>
      </c>
      <c r="AC31" t="s">
        <v>215</v>
      </c>
      <c r="AE31">
        <v>-5.59572</v>
      </c>
      <c r="AG31" t="s">
        <v>215</v>
      </c>
      <c r="AI31">
        <v>-5.59572</v>
      </c>
      <c r="AK31" t="s">
        <v>215</v>
      </c>
      <c r="AM31">
        <v>-5.59572</v>
      </c>
      <c r="AO31" t="s">
        <v>215</v>
      </c>
      <c r="AQ31">
        <v>-5.59572</v>
      </c>
      <c r="AS31" t="s">
        <v>215</v>
      </c>
      <c r="AU31">
        <v>-5.59572</v>
      </c>
      <c r="AW31" t="s">
        <v>215</v>
      </c>
      <c r="AY31">
        <v>-5.59572</v>
      </c>
      <c r="BA31" t="s">
        <v>215</v>
      </c>
      <c r="BC31">
        <v>-5.59572</v>
      </c>
      <c r="BE31" t="s">
        <v>215</v>
      </c>
      <c r="BG31">
        <v>-5.5956400000000004</v>
      </c>
      <c r="BI31" t="s">
        <v>215</v>
      </c>
      <c r="BK31">
        <v>-5.59572</v>
      </c>
      <c r="BM31" t="s">
        <v>215</v>
      </c>
      <c r="BO31">
        <v>-5.59572</v>
      </c>
    </row>
    <row r="32" spans="2:67" x14ac:dyDescent="0.25">
      <c r="B32" t="s">
        <v>46</v>
      </c>
      <c r="C32">
        <v>-3.9163600000000001</v>
      </c>
      <c r="D32" t="str">
        <f t="shared" si="0"/>
        <v>r_bh=-3.91636;</v>
      </c>
      <c r="F32" t="s">
        <v>46</v>
      </c>
      <c r="G32">
        <v>-4.2229299999999999</v>
      </c>
      <c r="I32" t="s">
        <v>216</v>
      </c>
      <c r="K32">
        <v>-4.2229299999999999</v>
      </c>
      <c r="M32" t="s">
        <v>216</v>
      </c>
      <c r="O32">
        <v>-4.2229299999999999</v>
      </c>
      <c r="Q32" t="s">
        <v>216</v>
      </c>
      <c r="S32">
        <v>-4.65707</v>
      </c>
      <c r="U32" t="s">
        <v>216</v>
      </c>
      <c r="W32">
        <v>-4.65707</v>
      </c>
      <c r="Y32" t="s">
        <v>216</v>
      </c>
      <c r="AA32">
        <v>-4.65707</v>
      </c>
      <c r="AC32" t="s">
        <v>216</v>
      </c>
      <c r="AE32">
        <v>-4.65707</v>
      </c>
      <c r="AG32" t="s">
        <v>216</v>
      </c>
      <c r="AI32">
        <v>-4.65707</v>
      </c>
      <c r="AK32" t="s">
        <v>216</v>
      </c>
      <c r="AM32">
        <v>-4.65707</v>
      </c>
      <c r="AO32" t="s">
        <v>216</v>
      </c>
      <c r="AQ32">
        <v>-4.5320999999999998</v>
      </c>
      <c r="AS32" t="s">
        <v>216</v>
      </c>
      <c r="AU32">
        <v>-4.2335200000000004</v>
      </c>
      <c r="AW32" t="s">
        <v>216</v>
      </c>
      <c r="AY32">
        <v>-3.8206500000000001</v>
      </c>
      <c r="BA32" t="s">
        <v>216</v>
      </c>
      <c r="BC32">
        <v>-3.89893</v>
      </c>
      <c r="BE32" t="s">
        <v>216</v>
      </c>
      <c r="BG32">
        <v>-3.8205900000000002</v>
      </c>
      <c r="BI32" t="s">
        <v>216</v>
      </c>
      <c r="BK32">
        <v>-3.9085200000000002</v>
      </c>
      <c r="BM32" t="s">
        <v>216</v>
      </c>
      <c r="BO32">
        <v>-3.9163600000000001</v>
      </c>
    </row>
    <row r="33" spans="2:67" x14ac:dyDescent="0.25">
      <c r="B33" t="s">
        <v>47</v>
      </c>
      <c r="C33">
        <v>-3.76579</v>
      </c>
      <c r="D33" t="str">
        <f t="shared" si="0"/>
        <v>r_be=-3.76579;</v>
      </c>
      <c r="F33" t="s">
        <v>47</v>
      </c>
      <c r="G33">
        <v>-4.2229299999999999</v>
      </c>
      <c r="I33" t="s">
        <v>217</v>
      </c>
      <c r="K33">
        <v>-4.2229299999999999</v>
      </c>
      <c r="M33" t="s">
        <v>217</v>
      </c>
      <c r="O33">
        <v>-4.2229299999999999</v>
      </c>
      <c r="Q33" t="s">
        <v>217</v>
      </c>
      <c r="S33">
        <v>-4.65707</v>
      </c>
      <c r="U33" t="s">
        <v>217</v>
      </c>
      <c r="W33">
        <v>-4.65707</v>
      </c>
      <c r="Y33" t="s">
        <v>217</v>
      </c>
      <c r="AA33">
        <v>-4.65707</v>
      </c>
      <c r="AC33" t="s">
        <v>217</v>
      </c>
      <c r="AE33">
        <v>-4.65707</v>
      </c>
      <c r="AG33" t="s">
        <v>217</v>
      </c>
      <c r="AI33">
        <v>-4.65707</v>
      </c>
      <c r="AK33" t="s">
        <v>217</v>
      </c>
      <c r="AM33">
        <v>-4.65707</v>
      </c>
      <c r="AO33" t="s">
        <v>217</v>
      </c>
      <c r="AQ33">
        <v>-4.5320999999999998</v>
      </c>
      <c r="AS33" t="s">
        <v>217</v>
      </c>
      <c r="AU33">
        <v>-4.2335200000000004</v>
      </c>
      <c r="AW33" t="s">
        <v>217</v>
      </c>
      <c r="AY33">
        <v>-3.67008</v>
      </c>
      <c r="BA33" t="s">
        <v>217</v>
      </c>
      <c r="BC33">
        <v>-3.7483599999999999</v>
      </c>
      <c r="BE33" t="s">
        <v>217</v>
      </c>
      <c r="BG33">
        <v>-3.67001</v>
      </c>
      <c r="BI33" t="s">
        <v>217</v>
      </c>
      <c r="BK33">
        <v>-3.7579500000000001</v>
      </c>
      <c r="BM33" t="s">
        <v>217</v>
      </c>
      <c r="BO33">
        <v>-3.76579</v>
      </c>
    </row>
    <row r="34" spans="2:67" x14ac:dyDescent="0.25">
      <c r="B34" t="s">
        <v>0</v>
      </c>
      <c r="C34">
        <v>-5.0795199999999996</v>
      </c>
      <c r="D34" t="str">
        <f t="shared" si="0"/>
        <v>R_b=-5.07952;</v>
      </c>
      <c r="F34" t="s">
        <v>0</v>
      </c>
      <c r="G34">
        <v>-4.63992</v>
      </c>
      <c r="I34" t="s">
        <v>218</v>
      </c>
      <c r="K34">
        <v>-4.63992</v>
      </c>
      <c r="M34" t="s">
        <v>218</v>
      </c>
      <c r="O34">
        <v>-4.63992</v>
      </c>
      <c r="Q34" t="s">
        <v>218</v>
      </c>
      <c r="S34">
        <v>-5.0740600000000002</v>
      </c>
      <c r="U34" t="s">
        <v>218</v>
      </c>
      <c r="W34">
        <v>-5.0740600000000002</v>
      </c>
      <c r="Y34" t="s">
        <v>218</v>
      </c>
      <c r="AA34">
        <v>-5.0740600000000002</v>
      </c>
      <c r="AC34" t="s">
        <v>218</v>
      </c>
      <c r="AE34">
        <v>-5.0740600000000002</v>
      </c>
      <c r="AG34" t="s">
        <v>218</v>
      </c>
      <c r="AI34">
        <v>-5.0740600000000002</v>
      </c>
      <c r="AK34" t="s">
        <v>218</v>
      </c>
      <c r="AM34">
        <v>-5.0740600000000002</v>
      </c>
      <c r="AO34" t="s">
        <v>218</v>
      </c>
      <c r="AQ34">
        <v>-4.94909</v>
      </c>
      <c r="AS34" t="s">
        <v>218</v>
      </c>
      <c r="AU34">
        <v>-4.9266699999999997</v>
      </c>
      <c r="AW34" t="s">
        <v>218</v>
      </c>
      <c r="AY34">
        <v>-4.9837999999999996</v>
      </c>
      <c r="BA34" t="s">
        <v>218</v>
      </c>
      <c r="BC34">
        <v>-5.0620799999999999</v>
      </c>
      <c r="BE34" t="s">
        <v>218</v>
      </c>
      <c r="BG34">
        <v>-4.9837400000000001</v>
      </c>
      <c r="BI34" t="s">
        <v>218</v>
      </c>
      <c r="BK34">
        <v>-5.0716700000000001</v>
      </c>
      <c r="BM34" t="s">
        <v>218</v>
      </c>
      <c r="BO34">
        <v>-5.0795199999999996</v>
      </c>
    </row>
    <row r="35" spans="2:67" x14ac:dyDescent="0.25">
      <c r="B35" t="s">
        <v>2</v>
      </c>
      <c r="C35">
        <v>1.3424499999999999</v>
      </c>
      <c r="D35" t="str">
        <f t="shared" si="0"/>
        <v>K_b=1.34245;</v>
      </c>
      <c r="F35" t="s">
        <v>2</v>
      </c>
      <c r="G35">
        <v>-1.2710600000000001</v>
      </c>
      <c r="I35" t="s">
        <v>219</v>
      </c>
      <c r="K35">
        <v>1.42065</v>
      </c>
      <c r="M35" t="s">
        <v>219</v>
      </c>
      <c r="O35">
        <v>0.55381999999999998</v>
      </c>
      <c r="Q35" t="s">
        <v>219</v>
      </c>
      <c r="S35">
        <v>0.66242500000000004</v>
      </c>
      <c r="U35" t="s">
        <v>219</v>
      </c>
      <c r="W35">
        <v>0.88478900000000005</v>
      </c>
      <c r="Y35" t="s">
        <v>219</v>
      </c>
      <c r="AA35">
        <v>0.76034100000000004</v>
      </c>
      <c r="AC35" t="s">
        <v>219</v>
      </c>
      <c r="AE35">
        <v>0.86572000000000005</v>
      </c>
      <c r="AG35" t="s">
        <v>219</v>
      </c>
      <c r="AI35">
        <v>0.96104900000000004</v>
      </c>
      <c r="AK35" t="s">
        <v>219</v>
      </c>
      <c r="AM35">
        <v>0.96104900000000004</v>
      </c>
      <c r="AO35" t="s">
        <v>219</v>
      </c>
      <c r="AQ35">
        <v>1.1794899999999999</v>
      </c>
      <c r="AS35" t="s">
        <v>219</v>
      </c>
      <c r="AU35">
        <v>1.1176299999999999</v>
      </c>
      <c r="AW35" t="s">
        <v>219</v>
      </c>
      <c r="AY35">
        <v>1.05091</v>
      </c>
      <c r="BA35" t="s">
        <v>219</v>
      </c>
      <c r="BC35">
        <v>1.2157500000000001</v>
      </c>
      <c r="BE35" t="s">
        <v>219</v>
      </c>
      <c r="BG35">
        <v>1.2068000000000001</v>
      </c>
      <c r="BI35" t="s">
        <v>219</v>
      </c>
      <c r="BK35">
        <v>1.2202900000000001</v>
      </c>
      <c r="BM35" t="s">
        <v>219</v>
      </c>
      <c r="BO35">
        <v>1.3424499999999999</v>
      </c>
    </row>
    <row r="36" spans="2:67" x14ac:dyDescent="0.25">
      <c r="B36" t="s">
        <v>48</v>
      </c>
      <c r="C36" s="2">
        <v>5.9447299999999999E-15</v>
      </c>
      <c r="D36" t="str">
        <f t="shared" si="0"/>
        <v>pie=5.94473E-15;</v>
      </c>
      <c r="F36" t="s">
        <v>48</v>
      </c>
      <c r="G36" s="2">
        <v>1.41174E-16</v>
      </c>
      <c r="H36" s="2"/>
      <c r="I36" t="s">
        <v>220</v>
      </c>
      <c r="K36" s="2">
        <v>1.42786E-14</v>
      </c>
      <c r="M36" t="s">
        <v>220</v>
      </c>
      <c r="O36" s="2">
        <v>-5.49405E-16</v>
      </c>
      <c r="Q36" t="s">
        <v>220</v>
      </c>
      <c r="S36" s="2">
        <v>-8.4351700000000002E-15</v>
      </c>
      <c r="U36" t="s">
        <v>220</v>
      </c>
      <c r="W36" s="2">
        <v>-8.1803000000000005E-14</v>
      </c>
      <c r="Y36" t="s">
        <v>220</v>
      </c>
      <c r="AA36" s="2">
        <v>1.4993000000000001E-11</v>
      </c>
      <c r="AC36" t="s">
        <v>220</v>
      </c>
      <c r="AE36" s="2">
        <v>-2.62905E-15</v>
      </c>
      <c r="AG36" t="s">
        <v>220</v>
      </c>
      <c r="AI36" s="2">
        <v>-7.5197599999999997E-16</v>
      </c>
      <c r="AK36" t="s">
        <v>220</v>
      </c>
      <c r="AM36" s="2">
        <v>-7.5197599999999997E-16</v>
      </c>
      <c r="AO36" t="s">
        <v>220</v>
      </c>
      <c r="AQ36" s="2">
        <v>-1.91074E-13</v>
      </c>
      <c r="AS36" t="s">
        <v>220</v>
      </c>
      <c r="AU36" s="2">
        <v>2.5704100000000001E-13</v>
      </c>
      <c r="AW36" t="s">
        <v>220</v>
      </c>
      <c r="AY36" s="2">
        <v>2.0263E-14</v>
      </c>
      <c r="BA36" t="s">
        <v>220</v>
      </c>
      <c r="BC36" s="2">
        <v>5.85985E-15</v>
      </c>
      <c r="BE36" t="s">
        <v>220</v>
      </c>
      <c r="BG36" s="2">
        <v>2.8490200000000002E-7</v>
      </c>
      <c r="BI36" t="s">
        <v>220</v>
      </c>
      <c r="BK36" s="2">
        <v>7.3633800000000001E-15</v>
      </c>
      <c r="BM36" t="s">
        <v>220</v>
      </c>
      <c r="BO36" s="2">
        <v>5.9447299999999999E-15</v>
      </c>
    </row>
    <row r="37" spans="2:67" x14ac:dyDescent="0.25">
      <c r="B37" t="s">
        <v>49</v>
      </c>
      <c r="C37">
        <v>0.18232200000000001</v>
      </c>
      <c r="D37" t="str">
        <f t="shared" si="0"/>
        <v>x=0.182322;</v>
      </c>
      <c r="F37" t="s">
        <v>49</v>
      </c>
      <c r="G37">
        <v>0.18232200000000001</v>
      </c>
      <c r="I37" t="s">
        <v>221</v>
      </c>
      <c r="K37">
        <v>0.18232200000000001</v>
      </c>
      <c r="M37" t="s">
        <v>221</v>
      </c>
      <c r="O37">
        <v>0.18232200000000001</v>
      </c>
      <c r="Q37" t="s">
        <v>221</v>
      </c>
      <c r="S37">
        <v>0.18232200000000001</v>
      </c>
      <c r="U37" t="s">
        <v>221</v>
      </c>
      <c r="W37">
        <v>0.18232200000000001</v>
      </c>
      <c r="Y37" t="s">
        <v>221</v>
      </c>
      <c r="AA37">
        <v>0.18232200000000001</v>
      </c>
      <c r="AC37" t="s">
        <v>221</v>
      </c>
      <c r="AE37">
        <v>0.18232200000000001</v>
      </c>
      <c r="AG37" t="s">
        <v>221</v>
      </c>
      <c r="AI37">
        <v>0.18232200000000001</v>
      </c>
      <c r="AK37" t="s">
        <v>221</v>
      </c>
      <c r="AM37">
        <v>0.18232200000000001</v>
      </c>
      <c r="AO37" t="s">
        <v>221</v>
      </c>
      <c r="AQ37">
        <v>0.18232200000000001</v>
      </c>
      <c r="AS37" t="s">
        <v>221</v>
      </c>
      <c r="AU37">
        <v>0.18232200000000001</v>
      </c>
      <c r="AW37" t="s">
        <v>221</v>
      </c>
      <c r="AY37">
        <v>0.18232200000000001</v>
      </c>
      <c r="BA37" t="s">
        <v>221</v>
      </c>
      <c r="BC37">
        <v>0.18232200000000001</v>
      </c>
      <c r="BE37" t="s">
        <v>221</v>
      </c>
      <c r="BG37">
        <v>0.18232200000000001</v>
      </c>
      <c r="BI37" t="s">
        <v>221</v>
      </c>
      <c r="BK37">
        <v>0.18232200000000001</v>
      </c>
      <c r="BM37" t="s">
        <v>221</v>
      </c>
      <c r="BO37">
        <v>0.18232200000000001</v>
      </c>
    </row>
    <row r="38" spans="2:67" x14ac:dyDescent="0.25">
      <c r="B38" t="s">
        <v>50</v>
      </c>
      <c r="C38">
        <v>1.7773099999999999</v>
      </c>
      <c r="D38" t="str">
        <f t="shared" si="0"/>
        <v>C=1.77731;</v>
      </c>
      <c r="F38" t="s">
        <v>50</v>
      </c>
      <c r="G38">
        <v>0.1305</v>
      </c>
      <c r="I38" t="s">
        <v>222</v>
      </c>
      <c r="K38">
        <v>2.1622599999999998</v>
      </c>
      <c r="M38" t="s">
        <v>222</v>
      </c>
      <c r="O38">
        <v>1.57243</v>
      </c>
      <c r="Q38" t="s">
        <v>222</v>
      </c>
      <c r="S38">
        <v>1.60338</v>
      </c>
      <c r="U38" t="s">
        <v>222</v>
      </c>
      <c r="W38">
        <v>1.82575</v>
      </c>
      <c r="Y38" t="s">
        <v>222</v>
      </c>
      <c r="AA38">
        <v>1.82708</v>
      </c>
      <c r="AC38" t="s">
        <v>222</v>
      </c>
      <c r="AE38">
        <v>1.8269599999999999</v>
      </c>
      <c r="AG38" t="s">
        <v>222</v>
      </c>
      <c r="AI38">
        <v>1.82684</v>
      </c>
      <c r="AK38" t="s">
        <v>222</v>
      </c>
      <c r="AM38">
        <v>1.82684</v>
      </c>
      <c r="AO38" t="s">
        <v>222</v>
      </c>
      <c r="AQ38">
        <v>1.8177000000000001</v>
      </c>
      <c r="AS38" t="s">
        <v>222</v>
      </c>
      <c r="AU38">
        <v>1.7924100000000001</v>
      </c>
      <c r="AW38" t="s">
        <v>222</v>
      </c>
      <c r="AY38">
        <v>1.7356499999999999</v>
      </c>
      <c r="BA38" t="s">
        <v>222</v>
      </c>
      <c r="BC38">
        <v>1.7692099999999999</v>
      </c>
      <c r="BE38" t="s">
        <v>222</v>
      </c>
      <c r="BG38">
        <v>1.7603200000000001</v>
      </c>
      <c r="BI38" t="s">
        <v>222</v>
      </c>
      <c r="BK38">
        <v>1.7737499999999999</v>
      </c>
      <c r="BM38" t="s">
        <v>222</v>
      </c>
      <c r="BO38">
        <v>1.7773099999999999</v>
      </c>
    </row>
    <row r="39" spans="2:67" x14ac:dyDescent="0.25">
      <c r="B39" t="s">
        <v>51</v>
      </c>
      <c r="C39">
        <v>2.1671100000000001</v>
      </c>
      <c r="D39" t="str">
        <f t="shared" si="0"/>
        <v>Y=2.16711;</v>
      </c>
      <c r="F39" t="s">
        <v>51</v>
      </c>
      <c r="G39">
        <v>0.27358300000000002</v>
      </c>
      <c r="I39" t="s">
        <v>223</v>
      </c>
      <c r="K39">
        <v>2.4908199999999998</v>
      </c>
      <c r="M39" t="s">
        <v>223</v>
      </c>
      <c r="O39">
        <v>1.9896199999999999</v>
      </c>
      <c r="Q39" t="s">
        <v>223</v>
      </c>
      <c r="S39">
        <v>2.0211100000000002</v>
      </c>
      <c r="U39" t="s">
        <v>223</v>
      </c>
      <c r="W39">
        <v>2.2434699999999999</v>
      </c>
      <c r="Y39" t="s">
        <v>223</v>
      </c>
      <c r="AA39">
        <v>2.2417500000000001</v>
      </c>
      <c r="AC39" t="s">
        <v>223</v>
      </c>
      <c r="AE39">
        <v>2.2417699999999998</v>
      </c>
      <c r="AG39" t="s">
        <v>223</v>
      </c>
      <c r="AI39">
        <v>2.2417899999999999</v>
      </c>
      <c r="AK39" t="s">
        <v>223</v>
      </c>
      <c r="AM39">
        <v>2.2417899999999999</v>
      </c>
      <c r="AO39" t="s">
        <v>223</v>
      </c>
      <c r="AQ39">
        <v>2.2345000000000002</v>
      </c>
      <c r="AS39" t="s">
        <v>223</v>
      </c>
      <c r="AU39">
        <v>2.21306</v>
      </c>
      <c r="AW39" t="s">
        <v>223</v>
      </c>
      <c r="AY39">
        <v>2.1530800000000001</v>
      </c>
      <c r="BA39" t="s">
        <v>223</v>
      </c>
      <c r="BC39">
        <v>2.1644800000000002</v>
      </c>
      <c r="BE39" t="s">
        <v>223</v>
      </c>
      <c r="BG39">
        <v>2.15448</v>
      </c>
      <c r="BI39" t="s">
        <v>223</v>
      </c>
      <c r="BK39">
        <v>2.1659000000000002</v>
      </c>
      <c r="BM39" t="s">
        <v>223</v>
      </c>
      <c r="BO39">
        <v>2.1671100000000001</v>
      </c>
    </row>
    <row r="40" spans="2:67" x14ac:dyDescent="0.25">
      <c r="B40" t="s">
        <v>52</v>
      </c>
      <c r="C40">
        <v>2.9795099999999999</v>
      </c>
      <c r="D40" t="str">
        <f t="shared" si="0"/>
        <v>D=2.97951;</v>
      </c>
      <c r="F40" t="s">
        <v>52</v>
      </c>
      <c r="G40">
        <v>1.04257</v>
      </c>
      <c r="I40" t="s">
        <v>224</v>
      </c>
      <c r="K40">
        <v>3.7342900000000001</v>
      </c>
      <c r="M40" t="s">
        <v>224</v>
      </c>
      <c r="O40">
        <v>2.8674499999999998</v>
      </c>
      <c r="Q40" t="s">
        <v>224</v>
      </c>
      <c r="S40">
        <v>2.9760599999999999</v>
      </c>
      <c r="U40" t="s">
        <v>224</v>
      </c>
      <c r="W40">
        <v>3.19842</v>
      </c>
      <c r="Y40" t="s">
        <v>224</v>
      </c>
      <c r="AA40">
        <v>3.0739800000000002</v>
      </c>
      <c r="AC40" t="s">
        <v>224</v>
      </c>
      <c r="AE40">
        <v>3.0629400000000002</v>
      </c>
      <c r="AG40" t="s">
        <v>224</v>
      </c>
      <c r="AI40">
        <v>3.05179</v>
      </c>
      <c r="AK40" t="s">
        <v>224</v>
      </c>
      <c r="AM40">
        <v>3.05179</v>
      </c>
      <c r="AO40" t="s">
        <v>224</v>
      </c>
      <c r="AQ40">
        <v>2.99478</v>
      </c>
      <c r="AS40" t="s">
        <v>224</v>
      </c>
      <c r="AU40">
        <v>2.9329200000000002</v>
      </c>
      <c r="AW40" t="s">
        <v>224</v>
      </c>
      <c r="AY40">
        <v>2.8512599999999999</v>
      </c>
      <c r="BA40" t="s">
        <v>224</v>
      </c>
      <c r="BC40">
        <v>2.9677199999999999</v>
      </c>
      <c r="BE40" t="s">
        <v>224</v>
      </c>
      <c r="BG40">
        <v>2.95648</v>
      </c>
      <c r="BI40" t="s">
        <v>224</v>
      </c>
      <c r="BK40">
        <v>2.9858899999999999</v>
      </c>
      <c r="BM40" t="s">
        <v>224</v>
      </c>
      <c r="BO40">
        <v>2.9795099999999999</v>
      </c>
    </row>
    <row r="41" spans="2:67" x14ac:dyDescent="0.25">
      <c r="B41" t="s">
        <v>53</v>
      </c>
      <c r="C41">
        <v>3.0725899999999999</v>
      </c>
      <c r="D41" t="str">
        <f t="shared" si="0"/>
        <v>BE=3.07259;</v>
      </c>
      <c r="F41" t="s">
        <v>53</v>
      </c>
      <c r="G41">
        <v>0.67402600000000001</v>
      </c>
      <c r="I41" t="s">
        <v>225</v>
      </c>
      <c r="K41">
        <v>3.6797200000000001</v>
      </c>
      <c r="M41" t="s">
        <v>225</v>
      </c>
      <c r="O41">
        <v>2.7393900000000002</v>
      </c>
      <c r="Q41" t="s">
        <v>225</v>
      </c>
      <c r="S41">
        <v>2.8005</v>
      </c>
      <c r="U41" t="s">
        <v>225</v>
      </c>
      <c r="W41">
        <v>3.0228600000000001</v>
      </c>
      <c r="Y41" t="s">
        <v>225</v>
      </c>
      <c r="AA41">
        <v>3.0211399999999999</v>
      </c>
      <c r="AC41" t="s">
        <v>225</v>
      </c>
      <c r="AE41">
        <v>3.0211600000000001</v>
      </c>
      <c r="AG41" t="s">
        <v>225</v>
      </c>
      <c r="AI41">
        <v>3.0211800000000002</v>
      </c>
      <c r="AK41" t="s">
        <v>225</v>
      </c>
      <c r="AM41">
        <v>3.0211800000000002</v>
      </c>
      <c r="AO41" t="s">
        <v>225</v>
      </c>
      <c r="AQ41">
        <v>3.0065599999999999</v>
      </c>
      <c r="AS41" t="s">
        <v>225</v>
      </c>
      <c r="AU41">
        <v>2.9637099999999998</v>
      </c>
      <c r="AW41" t="s">
        <v>225</v>
      </c>
      <c r="AY41">
        <v>2.9129800000000001</v>
      </c>
      <c r="BA41" t="s">
        <v>225</v>
      </c>
      <c r="BC41">
        <v>3.0416500000000002</v>
      </c>
      <c r="BE41" t="s">
        <v>225</v>
      </c>
      <c r="BG41">
        <v>3.0355400000000001</v>
      </c>
      <c r="BI41" t="s">
        <v>225</v>
      </c>
      <c r="BK41">
        <v>3.0585300000000002</v>
      </c>
      <c r="BM41" t="s">
        <v>225</v>
      </c>
      <c r="BO41">
        <v>3.0725899999999999</v>
      </c>
    </row>
    <row r="42" spans="2:67" x14ac:dyDescent="0.25">
      <c r="B42" t="s">
        <v>54</v>
      </c>
      <c r="C42">
        <v>0.64655399999999996</v>
      </c>
      <c r="D42" t="str">
        <f t="shared" si="0"/>
        <v>BH=0.646554;</v>
      </c>
      <c r="F42" t="s">
        <v>54</v>
      </c>
      <c r="G42">
        <v>0.14402699999999999</v>
      </c>
      <c r="I42" t="s">
        <v>226</v>
      </c>
      <c r="K42">
        <v>1.8504400000000001</v>
      </c>
      <c r="M42" t="s">
        <v>226</v>
      </c>
      <c r="O42">
        <v>1.3492299999999999</v>
      </c>
      <c r="Q42" t="s">
        <v>226</v>
      </c>
      <c r="S42">
        <v>1.62866</v>
      </c>
      <c r="U42" t="s">
        <v>226</v>
      </c>
      <c r="W42">
        <v>1.8510200000000001</v>
      </c>
      <c r="Y42" t="s">
        <v>226</v>
      </c>
      <c r="AA42">
        <v>1.1792800000000001</v>
      </c>
      <c r="AC42" t="s">
        <v>226</v>
      </c>
      <c r="AE42">
        <v>1.1793</v>
      </c>
      <c r="AG42" t="s">
        <v>226</v>
      </c>
      <c r="AI42">
        <v>1.1793199999999999</v>
      </c>
      <c r="AK42" t="s">
        <v>226</v>
      </c>
      <c r="AM42">
        <v>1.1793199999999999</v>
      </c>
      <c r="AO42" t="s">
        <v>226</v>
      </c>
      <c r="AQ42">
        <v>1.10392</v>
      </c>
      <c r="AS42" t="s">
        <v>226</v>
      </c>
      <c r="AU42">
        <v>0.90433699999999995</v>
      </c>
      <c r="AW42" t="s">
        <v>226</v>
      </c>
      <c r="AY42">
        <v>0.56435500000000005</v>
      </c>
      <c r="BA42" t="s">
        <v>226</v>
      </c>
      <c r="BC42">
        <v>0.63165000000000004</v>
      </c>
      <c r="BE42" t="s">
        <v>226</v>
      </c>
      <c r="BG42">
        <v>0.56572</v>
      </c>
      <c r="BI42" t="s">
        <v>226</v>
      </c>
      <c r="BK42">
        <v>0.63983000000000001</v>
      </c>
      <c r="BM42" t="s">
        <v>226</v>
      </c>
      <c r="BO42">
        <v>0.64655399999999996</v>
      </c>
    </row>
    <row r="43" spans="2:67" x14ac:dyDescent="0.25">
      <c r="B43" t="s">
        <v>3</v>
      </c>
      <c r="C43">
        <v>3.1572800000000001</v>
      </c>
      <c r="D43" t="str">
        <f t="shared" si="0"/>
        <v>B=3.15728;</v>
      </c>
      <c r="F43" t="s">
        <v>3</v>
      </c>
      <c r="G43">
        <v>1.1368799999999999</v>
      </c>
      <c r="I43" t="s">
        <v>227</v>
      </c>
      <c r="K43">
        <v>3.8285999999999998</v>
      </c>
      <c r="M43" t="s">
        <v>227</v>
      </c>
      <c r="O43">
        <v>2.96177</v>
      </c>
      <c r="Q43" t="s">
        <v>227</v>
      </c>
      <c r="S43">
        <v>3.07037</v>
      </c>
      <c r="U43" t="s">
        <v>227</v>
      </c>
      <c r="W43">
        <v>3.2927300000000002</v>
      </c>
      <c r="Y43" t="s">
        <v>227</v>
      </c>
      <c r="AA43">
        <v>3.1682899999999998</v>
      </c>
      <c r="AC43" t="s">
        <v>227</v>
      </c>
      <c r="AE43">
        <v>3.16831</v>
      </c>
      <c r="AG43" t="s">
        <v>227</v>
      </c>
      <c r="AI43">
        <v>3.16832</v>
      </c>
      <c r="AK43" t="s">
        <v>227</v>
      </c>
      <c r="AM43">
        <v>3.16832</v>
      </c>
      <c r="AO43" t="s">
        <v>227</v>
      </c>
      <c r="AQ43">
        <v>3.1456</v>
      </c>
      <c r="AS43" t="s">
        <v>227</v>
      </c>
      <c r="AU43">
        <v>3.0837500000000002</v>
      </c>
      <c r="AW43" t="s">
        <v>227</v>
      </c>
      <c r="AY43">
        <v>3.0041899999999999</v>
      </c>
      <c r="BA43" t="s">
        <v>227</v>
      </c>
      <c r="BC43">
        <v>3.1276600000000001</v>
      </c>
      <c r="BE43" t="s">
        <v>227</v>
      </c>
      <c r="BG43">
        <v>3.1167500000000001</v>
      </c>
      <c r="BI43" t="s">
        <v>227</v>
      </c>
      <c r="BK43">
        <v>3.1438199999999998</v>
      </c>
      <c r="BM43" t="s">
        <v>227</v>
      </c>
      <c r="BO43">
        <v>3.1572800000000001</v>
      </c>
    </row>
    <row r="44" spans="2:67" x14ac:dyDescent="0.25">
      <c r="B44" t="s">
        <v>55</v>
      </c>
      <c r="C44">
        <v>1.15357</v>
      </c>
      <c r="D44" t="str">
        <f t="shared" si="0"/>
        <v>w_p=1.15357;</v>
      </c>
      <c r="F44" t="s">
        <v>55</v>
      </c>
      <c r="G44">
        <v>-0.15495999999999999</v>
      </c>
      <c r="I44" t="s">
        <v>228</v>
      </c>
      <c r="K44">
        <v>1.6402000000000001</v>
      </c>
      <c r="M44" t="s">
        <v>228</v>
      </c>
      <c r="O44">
        <v>1.13269</v>
      </c>
      <c r="Q44" t="s">
        <v>228</v>
      </c>
      <c r="S44">
        <v>1.1598599999999999</v>
      </c>
      <c r="U44" t="s">
        <v>228</v>
      </c>
      <c r="W44">
        <v>1.1172</v>
      </c>
      <c r="Y44" t="s">
        <v>228</v>
      </c>
      <c r="AA44">
        <v>1.2282500000000001</v>
      </c>
      <c r="AC44" t="s">
        <v>228</v>
      </c>
      <c r="AE44">
        <v>1.2282500000000001</v>
      </c>
      <c r="AG44" t="s">
        <v>228</v>
      </c>
      <c r="AI44">
        <v>1.2282500000000001</v>
      </c>
      <c r="AK44" t="s">
        <v>228</v>
      </c>
      <c r="AM44">
        <v>1.2282500000000001</v>
      </c>
      <c r="AO44" t="s">
        <v>228</v>
      </c>
      <c r="AQ44">
        <v>1.2208699999999999</v>
      </c>
      <c r="AS44" t="s">
        <v>228</v>
      </c>
      <c r="AU44">
        <v>1.19936</v>
      </c>
      <c r="AW44" t="s">
        <v>228</v>
      </c>
      <c r="AY44">
        <v>1.1393500000000001</v>
      </c>
      <c r="BA44" t="s">
        <v>228</v>
      </c>
      <c r="BC44">
        <v>1.1509199999999999</v>
      </c>
      <c r="BE44" t="s">
        <v>228</v>
      </c>
      <c r="BG44">
        <v>1.14093</v>
      </c>
      <c r="BI44" t="s">
        <v>228</v>
      </c>
      <c r="BK44">
        <v>1.15238</v>
      </c>
      <c r="BM44" t="s">
        <v>228</v>
      </c>
      <c r="BO44">
        <v>1.15357</v>
      </c>
    </row>
    <row r="45" spans="2:67" x14ac:dyDescent="0.25">
      <c r="B45" t="s">
        <v>56</v>
      </c>
      <c r="C45">
        <v>-1.105</v>
      </c>
      <c r="D45" t="str">
        <f t="shared" si="0"/>
        <v>w_i=-1.105;</v>
      </c>
      <c r="F45" t="s">
        <v>56</v>
      </c>
      <c r="G45">
        <v>-1.74864</v>
      </c>
      <c r="I45" t="s">
        <v>229</v>
      </c>
      <c r="K45">
        <v>-4.2221700000000001E-2</v>
      </c>
      <c r="M45" t="s">
        <v>229</v>
      </c>
      <c r="O45">
        <v>-0.54342900000000005</v>
      </c>
      <c r="Q45" t="s">
        <v>229</v>
      </c>
      <c r="S45">
        <v>-0.50227599999999994</v>
      </c>
      <c r="U45" t="s">
        <v>229</v>
      </c>
      <c r="W45">
        <v>-0.33163300000000001</v>
      </c>
      <c r="Y45" t="s">
        <v>229</v>
      </c>
      <c r="AA45">
        <v>-1.0267500000000001</v>
      </c>
      <c r="AC45" t="s">
        <v>229</v>
      </c>
      <c r="AE45">
        <v>-1.0267299999999999</v>
      </c>
      <c r="AG45" t="s">
        <v>229</v>
      </c>
      <c r="AI45">
        <v>-1.02671</v>
      </c>
      <c r="AK45" t="s">
        <v>229</v>
      </c>
      <c r="AM45">
        <v>-1.02671</v>
      </c>
      <c r="AO45" t="s">
        <v>229</v>
      </c>
      <c r="AQ45">
        <v>-1.03464</v>
      </c>
      <c r="AS45" t="s">
        <v>229</v>
      </c>
      <c r="AU45">
        <v>-1.0575699999999999</v>
      </c>
      <c r="AW45" t="s">
        <v>229</v>
      </c>
      <c r="AY45">
        <v>-1.11944</v>
      </c>
      <c r="BA45" t="s">
        <v>229</v>
      </c>
      <c r="BC45">
        <v>-1.10771</v>
      </c>
      <c r="BE45" t="s">
        <v>229</v>
      </c>
      <c r="BG45">
        <v>-1.1180399999999999</v>
      </c>
      <c r="BI45" t="s">
        <v>229</v>
      </c>
      <c r="BK45">
        <v>-1.1062399999999999</v>
      </c>
      <c r="BM45" t="s">
        <v>229</v>
      </c>
      <c r="BO45">
        <v>-1.105</v>
      </c>
    </row>
    <row r="46" spans="2:67" x14ac:dyDescent="0.25">
      <c r="B46" t="s">
        <v>57</v>
      </c>
      <c r="C46">
        <v>-0.76663700000000001</v>
      </c>
      <c r="D46" t="str">
        <f t="shared" si="0"/>
        <v>J_B=-0.766637;</v>
      </c>
      <c r="F46" t="s">
        <v>57</v>
      </c>
      <c r="G46">
        <v>-3.52603</v>
      </c>
      <c r="I46" t="s">
        <v>230</v>
      </c>
      <c r="K46">
        <v>-0.83431699999999998</v>
      </c>
      <c r="M46" t="s">
        <v>230</v>
      </c>
      <c r="O46">
        <v>-1.7011499999999999</v>
      </c>
      <c r="Q46" t="s">
        <v>230</v>
      </c>
      <c r="S46">
        <v>-2.0266899999999999</v>
      </c>
      <c r="U46" t="s">
        <v>230</v>
      </c>
      <c r="W46">
        <v>-1.8043199999999999</v>
      </c>
      <c r="Y46" t="s">
        <v>230</v>
      </c>
      <c r="AA46">
        <v>-1.9287700000000001</v>
      </c>
      <c r="AC46" t="s">
        <v>230</v>
      </c>
      <c r="AE46">
        <v>-1.9227000000000001</v>
      </c>
      <c r="AG46" t="s">
        <v>230</v>
      </c>
      <c r="AI46">
        <v>-1.91666</v>
      </c>
      <c r="AK46" t="s">
        <v>230</v>
      </c>
      <c r="AM46">
        <v>-1.91666</v>
      </c>
      <c r="AO46" t="s">
        <v>230</v>
      </c>
      <c r="AQ46">
        <v>-1.73872</v>
      </c>
      <c r="AS46" t="s">
        <v>230</v>
      </c>
      <c r="AU46">
        <v>-1.39855</v>
      </c>
      <c r="AW46" t="s">
        <v>230</v>
      </c>
      <c r="AY46">
        <v>-0.81368600000000002</v>
      </c>
      <c r="BA46" t="s">
        <v>230</v>
      </c>
      <c r="BC46">
        <v>-0.77896600000000005</v>
      </c>
      <c r="BE46" t="s">
        <v>230</v>
      </c>
      <c r="BG46">
        <v>-0.69901899999999995</v>
      </c>
      <c r="BI46" t="s">
        <v>230</v>
      </c>
      <c r="BK46">
        <v>-0.77442299999999997</v>
      </c>
      <c r="BM46" t="s">
        <v>230</v>
      </c>
      <c r="BO46">
        <v>-0.76663700000000001</v>
      </c>
    </row>
    <row r="47" spans="2:67" x14ac:dyDescent="0.25">
      <c r="B47" t="s">
        <v>58</v>
      </c>
      <c r="C47">
        <v>5.4999799999999999</v>
      </c>
      <c r="D47" t="str">
        <f t="shared" si="0"/>
        <v>q_h=5.49998;</v>
      </c>
      <c r="F47" t="s">
        <v>58</v>
      </c>
      <c r="G47">
        <v>3.4964200000000001</v>
      </c>
      <c r="I47" t="s">
        <v>231</v>
      </c>
      <c r="K47">
        <v>5.3720299999999996</v>
      </c>
      <c r="M47" t="s">
        <v>231</v>
      </c>
      <c r="O47">
        <v>4.8587699999999998</v>
      </c>
      <c r="Q47" t="s">
        <v>231</v>
      </c>
      <c r="S47">
        <v>5.3065499999999997</v>
      </c>
      <c r="U47" t="s">
        <v>231</v>
      </c>
      <c r="W47">
        <v>5.5289200000000003</v>
      </c>
      <c r="Y47" t="s">
        <v>231</v>
      </c>
      <c r="AA47">
        <v>5.5812499999999998</v>
      </c>
      <c r="AC47" t="s">
        <v>231</v>
      </c>
      <c r="AE47">
        <v>5.5810899999999997</v>
      </c>
      <c r="AG47" t="s">
        <v>231</v>
      </c>
      <c r="AI47">
        <v>5.5809300000000004</v>
      </c>
      <c r="AK47" t="s">
        <v>231</v>
      </c>
      <c r="AM47">
        <v>5.5809300000000004</v>
      </c>
      <c r="AO47" t="s">
        <v>231</v>
      </c>
      <c r="AQ47">
        <v>5.5717299999999996</v>
      </c>
      <c r="AS47" t="s">
        <v>231</v>
      </c>
      <c r="AU47">
        <v>5.5470699999999997</v>
      </c>
      <c r="AW47" t="s">
        <v>231</v>
      </c>
      <c r="AY47">
        <v>5.4834899999999998</v>
      </c>
      <c r="BA47" t="s">
        <v>231</v>
      </c>
      <c r="BC47">
        <v>5.4970699999999999</v>
      </c>
      <c r="BE47" t="s">
        <v>231</v>
      </c>
      <c r="BG47">
        <v>5.4864699999999997</v>
      </c>
      <c r="BI47" t="s">
        <v>231</v>
      </c>
      <c r="BK47">
        <v>5.4988299999999999</v>
      </c>
      <c r="BM47" t="s">
        <v>231</v>
      </c>
      <c r="BO47">
        <v>5.4999799999999999</v>
      </c>
    </row>
    <row r="48" spans="2:67" x14ac:dyDescent="0.25">
      <c r="B48" t="s">
        <v>59</v>
      </c>
      <c r="C48">
        <v>4.1955400000000003</v>
      </c>
      <c r="D48" t="str">
        <f t="shared" si="0"/>
        <v>K=4.19554;</v>
      </c>
      <c r="F48" t="s">
        <v>59</v>
      </c>
      <c r="G48">
        <v>1.76372</v>
      </c>
      <c r="I48" t="s">
        <v>232</v>
      </c>
      <c r="K48">
        <v>4.7694099999999997</v>
      </c>
      <c r="M48" t="s">
        <v>232</v>
      </c>
      <c r="O48">
        <v>3.8540100000000002</v>
      </c>
      <c r="Q48" t="s">
        <v>232</v>
      </c>
      <c r="S48">
        <v>3.9100100000000002</v>
      </c>
      <c r="U48" t="s">
        <v>232</v>
      </c>
      <c r="W48">
        <v>4.1323800000000004</v>
      </c>
      <c r="Y48" t="s">
        <v>232</v>
      </c>
      <c r="AA48">
        <v>4.1306500000000002</v>
      </c>
      <c r="AC48" t="s">
        <v>232</v>
      </c>
      <c r="AE48">
        <v>4.1306700000000003</v>
      </c>
      <c r="AG48" t="s">
        <v>232</v>
      </c>
      <c r="AI48">
        <v>4.1306900000000004</v>
      </c>
      <c r="AK48" t="s">
        <v>232</v>
      </c>
      <c r="AM48">
        <v>4.1306900000000004</v>
      </c>
      <c r="AO48" t="s">
        <v>232</v>
      </c>
      <c r="AQ48">
        <v>4.1173200000000003</v>
      </c>
      <c r="AS48" t="s">
        <v>232</v>
      </c>
      <c r="AU48">
        <v>4.0781700000000001</v>
      </c>
      <c r="AW48" t="s">
        <v>232</v>
      </c>
      <c r="AY48">
        <v>4.0381999999999998</v>
      </c>
      <c r="BA48" t="s">
        <v>232</v>
      </c>
      <c r="BC48">
        <v>4.1649900000000004</v>
      </c>
      <c r="BE48" t="s">
        <v>232</v>
      </c>
      <c r="BG48">
        <v>4.1607599999999998</v>
      </c>
      <c r="BI48" t="s">
        <v>232</v>
      </c>
      <c r="BK48">
        <v>4.1816500000000003</v>
      </c>
      <c r="BM48" t="s">
        <v>232</v>
      </c>
      <c r="BO48">
        <v>4.1955400000000003</v>
      </c>
    </row>
    <row r="49" spans="2:67" x14ac:dyDescent="0.25">
      <c r="B49" t="s">
        <v>60</v>
      </c>
      <c r="C49" s="2">
        <v>5.7971400000000002E-15</v>
      </c>
      <c r="D49" t="str">
        <f t="shared" si="0"/>
        <v>PIW=5.79714E-15;</v>
      </c>
      <c r="F49" t="s">
        <v>60</v>
      </c>
      <c r="G49" s="2">
        <v>2.2204499999999999E-16</v>
      </c>
      <c r="H49" s="2"/>
      <c r="I49" t="s">
        <v>233</v>
      </c>
      <c r="K49" s="2">
        <v>1.4365499999999999E-14</v>
      </c>
      <c r="M49" t="s">
        <v>233</v>
      </c>
      <c r="O49" s="2">
        <v>1.4365499999999999E-14</v>
      </c>
      <c r="Q49" t="s">
        <v>233</v>
      </c>
      <c r="S49" s="2">
        <v>1.4365499999999999E-14</v>
      </c>
      <c r="U49" t="s">
        <v>233</v>
      </c>
      <c r="W49" s="2">
        <v>-8.1752800000000006E-14</v>
      </c>
      <c r="Y49" t="s">
        <v>233</v>
      </c>
      <c r="AA49" s="2">
        <v>1.4993100000000001E-11</v>
      </c>
      <c r="AC49" t="s">
        <v>233</v>
      </c>
      <c r="AE49" s="2">
        <v>-2.5290499999999999E-15</v>
      </c>
      <c r="AG49" t="s">
        <v>233</v>
      </c>
      <c r="AI49" s="2">
        <v>-7.4018899999999999E-16</v>
      </c>
      <c r="AK49" t="s">
        <v>233</v>
      </c>
      <c r="AM49" s="2">
        <v>-7.4018899999999999E-16</v>
      </c>
      <c r="AO49" t="s">
        <v>233</v>
      </c>
      <c r="AQ49" s="2">
        <v>-1.91149E-13</v>
      </c>
      <c r="AS49" t="s">
        <v>233</v>
      </c>
      <c r="AU49" s="2">
        <v>2.5704699999999999E-13</v>
      </c>
      <c r="AW49" t="s">
        <v>233</v>
      </c>
      <c r="AY49" s="2">
        <v>2.0263299999999999E-14</v>
      </c>
      <c r="BA49" t="s">
        <v>233</v>
      </c>
      <c r="BC49" s="2">
        <v>5.8239600000000001E-15</v>
      </c>
      <c r="BE49" t="s">
        <v>233</v>
      </c>
      <c r="BG49" s="2">
        <v>2.8490200000000002E-7</v>
      </c>
      <c r="BI49" t="s">
        <v>233</v>
      </c>
      <c r="BK49" s="2">
        <v>7.4252399999999999E-15</v>
      </c>
      <c r="BM49" t="s">
        <v>233</v>
      </c>
      <c r="BO49" s="2">
        <v>5.7971400000000002E-15</v>
      </c>
    </row>
    <row r="50" spans="2:67" x14ac:dyDescent="0.25">
      <c r="B50" t="s">
        <v>5</v>
      </c>
      <c r="C50">
        <v>-4.9266699999999997</v>
      </c>
      <c r="D50" t="str">
        <f t="shared" si="0"/>
        <v>r_ib=-4.92667;</v>
      </c>
      <c r="F50" t="s">
        <v>5</v>
      </c>
      <c r="G50">
        <v>-4.63992</v>
      </c>
      <c r="I50" t="s">
        <v>234</v>
      </c>
      <c r="K50">
        <v>-4.63992</v>
      </c>
      <c r="M50" t="s">
        <v>234</v>
      </c>
      <c r="O50">
        <v>-4.63992</v>
      </c>
      <c r="Q50" t="s">
        <v>234</v>
      </c>
      <c r="S50">
        <v>-5.0740600000000002</v>
      </c>
      <c r="U50" t="s">
        <v>234</v>
      </c>
      <c r="W50">
        <v>-5.0740600000000002</v>
      </c>
      <c r="Y50" t="s">
        <v>234</v>
      </c>
      <c r="AA50">
        <v>-5.0740600000000002</v>
      </c>
      <c r="AC50" t="s">
        <v>234</v>
      </c>
      <c r="AE50">
        <v>-5.0740600000000002</v>
      </c>
      <c r="AG50" t="s">
        <v>234</v>
      </c>
      <c r="AI50">
        <v>-5.0740600000000002</v>
      </c>
      <c r="AK50" t="s">
        <v>234</v>
      </c>
      <c r="AM50">
        <v>-5.0740600000000002</v>
      </c>
      <c r="AO50" t="s">
        <v>234</v>
      </c>
      <c r="AQ50">
        <v>-4.94909</v>
      </c>
      <c r="AS50" t="s">
        <v>234</v>
      </c>
      <c r="AU50">
        <v>-4.9266699999999997</v>
      </c>
      <c r="AW50" t="s">
        <v>234</v>
      </c>
      <c r="AY50">
        <v>-4.9266699999999997</v>
      </c>
      <c r="BA50" t="s">
        <v>234</v>
      </c>
      <c r="BC50">
        <v>-4.9266699999999997</v>
      </c>
      <c r="BE50" t="s">
        <v>234</v>
      </c>
      <c r="BG50">
        <v>-4.8484299999999996</v>
      </c>
      <c r="BI50" t="s">
        <v>234</v>
      </c>
      <c r="BK50">
        <v>-4.9266699999999997</v>
      </c>
      <c r="BM50" t="s">
        <v>234</v>
      </c>
      <c r="BO50">
        <v>-4.9266699999999997</v>
      </c>
    </row>
    <row r="51" spans="2:67" x14ac:dyDescent="0.25">
      <c r="B51" t="s">
        <v>163</v>
      </c>
      <c r="C51">
        <v>-2.6076700000000002</v>
      </c>
      <c r="D51" t="str">
        <f t="shared" si="0"/>
        <v>r_k=-2.60767;</v>
      </c>
      <c r="F51" t="s">
        <v>163</v>
      </c>
      <c r="G51">
        <v>-3.0587499999999999</v>
      </c>
      <c r="I51" t="s">
        <v>235</v>
      </c>
      <c r="K51">
        <v>-3.0587499999999999</v>
      </c>
      <c r="M51" t="s">
        <v>235</v>
      </c>
      <c r="O51">
        <v>-2.6445500000000002</v>
      </c>
      <c r="Q51" t="s">
        <v>235</v>
      </c>
      <c r="S51">
        <v>-2.66906</v>
      </c>
      <c r="U51" t="s">
        <v>235</v>
      </c>
      <c r="W51">
        <v>-2.66906</v>
      </c>
      <c r="Y51" t="s">
        <v>235</v>
      </c>
      <c r="AA51">
        <v>-2.66906</v>
      </c>
      <c r="AC51" t="s">
        <v>235</v>
      </c>
      <c r="AE51">
        <v>-2.66906</v>
      </c>
      <c r="AG51" t="s">
        <v>235</v>
      </c>
      <c r="AI51">
        <v>-2.66906</v>
      </c>
      <c r="AK51" t="s">
        <v>235</v>
      </c>
      <c r="AM51">
        <v>-2.66906</v>
      </c>
      <c r="AO51" t="s">
        <v>235</v>
      </c>
      <c r="AQ51">
        <v>-2.6629800000000001</v>
      </c>
      <c r="AS51" t="s">
        <v>235</v>
      </c>
      <c r="AU51">
        <v>-2.64527</v>
      </c>
      <c r="AW51" t="s">
        <v>235</v>
      </c>
      <c r="AY51">
        <v>-2.5960100000000002</v>
      </c>
      <c r="BA51" t="s">
        <v>235</v>
      </c>
      <c r="BC51">
        <v>-2.6055000000000001</v>
      </c>
      <c r="BE51" t="s">
        <v>235</v>
      </c>
      <c r="BG51">
        <v>-2.5972900000000001</v>
      </c>
      <c r="BI51" t="s">
        <v>235</v>
      </c>
      <c r="BK51">
        <v>-2.60669</v>
      </c>
      <c r="BM51" t="s">
        <v>235</v>
      </c>
      <c r="BO51">
        <v>-2.6076700000000002</v>
      </c>
    </row>
    <row r="52" spans="2:67" x14ac:dyDescent="0.25">
      <c r="B52" t="s">
        <v>61</v>
      </c>
      <c r="C52" s="2">
        <v>1.27738E-16</v>
      </c>
      <c r="D52" t="str">
        <f t="shared" si="0"/>
        <v>ee_z=1.27738E-16;</v>
      </c>
      <c r="F52" t="s">
        <v>61</v>
      </c>
      <c r="G52">
        <v>0</v>
      </c>
      <c r="I52" t="s">
        <v>236</v>
      </c>
      <c r="K52" s="2">
        <v>-1.4789099999999999E-16</v>
      </c>
      <c r="M52" t="s">
        <v>236</v>
      </c>
      <c r="O52" s="2">
        <v>-1.4789099999999999E-16</v>
      </c>
      <c r="Q52" t="s">
        <v>236</v>
      </c>
      <c r="S52" s="2">
        <v>-1.4789099999999999E-16</v>
      </c>
      <c r="U52" t="s">
        <v>236</v>
      </c>
      <c r="W52" s="2">
        <v>-2.7516899999999998E-16</v>
      </c>
      <c r="Y52" t="s">
        <v>236</v>
      </c>
      <c r="AA52" s="2">
        <v>8.5605000000000005E-14</v>
      </c>
      <c r="AC52" t="s">
        <v>236</v>
      </c>
      <c r="AE52" s="2">
        <v>-6.8200900000000002E-17</v>
      </c>
      <c r="AG52" t="s">
        <v>236</v>
      </c>
      <c r="AI52" s="2">
        <v>-1.5879400000000001E-16</v>
      </c>
      <c r="AK52" t="s">
        <v>236</v>
      </c>
      <c r="AM52" s="2">
        <v>-1.5879400000000001E-16</v>
      </c>
      <c r="AO52" t="s">
        <v>236</v>
      </c>
      <c r="AQ52" s="2">
        <v>-1.9646500000000001E-17</v>
      </c>
      <c r="AS52" t="s">
        <v>236</v>
      </c>
      <c r="AU52" s="2">
        <v>-2.2014999999999999E-16</v>
      </c>
      <c r="AW52" t="s">
        <v>236</v>
      </c>
      <c r="AY52" s="2">
        <v>-1.0016E-16</v>
      </c>
      <c r="BA52" t="s">
        <v>236</v>
      </c>
      <c r="BC52" s="2">
        <v>-9.8114600000000003E-17</v>
      </c>
      <c r="BE52" t="s">
        <v>236</v>
      </c>
      <c r="BG52" s="2">
        <v>-9.8114600000000003E-17</v>
      </c>
      <c r="BI52" t="s">
        <v>236</v>
      </c>
      <c r="BK52" s="2">
        <v>3.4989799999999999E-16</v>
      </c>
      <c r="BM52" t="s">
        <v>236</v>
      </c>
      <c r="BO52" s="2">
        <v>1.27738E-16</v>
      </c>
    </row>
    <row r="53" spans="2:67" x14ac:dyDescent="0.25">
      <c r="B53" t="s">
        <v>62</v>
      </c>
      <c r="C53" s="2">
        <v>1.26752E-17</v>
      </c>
      <c r="D53" t="str">
        <f t="shared" si="0"/>
        <v>A_e=1.26752E-17;</v>
      </c>
      <c r="F53" t="s">
        <v>62</v>
      </c>
      <c r="G53">
        <v>0</v>
      </c>
      <c r="I53" t="s">
        <v>237</v>
      </c>
      <c r="K53" s="2">
        <v>2.0529199999999998E-15</v>
      </c>
      <c r="M53" t="s">
        <v>237</v>
      </c>
      <c r="O53" s="2">
        <v>2.0529199999999998E-15</v>
      </c>
      <c r="Q53" t="s">
        <v>237</v>
      </c>
      <c r="S53" s="2">
        <v>2.0529199999999998E-15</v>
      </c>
      <c r="U53" t="s">
        <v>237</v>
      </c>
      <c r="W53" s="2">
        <v>1.43648E-15</v>
      </c>
      <c r="Y53" t="s">
        <v>237</v>
      </c>
      <c r="AA53" s="2">
        <v>-2.6401200000000001E-16</v>
      </c>
      <c r="AC53" t="s">
        <v>237</v>
      </c>
      <c r="AE53" s="2">
        <v>-2.6401599999999998E-16</v>
      </c>
      <c r="AG53" t="s">
        <v>237</v>
      </c>
      <c r="AI53" s="2">
        <v>-3.0254500000000002E-16</v>
      </c>
      <c r="AK53" t="s">
        <v>237</v>
      </c>
      <c r="AM53" s="2">
        <v>-3.0254500000000002E-16</v>
      </c>
      <c r="AO53" t="s">
        <v>237</v>
      </c>
      <c r="AQ53" s="2">
        <v>1.8894399999999999E-16</v>
      </c>
      <c r="AS53" t="s">
        <v>237</v>
      </c>
      <c r="AU53" s="2">
        <v>9.6326200000000003E-16</v>
      </c>
      <c r="AW53" t="s">
        <v>237</v>
      </c>
      <c r="AY53" s="2">
        <v>2.18221E-15</v>
      </c>
      <c r="BA53" t="s">
        <v>237</v>
      </c>
      <c r="BC53" s="2">
        <v>-3.9703399999999998E-16</v>
      </c>
      <c r="BE53" t="s">
        <v>237</v>
      </c>
      <c r="BG53" s="2">
        <v>-3.9703399999999998E-16</v>
      </c>
      <c r="BI53" t="s">
        <v>237</v>
      </c>
      <c r="BK53" s="2">
        <v>-5.2952999999999999E-17</v>
      </c>
      <c r="BM53" t="s">
        <v>237</v>
      </c>
      <c r="BO53" s="2">
        <v>1.26752E-17</v>
      </c>
    </row>
    <row r="54" spans="2:67" x14ac:dyDescent="0.25">
      <c r="B54" t="s">
        <v>63</v>
      </c>
      <c r="C54" s="2">
        <v>-2.7512200000000001E-16</v>
      </c>
      <c r="D54" t="str">
        <f t="shared" si="0"/>
        <v>ee_j=-2.75122E-16;</v>
      </c>
      <c r="F54" t="s">
        <v>63</v>
      </c>
      <c r="G54">
        <v>0</v>
      </c>
      <c r="I54" t="s">
        <v>238</v>
      </c>
      <c r="K54" s="2">
        <v>-1.2804499999999999E-15</v>
      </c>
      <c r="M54" t="s">
        <v>238</v>
      </c>
      <c r="O54" s="2">
        <v>-1.2804499999999999E-15</v>
      </c>
      <c r="Q54" t="s">
        <v>238</v>
      </c>
      <c r="S54" s="2">
        <v>-1.2804499999999999E-15</v>
      </c>
      <c r="U54" t="s">
        <v>238</v>
      </c>
      <c r="W54" s="2">
        <v>-7.4351600000000003E-16</v>
      </c>
      <c r="Y54" t="s">
        <v>238</v>
      </c>
      <c r="AA54" s="2">
        <v>8.5182199999999997E-17</v>
      </c>
      <c r="AC54" t="s">
        <v>238</v>
      </c>
      <c r="AE54" s="2">
        <v>8.5182199999999997E-17</v>
      </c>
      <c r="AG54" t="s">
        <v>238</v>
      </c>
      <c r="AI54" s="2">
        <v>-2.7580600000000002E-16</v>
      </c>
      <c r="AK54" t="s">
        <v>238</v>
      </c>
      <c r="AM54" s="2">
        <v>-2.7580600000000002E-16</v>
      </c>
      <c r="AO54" t="s">
        <v>238</v>
      </c>
      <c r="AQ54" s="2">
        <v>-8.9184900000000007E-16</v>
      </c>
      <c r="AS54" t="s">
        <v>238</v>
      </c>
      <c r="AU54" s="2">
        <v>-2.18042E-15</v>
      </c>
      <c r="AW54" t="s">
        <v>238</v>
      </c>
      <c r="AY54" s="2">
        <v>5.9888800000000002E-16</v>
      </c>
      <c r="BA54" t="s">
        <v>238</v>
      </c>
      <c r="BC54" s="2">
        <v>-9.4339500000000002E-16</v>
      </c>
      <c r="BE54" t="s">
        <v>238</v>
      </c>
      <c r="BG54" s="2">
        <v>4.6514399999999997E-16</v>
      </c>
      <c r="BI54" t="s">
        <v>238</v>
      </c>
      <c r="BK54" s="2">
        <v>-2.67531E-16</v>
      </c>
      <c r="BM54" t="s">
        <v>238</v>
      </c>
      <c r="BO54" s="2">
        <v>-2.7512200000000001E-16</v>
      </c>
    </row>
    <row r="55" spans="2:67" x14ac:dyDescent="0.25">
      <c r="B55" t="s">
        <v>64</v>
      </c>
      <c r="C55">
        <v>-0.66905000000000003</v>
      </c>
      <c r="D55" t="str">
        <f t="shared" si="0"/>
        <v>mk_d=-0.66905;</v>
      </c>
      <c r="F55" t="s">
        <v>64</v>
      </c>
      <c r="G55">
        <v>-0.52165499999999998</v>
      </c>
      <c r="I55" t="s">
        <v>239</v>
      </c>
      <c r="K55">
        <v>-0.52165499999999998</v>
      </c>
      <c r="M55" t="s">
        <v>239</v>
      </c>
      <c r="O55">
        <v>-0.52165499999999998</v>
      </c>
      <c r="Q55" t="s">
        <v>239</v>
      </c>
      <c r="S55">
        <v>-0.52165499999999998</v>
      </c>
      <c r="U55" t="s">
        <v>239</v>
      </c>
      <c r="W55">
        <v>-0.52165499999999998</v>
      </c>
      <c r="Y55" t="s">
        <v>239</v>
      </c>
      <c r="AA55">
        <v>-0.52165499999999998</v>
      </c>
      <c r="AC55" t="s">
        <v>239</v>
      </c>
      <c r="AE55">
        <v>-0.52165499999999998</v>
      </c>
      <c r="AG55" t="s">
        <v>239</v>
      </c>
      <c r="AI55">
        <v>-0.52165499999999998</v>
      </c>
      <c r="AK55" t="s">
        <v>239</v>
      </c>
      <c r="AM55">
        <v>-0.52165499999999998</v>
      </c>
      <c r="AO55" t="s">
        <v>239</v>
      </c>
      <c r="AQ55">
        <v>-0.64662699999999995</v>
      </c>
      <c r="AS55" t="s">
        <v>239</v>
      </c>
      <c r="AU55">
        <v>-0.66905000000000003</v>
      </c>
      <c r="AW55" t="s">
        <v>239</v>
      </c>
      <c r="AY55">
        <v>-0.66905000000000003</v>
      </c>
      <c r="BA55" t="s">
        <v>239</v>
      </c>
      <c r="BC55">
        <v>-0.66905000000000003</v>
      </c>
      <c r="BE55" t="s">
        <v>239</v>
      </c>
      <c r="BG55">
        <v>-0.74721000000000004</v>
      </c>
      <c r="BI55" t="s">
        <v>239</v>
      </c>
      <c r="BK55">
        <v>-0.66905000000000003</v>
      </c>
      <c r="BM55" t="s">
        <v>239</v>
      </c>
      <c r="BO55">
        <v>-0.66905000000000003</v>
      </c>
    </row>
    <row r="56" spans="2:67" x14ac:dyDescent="0.25">
      <c r="B56" t="s">
        <v>65</v>
      </c>
      <c r="C56">
        <v>1.31372</v>
      </c>
      <c r="D56" t="str">
        <f t="shared" si="0"/>
        <v>mk_be=1.31372;</v>
      </c>
      <c r="F56" t="s">
        <v>65</v>
      </c>
      <c r="G56">
        <v>0.416987</v>
      </c>
      <c r="I56" t="s">
        <v>240</v>
      </c>
      <c r="K56">
        <v>0.416987</v>
      </c>
      <c r="M56" t="s">
        <v>240</v>
      </c>
      <c r="O56">
        <v>0.416987</v>
      </c>
      <c r="Q56" t="s">
        <v>240</v>
      </c>
      <c r="S56">
        <v>0.416987</v>
      </c>
      <c r="U56" t="s">
        <v>240</v>
      </c>
      <c r="W56">
        <v>0.416987</v>
      </c>
      <c r="Y56" t="s">
        <v>240</v>
      </c>
      <c r="AA56">
        <v>0.416987</v>
      </c>
      <c r="AC56" t="s">
        <v>240</v>
      </c>
      <c r="AE56">
        <v>0.416987</v>
      </c>
      <c r="AG56" t="s">
        <v>240</v>
      </c>
      <c r="AI56">
        <v>0.416987</v>
      </c>
      <c r="AK56" t="s">
        <v>240</v>
      </c>
      <c r="AM56">
        <v>0.416987</v>
      </c>
      <c r="AO56" t="s">
        <v>240</v>
      </c>
      <c r="AQ56">
        <v>0.416987</v>
      </c>
      <c r="AS56" t="s">
        <v>240</v>
      </c>
      <c r="AU56">
        <v>0.69314699999999996</v>
      </c>
      <c r="AW56" t="s">
        <v>240</v>
      </c>
      <c r="AY56">
        <v>1.31372</v>
      </c>
      <c r="BA56" t="s">
        <v>240</v>
      </c>
      <c r="BC56">
        <v>1.31372</v>
      </c>
      <c r="BE56" t="s">
        <v>240</v>
      </c>
      <c r="BG56">
        <v>1.31372</v>
      </c>
      <c r="BI56" t="s">
        <v>240</v>
      </c>
      <c r="BK56">
        <v>1.31372</v>
      </c>
      <c r="BM56" t="s">
        <v>240</v>
      </c>
      <c r="BO56">
        <v>1.31372</v>
      </c>
    </row>
    <row r="57" spans="2:67" x14ac:dyDescent="0.25">
      <c r="B57" t="s">
        <v>66</v>
      </c>
      <c r="C57">
        <v>1.1631499999999999</v>
      </c>
      <c r="D57" t="str">
        <f t="shared" si="0"/>
        <v>mk_bh=1.16315;</v>
      </c>
      <c r="F57" t="s">
        <v>66</v>
      </c>
      <c r="G57">
        <v>0.416987</v>
      </c>
      <c r="I57" t="s">
        <v>241</v>
      </c>
      <c r="K57">
        <v>0.416987</v>
      </c>
      <c r="M57" t="s">
        <v>241</v>
      </c>
      <c r="O57">
        <v>0.416987</v>
      </c>
      <c r="Q57" t="s">
        <v>241</v>
      </c>
      <c r="S57">
        <v>0.416987</v>
      </c>
      <c r="U57" t="s">
        <v>241</v>
      </c>
      <c r="W57">
        <v>0.416987</v>
      </c>
      <c r="Y57" t="s">
        <v>241</v>
      </c>
      <c r="AA57">
        <v>0.416987</v>
      </c>
      <c r="AC57" t="s">
        <v>241</v>
      </c>
      <c r="AE57">
        <v>0.416987</v>
      </c>
      <c r="AG57" t="s">
        <v>241</v>
      </c>
      <c r="AI57">
        <v>0.416987</v>
      </c>
      <c r="AK57" t="s">
        <v>241</v>
      </c>
      <c r="AM57">
        <v>0.416987</v>
      </c>
      <c r="AO57" t="s">
        <v>241</v>
      </c>
      <c r="AQ57">
        <v>0.416987</v>
      </c>
      <c r="AS57" t="s">
        <v>241</v>
      </c>
      <c r="AU57">
        <v>0.69314699999999996</v>
      </c>
      <c r="AW57" t="s">
        <v>241</v>
      </c>
      <c r="AY57">
        <v>1.1631499999999999</v>
      </c>
      <c r="BA57" t="s">
        <v>241</v>
      </c>
      <c r="BC57">
        <v>1.1631499999999999</v>
      </c>
      <c r="BE57" t="s">
        <v>241</v>
      </c>
      <c r="BG57">
        <v>1.1631499999999999</v>
      </c>
      <c r="BI57" t="s">
        <v>241</v>
      </c>
      <c r="BK57">
        <v>1.1631499999999999</v>
      </c>
      <c r="BM57" t="s">
        <v>241</v>
      </c>
      <c r="BO57">
        <v>1.1631499999999999</v>
      </c>
    </row>
    <row r="58" spans="2:67" x14ac:dyDescent="0.25">
      <c r="B58" t="s">
        <v>67</v>
      </c>
      <c r="C58" s="2">
        <v>-1.8820600000000001E-16</v>
      </c>
      <c r="D58" t="str">
        <f t="shared" si="0"/>
        <v>ee_qk=-1.88206E-16;</v>
      </c>
      <c r="F58" t="s">
        <v>67</v>
      </c>
      <c r="G58">
        <v>0</v>
      </c>
      <c r="I58" t="s">
        <v>242</v>
      </c>
      <c r="K58" s="2">
        <v>-5.5082199999999998E-17</v>
      </c>
      <c r="M58" t="s">
        <v>242</v>
      </c>
      <c r="O58" s="2">
        <v>-5.5082199999999998E-17</v>
      </c>
      <c r="Q58" t="s">
        <v>242</v>
      </c>
      <c r="S58" s="2">
        <v>-5.5082199999999998E-17</v>
      </c>
      <c r="U58" t="s">
        <v>242</v>
      </c>
      <c r="W58" s="2">
        <v>-6.7550199999999997E-17</v>
      </c>
      <c r="Y58" t="s">
        <v>242</v>
      </c>
      <c r="AA58" s="2">
        <v>2.3160900000000001E-17</v>
      </c>
      <c r="AC58" t="s">
        <v>242</v>
      </c>
      <c r="AE58" s="2">
        <v>2.3160900000000001E-17</v>
      </c>
      <c r="AG58" t="s">
        <v>242</v>
      </c>
      <c r="AI58" s="2">
        <v>2.3160900000000001E-17</v>
      </c>
      <c r="AK58" t="s">
        <v>242</v>
      </c>
      <c r="AM58" s="2">
        <v>2.3160900000000001E-17</v>
      </c>
      <c r="AO58" t="s">
        <v>242</v>
      </c>
      <c r="AQ58" s="2">
        <v>-8.9301E-18</v>
      </c>
      <c r="AS58" t="s">
        <v>242</v>
      </c>
      <c r="AU58" s="2">
        <v>8.1571999999999997E-17</v>
      </c>
      <c r="AW58" t="s">
        <v>242</v>
      </c>
      <c r="AY58" s="2">
        <v>1.01689E-16</v>
      </c>
      <c r="BA58" t="s">
        <v>242</v>
      </c>
      <c r="BC58" s="2">
        <v>-7.4265399999999999E-17</v>
      </c>
      <c r="BE58" t="s">
        <v>242</v>
      </c>
      <c r="BG58" s="2">
        <v>-7.4265399999999999E-17</v>
      </c>
      <c r="BI58" t="s">
        <v>242</v>
      </c>
      <c r="BK58" s="2">
        <v>-1.52535E-16</v>
      </c>
      <c r="BM58" t="s">
        <v>242</v>
      </c>
      <c r="BO58" s="2">
        <v>-1.8820600000000001E-16</v>
      </c>
    </row>
    <row r="59" spans="2:67" x14ac:dyDescent="0.25">
      <c r="B59" t="s">
        <v>68</v>
      </c>
      <c r="C59">
        <v>-0.34249000000000002</v>
      </c>
      <c r="D59" t="str">
        <f t="shared" si="0"/>
        <v>m_i=-0.34249;</v>
      </c>
      <c r="F59" t="s">
        <v>68</v>
      </c>
      <c r="G59">
        <v>-0.35667500000000002</v>
      </c>
      <c r="I59" t="s">
        <v>243</v>
      </c>
      <c r="K59">
        <v>-0.35667500000000002</v>
      </c>
      <c r="M59" t="s">
        <v>243</v>
      </c>
      <c r="O59">
        <v>-0.35667500000000002</v>
      </c>
      <c r="Q59" t="s">
        <v>243</v>
      </c>
      <c r="S59">
        <v>-0.35667500000000002</v>
      </c>
      <c r="U59" t="s">
        <v>243</v>
      </c>
      <c r="W59">
        <v>-0.35667500000000002</v>
      </c>
      <c r="Y59" t="s">
        <v>243</v>
      </c>
      <c r="AA59">
        <v>-0.34249000000000002</v>
      </c>
      <c r="AC59" t="s">
        <v>243</v>
      </c>
      <c r="AE59">
        <v>-0.34249000000000002</v>
      </c>
      <c r="AG59" t="s">
        <v>243</v>
      </c>
      <c r="AI59">
        <v>-0.34249000000000002</v>
      </c>
      <c r="AK59" t="s">
        <v>243</v>
      </c>
      <c r="AM59">
        <v>-0.34249000000000002</v>
      </c>
      <c r="AO59" t="s">
        <v>243</v>
      </c>
      <c r="AQ59">
        <v>-0.34249000000000002</v>
      </c>
      <c r="AS59" t="s">
        <v>243</v>
      </c>
      <c r="AU59">
        <v>-0.34249000000000002</v>
      </c>
      <c r="AW59" t="s">
        <v>243</v>
      </c>
      <c r="AY59">
        <v>-0.34249000000000002</v>
      </c>
      <c r="BA59" t="s">
        <v>243</v>
      </c>
      <c r="BC59">
        <v>-0.34249000000000002</v>
      </c>
      <c r="BE59" t="s">
        <v>243</v>
      </c>
      <c r="BG59">
        <v>-0.34249000000000002</v>
      </c>
      <c r="BI59" t="s">
        <v>243</v>
      </c>
      <c r="BK59">
        <v>-0.34249000000000002</v>
      </c>
      <c r="BM59" t="s">
        <v>243</v>
      </c>
      <c r="BO59">
        <v>-0.34249000000000002</v>
      </c>
    </row>
    <row r="60" spans="2:67" x14ac:dyDescent="0.25">
      <c r="B60" t="s">
        <v>69</v>
      </c>
      <c r="C60">
        <v>-1.04982</v>
      </c>
      <c r="D60" t="str">
        <f t="shared" si="0"/>
        <v>m_e=-1.04982;</v>
      </c>
      <c r="F60" t="s">
        <v>69</v>
      </c>
      <c r="G60">
        <v>-1.04982</v>
      </c>
      <c r="I60" t="s">
        <v>244</v>
      </c>
      <c r="K60">
        <v>-1.04982</v>
      </c>
      <c r="M60" t="s">
        <v>244</v>
      </c>
      <c r="O60">
        <v>-1.04982</v>
      </c>
      <c r="Q60" t="s">
        <v>244</v>
      </c>
      <c r="S60">
        <v>-1.04982</v>
      </c>
      <c r="U60" t="s">
        <v>244</v>
      </c>
      <c r="W60">
        <v>-1.04982</v>
      </c>
      <c r="Y60" t="s">
        <v>244</v>
      </c>
      <c r="AA60">
        <v>-1.04982</v>
      </c>
      <c r="AC60" t="s">
        <v>244</v>
      </c>
      <c r="AE60">
        <v>-1.04982</v>
      </c>
      <c r="AG60" t="s">
        <v>244</v>
      </c>
      <c r="AI60">
        <v>-1.04982</v>
      </c>
      <c r="AK60" t="s">
        <v>244</v>
      </c>
      <c r="AM60">
        <v>-1.04982</v>
      </c>
      <c r="AO60" t="s">
        <v>244</v>
      </c>
      <c r="AQ60">
        <v>-1.04982</v>
      </c>
      <c r="AS60" t="s">
        <v>244</v>
      </c>
      <c r="AU60">
        <v>-1.04982</v>
      </c>
      <c r="AW60" t="s">
        <v>244</v>
      </c>
      <c r="AY60">
        <v>-1.04982</v>
      </c>
      <c r="BA60" t="s">
        <v>244</v>
      </c>
      <c r="BC60">
        <v>-1.04982</v>
      </c>
      <c r="BE60" t="s">
        <v>244</v>
      </c>
      <c r="BG60">
        <v>-1.04982</v>
      </c>
      <c r="BI60" t="s">
        <v>244</v>
      </c>
      <c r="BK60">
        <v>-1.04982</v>
      </c>
      <c r="BM60" t="s">
        <v>244</v>
      </c>
      <c r="BO60">
        <v>-1.04982</v>
      </c>
    </row>
    <row r="61" spans="2:67" x14ac:dyDescent="0.25">
      <c r="B61" t="s">
        <v>70</v>
      </c>
      <c r="C61">
        <v>1.79176</v>
      </c>
      <c r="D61" t="str">
        <f t="shared" si="0"/>
        <v>eps_y=1.79176;</v>
      </c>
      <c r="F61" t="s">
        <v>70</v>
      </c>
      <c r="G61">
        <v>1.79176</v>
      </c>
      <c r="I61" t="s">
        <v>245</v>
      </c>
      <c r="K61">
        <v>1.79176</v>
      </c>
      <c r="M61" t="s">
        <v>245</v>
      </c>
      <c r="O61">
        <v>1.79176</v>
      </c>
      <c r="Q61" t="s">
        <v>245</v>
      </c>
      <c r="S61">
        <v>1.79176</v>
      </c>
      <c r="U61" t="s">
        <v>245</v>
      </c>
      <c r="W61">
        <v>1.79176</v>
      </c>
      <c r="Y61" t="s">
        <v>245</v>
      </c>
      <c r="AA61">
        <v>1.79176</v>
      </c>
      <c r="AC61" t="s">
        <v>245</v>
      </c>
      <c r="AE61">
        <v>1.79176</v>
      </c>
      <c r="AG61" t="s">
        <v>245</v>
      </c>
      <c r="AI61">
        <v>1.79176</v>
      </c>
      <c r="AK61" t="s">
        <v>245</v>
      </c>
      <c r="AM61">
        <v>1.79176</v>
      </c>
      <c r="AO61" t="s">
        <v>245</v>
      </c>
      <c r="AQ61">
        <v>1.79176</v>
      </c>
      <c r="AS61" t="s">
        <v>245</v>
      </c>
      <c r="AU61">
        <v>1.79176</v>
      </c>
      <c r="AW61" t="s">
        <v>245</v>
      </c>
      <c r="AY61">
        <v>1.79176</v>
      </c>
      <c r="BA61" t="s">
        <v>245</v>
      </c>
      <c r="BC61">
        <v>1.79176</v>
      </c>
      <c r="BE61" t="s">
        <v>245</v>
      </c>
      <c r="BG61">
        <v>1.79176</v>
      </c>
      <c r="BI61" t="s">
        <v>245</v>
      </c>
      <c r="BK61">
        <v>1.79176</v>
      </c>
      <c r="BM61" t="s">
        <v>245</v>
      </c>
      <c r="BO61">
        <v>1.79176</v>
      </c>
    </row>
    <row r="62" spans="2:67" x14ac:dyDescent="0.25">
      <c r="B62" t="s">
        <v>71</v>
      </c>
      <c r="C62">
        <v>1.60944</v>
      </c>
      <c r="D62" t="str">
        <f t="shared" si="0"/>
        <v>eps_l=1.60944;</v>
      </c>
      <c r="F62" t="s">
        <v>71</v>
      </c>
      <c r="G62">
        <v>1.60944</v>
      </c>
      <c r="I62" t="s">
        <v>246</v>
      </c>
      <c r="K62">
        <v>1.60944</v>
      </c>
      <c r="M62" t="s">
        <v>246</v>
      </c>
      <c r="O62">
        <v>1.60944</v>
      </c>
      <c r="Q62" t="s">
        <v>246</v>
      </c>
      <c r="S62">
        <v>1.60944</v>
      </c>
      <c r="U62" t="s">
        <v>246</v>
      </c>
      <c r="W62">
        <v>1.60944</v>
      </c>
      <c r="Y62" t="s">
        <v>246</v>
      </c>
      <c r="AA62">
        <v>1.60944</v>
      </c>
      <c r="AC62" t="s">
        <v>246</v>
      </c>
      <c r="AE62">
        <v>1.60944</v>
      </c>
      <c r="AG62" t="s">
        <v>246</v>
      </c>
      <c r="AI62">
        <v>1.60944</v>
      </c>
      <c r="AK62" t="s">
        <v>246</v>
      </c>
      <c r="AM62">
        <v>1.60944</v>
      </c>
      <c r="AO62" t="s">
        <v>246</v>
      </c>
      <c r="AQ62">
        <v>1.60944</v>
      </c>
      <c r="AS62" t="s">
        <v>246</v>
      </c>
      <c r="AU62">
        <v>1.60944</v>
      </c>
      <c r="AW62" t="s">
        <v>246</v>
      </c>
      <c r="AY62">
        <v>1.60944</v>
      </c>
      <c r="BA62" t="s">
        <v>246</v>
      </c>
      <c r="BC62">
        <v>1.60944</v>
      </c>
      <c r="BE62" t="s">
        <v>246</v>
      </c>
      <c r="BG62">
        <v>1.60944</v>
      </c>
      <c r="BI62" t="s">
        <v>246</v>
      </c>
      <c r="BK62">
        <v>1.60944</v>
      </c>
      <c r="BM62" t="s">
        <v>246</v>
      </c>
      <c r="BO62">
        <v>1.60944</v>
      </c>
    </row>
    <row r="63" spans="2:67" x14ac:dyDescent="0.25">
      <c r="B63" t="s">
        <v>72</v>
      </c>
      <c r="C63" s="2">
        <v>-5.20552E-18</v>
      </c>
      <c r="D63" t="str">
        <f t="shared" si="0"/>
        <v>eps_K_b=-5.20552E-18;</v>
      </c>
      <c r="F63" t="s">
        <v>72</v>
      </c>
      <c r="G63">
        <v>0</v>
      </c>
      <c r="I63" t="s">
        <v>247</v>
      </c>
      <c r="K63" s="2">
        <v>3.3572300000000001E-16</v>
      </c>
      <c r="M63" t="s">
        <v>247</v>
      </c>
      <c r="O63" s="2">
        <v>3.3572300000000001E-16</v>
      </c>
      <c r="Q63" t="s">
        <v>247</v>
      </c>
      <c r="S63" s="2">
        <v>3.3572300000000001E-16</v>
      </c>
      <c r="U63" t="s">
        <v>247</v>
      </c>
      <c r="W63" s="2">
        <v>2.2531100000000002E-16</v>
      </c>
      <c r="Y63" t="s">
        <v>247</v>
      </c>
      <c r="AA63" s="2">
        <v>-7.6146199999999999E-16</v>
      </c>
      <c r="AC63" t="s">
        <v>247</v>
      </c>
      <c r="AE63" s="2">
        <v>-1.6676E-16</v>
      </c>
      <c r="AG63" t="s">
        <v>247</v>
      </c>
      <c r="AI63" s="2">
        <v>5.6052499999999997E-16</v>
      </c>
      <c r="AK63" t="s">
        <v>247</v>
      </c>
      <c r="AM63" s="2">
        <v>5.6052499999999997E-16</v>
      </c>
      <c r="AO63" t="s">
        <v>247</v>
      </c>
      <c r="AQ63" s="2">
        <v>2.5778600000000002E-16</v>
      </c>
      <c r="AS63" t="s">
        <v>247</v>
      </c>
      <c r="AU63" s="2">
        <v>-3.2192300000000001E-16</v>
      </c>
      <c r="AW63" t="s">
        <v>247</v>
      </c>
      <c r="AY63" s="2">
        <v>2.00033E-16</v>
      </c>
      <c r="BA63" t="s">
        <v>247</v>
      </c>
      <c r="BC63" s="2">
        <v>8.7214499999999999E-16</v>
      </c>
      <c r="BE63" t="s">
        <v>247</v>
      </c>
      <c r="BG63" s="2">
        <v>8.7214499999999999E-16</v>
      </c>
      <c r="BI63" t="s">
        <v>247</v>
      </c>
      <c r="BK63" s="2">
        <v>1.64191E-16</v>
      </c>
      <c r="BM63" t="s">
        <v>247</v>
      </c>
      <c r="BO63" s="2">
        <v>-5.20552E-18</v>
      </c>
    </row>
    <row r="64" spans="2:67" x14ac:dyDescent="0.25">
      <c r="B64" t="s">
        <v>73</v>
      </c>
      <c r="C64">
        <v>2.2156099999999999</v>
      </c>
      <c r="D64" t="str">
        <f t="shared" si="0"/>
        <v>Y1=2.21561;</v>
      </c>
      <c r="F64" t="s">
        <v>73</v>
      </c>
      <c r="G64">
        <v>0.25095299999999998</v>
      </c>
      <c r="I64" t="s">
        <v>248</v>
      </c>
      <c r="K64">
        <v>2.4541900000000001</v>
      </c>
      <c r="M64" t="s">
        <v>248</v>
      </c>
      <c r="O64">
        <v>1.96435</v>
      </c>
      <c r="Q64" t="s">
        <v>248</v>
      </c>
      <c r="S64">
        <v>2.0034900000000002</v>
      </c>
      <c r="U64" t="s">
        <v>248</v>
      </c>
      <c r="W64">
        <v>2.2258599999999999</v>
      </c>
      <c r="Y64" t="s">
        <v>248</v>
      </c>
      <c r="AA64">
        <v>2.2261799999999998</v>
      </c>
      <c r="AC64" t="s">
        <v>248</v>
      </c>
      <c r="AE64">
        <v>2.2261099999999998</v>
      </c>
      <c r="AG64" t="s">
        <v>248</v>
      </c>
      <c r="AI64">
        <v>2.2260300000000002</v>
      </c>
      <c r="AK64" t="s">
        <v>248</v>
      </c>
      <c r="AM64">
        <v>2.2260300000000002</v>
      </c>
      <c r="AO64" t="s">
        <v>248</v>
      </c>
      <c r="AQ64">
        <v>2.2155100000000001</v>
      </c>
      <c r="AS64" t="s">
        <v>248</v>
      </c>
      <c r="AU64">
        <v>2.1856800000000001</v>
      </c>
      <c r="AW64" t="s">
        <v>248</v>
      </c>
      <c r="AY64">
        <v>2.1344099999999999</v>
      </c>
      <c r="BA64" t="s">
        <v>248</v>
      </c>
      <c r="BC64">
        <v>2.1996000000000002</v>
      </c>
      <c r="BE64" t="s">
        <v>248</v>
      </c>
      <c r="BG64">
        <v>2.1923499999999998</v>
      </c>
      <c r="BI64" t="s">
        <v>248</v>
      </c>
      <c r="BK64">
        <v>2.2084000000000001</v>
      </c>
      <c r="BM64" t="s">
        <v>248</v>
      </c>
      <c r="BO64">
        <v>2.2156099999999999</v>
      </c>
    </row>
    <row r="65" spans="2:67" x14ac:dyDescent="0.25">
      <c r="B65" t="s">
        <v>74</v>
      </c>
      <c r="C65">
        <v>2.11532E-3</v>
      </c>
      <c r="D65" t="str">
        <f t="shared" si="0"/>
        <v>rr_e=0.00211532;</v>
      </c>
      <c r="F65" t="s">
        <v>74</v>
      </c>
      <c r="G65">
        <v>0.10788300000000001</v>
      </c>
      <c r="I65" t="s">
        <v>249</v>
      </c>
      <c r="K65">
        <v>5.3406900000000004E-3</v>
      </c>
      <c r="M65" t="s">
        <v>249</v>
      </c>
      <c r="O65">
        <v>1.3175600000000001E-2</v>
      </c>
      <c r="Q65" t="s">
        <v>249</v>
      </c>
      <c r="S65">
        <v>1.8357100000000001E-2</v>
      </c>
      <c r="U65" t="s">
        <v>249</v>
      </c>
      <c r="W65">
        <v>1.4697099999999999E-2</v>
      </c>
      <c r="Y65" t="s">
        <v>249</v>
      </c>
      <c r="AA65">
        <v>1.47224E-2</v>
      </c>
      <c r="AC65" t="s">
        <v>249</v>
      </c>
      <c r="AE65">
        <v>1.47222E-2</v>
      </c>
      <c r="AG65" t="s">
        <v>249</v>
      </c>
      <c r="AI65">
        <v>1.47219E-2</v>
      </c>
      <c r="AK65" t="s">
        <v>249</v>
      </c>
      <c r="AM65">
        <v>1.47219E-2</v>
      </c>
      <c r="AO65" t="s">
        <v>249</v>
      </c>
      <c r="AQ65">
        <v>1.37438E-2</v>
      </c>
      <c r="AS65" t="s">
        <v>249</v>
      </c>
      <c r="AU65">
        <v>1.0678399999999999E-2</v>
      </c>
      <c r="AW65" t="s">
        <v>249</v>
      </c>
      <c r="AY65">
        <v>1.6522800000000001E-4</v>
      </c>
      <c r="BA65" t="s">
        <v>249</v>
      </c>
      <c r="BC65">
        <v>1.8242899999999999E-3</v>
      </c>
      <c r="BE65" t="s">
        <v>249</v>
      </c>
      <c r="BG65">
        <v>1.4502800000000001E-4</v>
      </c>
      <c r="BI65" t="s">
        <v>249</v>
      </c>
      <c r="BK65">
        <v>1.9877699999999998E-3</v>
      </c>
      <c r="BM65" t="s">
        <v>249</v>
      </c>
      <c r="BO65">
        <v>2.11532E-3</v>
      </c>
    </row>
    <row r="66" spans="2:67" x14ac:dyDescent="0.25">
      <c r="B66" t="s">
        <v>75</v>
      </c>
      <c r="C66">
        <v>0.16286600000000001</v>
      </c>
      <c r="D66" t="str">
        <f t="shared" si="0"/>
        <v>aux1=0.162866;</v>
      </c>
      <c r="F66" t="s">
        <v>75</v>
      </c>
      <c r="G66">
        <v>0.09</v>
      </c>
      <c r="I66" t="s">
        <v>250</v>
      </c>
      <c r="K66">
        <v>0.09</v>
      </c>
      <c r="M66" t="s">
        <v>250</v>
      </c>
      <c r="O66">
        <v>0.09</v>
      </c>
      <c r="Q66" t="s">
        <v>250</v>
      </c>
      <c r="S66">
        <v>0.09</v>
      </c>
      <c r="U66" t="s">
        <v>250</v>
      </c>
      <c r="W66">
        <v>0.09</v>
      </c>
      <c r="Y66" t="s">
        <v>250</v>
      </c>
      <c r="AA66">
        <v>0.09</v>
      </c>
      <c r="AC66" t="s">
        <v>250</v>
      </c>
      <c r="AE66">
        <v>0.1</v>
      </c>
      <c r="AG66" t="s">
        <v>250</v>
      </c>
      <c r="AI66">
        <v>0.11</v>
      </c>
      <c r="AK66" t="s">
        <v>250</v>
      </c>
      <c r="AM66">
        <v>0.11</v>
      </c>
      <c r="AO66" t="s">
        <v>250</v>
      </c>
      <c r="AQ66">
        <v>0.14000000000000001</v>
      </c>
      <c r="AS66" t="s">
        <v>250</v>
      </c>
      <c r="AU66">
        <v>0.14000000000000001</v>
      </c>
      <c r="AW66" t="s">
        <v>250</v>
      </c>
      <c r="AY66">
        <v>0.14180899999999999</v>
      </c>
      <c r="BA66" t="s">
        <v>250</v>
      </c>
      <c r="BC66">
        <v>0.14779800000000001</v>
      </c>
      <c r="BE66" t="s">
        <v>250</v>
      </c>
      <c r="BG66">
        <v>0.148089</v>
      </c>
      <c r="BI66" t="s">
        <v>250</v>
      </c>
      <c r="BK66">
        <v>0.146091</v>
      </c>
      <c r="BM66" t="s">
        <v>250</v>
      </c>
      <c r="BO66">
        <v>0.16286600000000001</v>
      </c>
    </row>
    <row r="67" spans="2:67" x14ac:dyDescent="0.25">
      <c r="B67" t="s">
        <v>76</v>
      </c>
      <c r="C67">
        <v>-3.9542600000000001</v>
      </c>
      <c r="D67" t="str">
        <f t="shared" ref="D67" si="1">B67&amp;"="&amp;C67&amp;";"</f>
        <v>bm=-3.95426;</v>
      </c>
      <c r="F67" t="s">
        <v>76</v>
      </c>
      <c r="G67">
        <v>-4.7190300000000001</v>
      </c>
      <c r="I67" t="s">
        <v>251</v>
      </c>
      <c r="K67">
        <v>-4.7191299999999998</v>
      </c>
      <c r="M67" t="s">
        <v>251</v>
      </c>
      <c r="O67">
        <v>-4.7191299999999998</v>
      </c>
      <c r="Q67" t="s">
        <v>251</v>
      </c>
      <c r="S67">
        <v>-5.15327</v>
      </c>
      <c r="U67" t="s">
        <v>251</v>
      </c>
      <c r="W67">
        <v>-5.15327</v>
      </c>
      <c r="Y67" t="s">
        <v>251</v>
      </c>
      <c r="AA67">
        <v>-5.15327</v>
      </c>
      <c r="AC67" t="s">
        <v>251</v>
      </c>
      <c r="AE67">
        <v>-5.15327</v>
      </c>
      <c r="AG67" t="s">
        <v>251</v>
      </c>
      <c r="AI67">
        <v>-5.15327</v>
      </c>
      <c r="AK67" t="s">
        <v>251</v>
      </c>
      <c r="AM67">
        <v>-5.15327</v>
      </c>
      <c r="AO67" t="s">
        <v>251</v>
      </c>
      <c r="AQ67">
        <v>-4.9555400000000001</v>
      </c>
      <c r="AS67" t="s">
        <v>251</v>
      </c>
      <c r="AU67">
        <v>-4.5293599999999996</v>
      </c>
      <c r="AW67" t="s">
        <v>251</v>
      </c>
      <c r="AY67">
        <v>-3.8420100000000001</v>
      </c>
      <c r="BA67" t="s">
        <v>251</v>
      </c>
      <c r="BC67">
        <v>-3.9337</v>
      </c>
      <c r="BE67" t="s">
        <v>251</v>
      </c>
      <c r="BG67">
        <v>-3.8404199999999999</v>
      </c>
      <c r="BI67" t="s">
        <v>251</v>
      </c>
      <c r="BK67">
        <v>-3.9449999999999998</v>
      </c>
      <c r="BM67" t="s">
        <v>251</v>
      </c>
      <c r="BO67">
        <v>-3.9542600000000001</v>
      </c>
    </row>
    <row r="68" spans="2:67" x14ac:dyDescent="0.25">
      <c r="B68" t="s">
        <v>77</v>
      </c>
      <c r="C68">
        <v>-4.0275699999999999</v>
      </c>
      <c r="D68" t="str">
        <f>B68&amp;"="&amp;C68&amp;";"</f>
        <v>spr_b=-4.02757;</v>
      </c>
      <c r="F68" t="s">
        <v>77</v>
      </c>
      <c r="G68">
        <v>-4.7191299999999998</v>
      </c>
      <c r="I68" t="s">
        <v>252</v>
      </c>
      <c r="K68">
        <v>-4.7191299999999998</v>
      </c>
      <c r="M68" t="s">
        <v>252</v>
      </c>
      <c r="O68">
        <v>-4.7191299999999998</v>
      </c>
      <c r="Q68" t="s">
        <v>252</v>
      </c>
      <c r="S68">
        <v>-5.15327</v>
      </c>
      <c r="U68" t="s">
        <v>252</v>
      </c>
      <c r="W68">
        <v>-5.15327</v>
      </c>
      <c r="Y68" t="s">
        <v>252</v>
      </c>
      <c r="AA68">
        <v>-5.15327</v>
      </c>
      <c r="AC68" t="s">
        <v>252</v>
      </c>
      <c r="AE68">
        <v>-5.15327</v>
      </c>
      <c r="AG68" t="s">
        <v>252</v>
      </c>
      <c r="AI68">
        <v>-5.15327</v>
      </c>
      <c r="AK68" t="s">
        <v>252</v>
      </c>
      <c r="AM68">
        <v>-5.15327</v>
      </c>
      <c r="AO68" t="s">
        <v>252</v>
      </c>
      <c r="AQ68">
        <v>-4.9555400000000001</v>
      </c>
      <c r="AS68" t="s">
        <v>252</v>
      </c>
      <c r="AU68">
        <v>-4.5293599999999996</v>
      </c>
      <c r="AW68" t="s">
        <v>252</v>
      </c>
      <c r="AY68">
        <v>-3.9130099999999999</v>
      </c>
      <c r="BA68" t="s">
        <v>252</v>
      </c>
      <c r="BC68">
        <v>-4.0065400000000002</v>
      </c>
      <c r="BE68" t="s">
        <v>252</v>
      </c>
      <c r="BG68">
        <v>-3.9129399999999999</v>
      </c>
      <c r="BI68" t="s">
        <v>252</v>
      </c>
      <c r="BK68">
        <v>-4.0180999999999996</v>
      </c>
      <c r="BM68" t="s">
        <v>252</v>
      </c>
      <c r="BO68">
        <v>-4.0275699999999999</v>
      </c>
    </row>
    <row r="69" spans="2:67" x14ac:dyDescent="0.25">
      <c r="B69" t="s">
        <v>4</v>
      </c>
      <c r="C69">
        <v>-1.8427500000000001</v>
      </c>
      <c r="D69" t="str">
        <f t="shared" ref="D69:D81" si="2">B69&amp;"="&amp;C69&amp;";"</f>
        <v>vi=-1.84275;</v>
      </c>
      <c r="F69" t="s">
        <v>151</v>
      </c>
      <c r="G69">
        <v>3.8633999999999999</v>
      </c>
      <c r="I69" t="s">
        <v>253</v>
      </c>
      <c r="K69">
        <v>3.8633999999999999</v>
      </c>
      <c r="M69" t="s">
        <v>253</v>
      </c>
      <c r="O69">
        <v>3.8633999999999999</v>
      </c>
      <c r="Q69" t="s">
        <v>253</v>
      </c>
      <c r="S69">
        <v>2.5027900000000001</v>
      </c>
      <c r="U69" t="s">
        <v>253</v>
      </c>
      <c r="W69">
        <v>2.5027900000000001</v>
      </c>
      <c r="Y69" t="s">
        <v>253</v>
      </c>
      <c r="AA69">
        <v>2.5027900000000001</v>
      </c>
      <c r="AC69" t="s">
        <v>253</v>
      </c>
      <c r="AE69">
        <v>2.5027900000000001</v>
      </c>
      <c r="AG69" t="s">
        <v>253</v>
      </c>
      <c r="AI69">
        <v>2.5027900000000001</v>
      </c>
      <c r="AK69" t="s">
        <v>253</v>
      </c>
      <c r="AM69">
        <v>2.5027900000000001</v>
      </c>
      <c r="AO69" t="s">
        <v>253</v>
      </c>
      <c r="AQ69">
        <v>2.83595</v>
      </c>
      <c r="AS69" t="s">
        <v>253</v>
      </c>
      <c r="AU69">
        <v>2.9002500000000002</v>
      </c>
      <c r="AW69" t="s">
        <v>253</v>
      </c>
      <c r="AY69">
        <v>2.9002500000000002</v>
      </c>
      <c r="BA69" t="s">
        <v>286</v>
      </c>
      <c r="BC69">
        <v>-1.93794</v>
      </c>
      <c r="BE69" t="s">
        <v>286</v>
      </c>
      <c r="BG69">
        <v>-1.93794</v>
      </c>
      <c r="BI69" t="s">
        <v>286</v>
      </c>
      <c r="BK69">
        <v>-1.9605300000000001</v>
      </c>
      <c r="BM69" t="s">
        <v>286</v>
      </c>
      <c r="BO69">
        <v>-1.8427500000000001</v>
      </c>
    </row>
    <row r="70" spans="2:67" x14ac:dyDescent="0.25">
      <c r="B70" t="s">
        <v>151</v>
      </c>
      <c r="C70">
        <v>2.9002500000000002</v>
      </c>
      <c r="D70" t="str">
        <f t="shared" si="2"/>
        <v>interestPol=2.90025;</v>
      </c>
      <c r="F70" t="s">
        <v>152</v>
      </c>
      <c r="G70">
        <v>5.8622500000000004</v>
      </c>
      <c r="I70" t="s">
        <v>254</v>
      </c>
      <c r="K70">
        <v>5.8622500000000004</v>
      </c>
      <c r="M70" t="s">
        <v>254</v>
      </c>
      <c r="O70">
        <v>5.8622500000000004</v>
      </c>
      <c r="Q70" t="s">
        <v>254</v>
      </c>
      <c r="S70">
        <v>3.7976800000000002</v>
      </c>
      <c r="U70" t="s">
        <v>254</v>
      </c>
      <c r="W70">
        <v>3.7976800000000002</v>
      </c>
      <c r="Y70" t="s">
        <v>254</v>
      </c>
      <c r="AA70">
        <v>3.7976800000000002</v>
      </c>
      <c r="AC70" t="s">
        <v>254</v>
      </c>
      <c r="AE70">
        <v>3.7976800000000002</v>
      </c>
      <c r="AG70" t="s">
        <v>254</v>
      </c>
      <c r="AI70">
        <v>3.7976800000000002</v>
      </c>
      <c r="AK70" t="s">
        <v>254</v>
      </c>
      <c r="AM70">
        <v>3.7976800000000002</v>
      </c>
      <c r="AO70" t="s">
        <v>254</v>
      </c>
      <c r="AQ70">
        <v>4.3032199999999996</v>
      </c>
      <c r="AS70" t="s">
        <v>254</v>
      </c>
      <c r="AU70">
        <v>5.8005100000000001</v>
      </c>
      <c r="AW70" t="s">
        <v>254</v>
      </c>
      <c r="AY70">
        <v>8.7654399999999999</v>
      </c>
      <c r="BA70" t="s">
        <v>253</v>
      </c>
      <c r="BC70">
        <v>2.9002500000000002</v>
      </c>
      <c r="BE70" t="s">
        <v>253</v>
      </c>
      <c r="BG70">
        <v>3.1362800000000002</v>
      </c>
      <c r="BI70" t="s">
        <v>253</v>
      </c>
      <c r="BK70">
        <v>2.9002500000000002</v>
      </c>
      <c r="BM70" t="s">
        <v>253</v>
      </c>
      <c r="BO70">
        <v>2.9002500000000002</v>
      </c>
    </row>
    <row r="71" spans="2:67" x14ac:dyDescent="0.25">
      <c r="B71" t="s">
        <v>152</v>
      </c>
      <c r="C71">
        <v>7.9653400000000003</v>
      </c>
      <c r="D71" t="str">
        <f t="shared" si="2"/>
        <v>interestH=7.96534;</v>
      </c>
      <c r="F71" t="s">
        <v>153</v>
      </c>
      <c r="G71">
        <v>5.8622500000000004</v>
      </c>
      <c r="I71" t="s">
        <v>255</v>
      </c>
      <c r="K71">
        <v>5.8622500000000004</v>
      </c>
      <c r="M71" t="s">
        <v>255</v>
      </c>
      <c r="O71">
        <v>5.8622500000000004</v>
      </c>
      <c r="Q71" t="s">
        <v>255</v>
      </c>
      <c r="S71">
        <v>3.7976800000000002</v>
      </c>
      <c r="U71" t="s">
        <v>255</v>
      </c>
      <c r="W71">
        <v>3.7976800000000002</v>
      </c>
      <c r="Y71" t="s">
        <v>255</v>
      </c>
      <c r="AA71">
        <v>3.7976800000000002</v>
      </c>
      <c r="AC71" t="s">
        <v>255</v>
      </c>
      <c r="AE71">
        <v>3.7976800000000002</v>
      </c>
      <c r="AG71" t="s">
        <v>255</v>
      </c>
      <c r="AI71">
        <v>3.7976800000000002</v>
      </c>
      <c r="AK71" t="s">
        <v>255</v>
      </c>
      <c r="AM71">
        <v>3.7976800000000002</v>
      </c>
      <c r="AO71" t="s">
        <v>255</v>
      </c>
      <c r="AQ71">
        <v>4.3032199999999996</v>
      </c>
      <c r="AS71" t="s">
        <v>255</v>
      </c>
      <c r="AU71">
        <v>5.8005100000000001</v>
      </c>
      <c r="AW71" t="s">
        <v>255</v>
      </c>
      <c r="AY71">
        <v>10.1898</v>
      </c>
      <c r="BA71" t="s">
        <v>254</v>
      </c>
      <c r="BC71">
        <v>8.1054099999999991</v>
      </c>
      <c r="BE71" t="s">
        <v>254</v>
      </c>
      <c r="BG71">
        <v>8.7659800000000008</v>
      </c>
      <c r="BI71" t="s">
        <v>254</v>
      </c>
      <c r="BK71">
        <v>8.0280799999999992</v>
      </c>
      <c r="BM71" t="s">
        <v>254</v>
      </c>
      <c r="BO71">
        <v>7.9653400000000003</v>
      </c>
    </row>
    <row r="72" spans="2:67" x14ac:dyDescent="0.25">
      <c r="B72" t="s">
        <v>153</v>
      </c>
      <c r="C72">
        <v>9.2597100000000001</v>
      </c>
      <c r="D72" t="str">
        <f t="shared" si="2"/>
        <v>interestF=9.25971;</v>
      </c>
      <c r="F72" t="s">
        <v>154</v>
      </c>
      <c r="G72" s="2">
        <v>1.41174E-14</v>
      </c>
      <c r="H72" s="2"/>
      <c r="I72" t="s">
        <v>256</v>
      </c>
      <c r="K72" s="2">
        <v>1.4278599999999999E-12</v>
      </c>
      <c r="M72" t="s">
        <v>256</v>
      </c>
      <c r="O72" s="2">
        <v>1.4278599999999999E-12</v>
      </c>
      <c r="Q72" t="s">
        <v>256</v>
      </c>
      <c r="S72" s="2">
        <v>1.4278599999999999E-12</v>
      </c>
      <c r="U72" t="s">
        <v>256</v>
      </c>
      <c r="W72" s="2">
        <v>-8.1802999999999998E-12</v>
      </c>
      <c r="Y72" t="s">
        <v>256</v>
      </c>
      <c r="AA72" s="2">
        <v>1.4993E-9</v>
      </c>
      <c r="AC72" t="s">
        <v>256</v>
      </c>
      <c r="AE72" s="2">
        <v>-2.6290499999999998E-13</v>
      </c>
      <c r="AG72" t="s">
        <v>256</v>
      </c>
      <c r="AI72" s="2">
        <v>-7.5197600000000001E-14</v>
      </c>
      <c r="AK72" t="s">
        <v>256</v>
      </c>
      <c r="AM72" s="2">
        <v>-7.5197600000000001E-14</v>
      </c>
      <c r="AO72" t="s">
        <v>256</v>
      </c>
      <c r="AQ72" s="2">
        <v>-1.9107400000000001E-11</v>
      </c>
      <c r="AS72" t="s">
        <v>256</v>
      </c>
      <c r="AU72" s="2">
        <v>2.5704100000000001E-11</v>
      </c>
      <c r="AW72" t="s">
        <v>256</v>
      </c>
      <c r="AY72" s="2">
        <v>2.0263E-12</v>
      </c>
      <c r="BA72" t="s">
        <v>255</v>
      </c>
      <c r="BC72">
        <v>9.4225300000000001</v>
      </c>
      <c r="BE72" t="s">
        <v>255</v>
      </c>
      <c r="BG72">
        <v>10.1905</v>
      </c>
      <c r="BI72" t="s">
        <v>255</v>
      </c>
      <c r="BK72">
        <v>9.3326499999999992</v>
      </c>
      <c r="BM72" t="s">
        <v>255</v>
      </c>
      <c r="BO72">
        <v>9.2597100000000001</v>
      </c>
    </row>
    <row r="73" spans="2:67" x14ac:dyDescent="0.25">
      <c r="B73" t="s">
        <v>154</v>
      </c>
      <c r="C73" s="2">
        <v>5.9447300000000001E-13</v>
      </c>
      <c r="D73" t="str">
        <f t="shared" si="2"/>
        <v>inflation=0.000000000000594473;</v>
      </c>
      <c r="F73" t="s">
        <v>155</v>
      </c>
      <c r="G73">
        <v>14.402699999999999</v>
      </c>
      <c r="I73" t="s">
        <v>257</v>
      </c>
      <c r="K73">
        <v>185.04400000000001</v>
      </c>
      <c r="M73" t="s">
        <v>257</v>
      </c>
      <c r="O73">
        <v>134.923</v>
      </c>
      <c r="Q73" t="s">
        <v>257</v>
      </c>
      <c r="S73">
        <v>162.86600000000001</v>
      </c>
      <c r="U73" t="s">
        <v>257</v>
      </c>
      <c r="W73">
        <v>185.102</v>
      </c>
      <c r="Y73" t="s">
        <v>257</v>
      </c>
      <c r="AA73">
        <v>117.928</v>
      </c>
      <c r="AC73" t="s">
        <v>257</v>
      </c>
      <c r="AE73">
        <v>117.93</v>
      </c>
      <c r="AG73" t="s">
        <v>257</v>
      </c>
      <c r="AI73">
        <v>117.932</v>
      </c>
      <c r="AK73" t="s">
        <v>257</v>
      </c>
      <c r="AM73">
        <v>117.932</v>
      </c>
      <c r="AO73" t="s">
        <v>257</v>
      </c>
      <c r="AQ73">
        <v>110.392</v>
      </c>
      <c r="AS73" t="s">
        <v>257</v>
      </c>
      <c r="AU73">
        <v>90.433700000000002</v>
      </c>
      <c r="AW73" t="s">
        <v>257</v>
      </c>
      <c r="AY73">
        <v>56.435499999999998</v>
      </c>
      <c r="BA73" t="s">
        <v>256</v>
      </c>
      <c r="BC73" s="2">
        <v>5.8598499999999995E-13</v>
      </c>
      <c r="BE73" t="s">
        <v>256</v>
      </c>
      <c r="BG73" s="2">
        <v>2.84902E-5</v>
      </c>
      <c r="BI73" t="s">
        <v>256</v>
      </c>
      <c r="BK73" s="2">
        <v>7.3633800000000003E-13</v>
      </c>
      <c r="BM73" t="s">
        <v>256</v>
      </c>
      <c r="BO73" s="2">
        <v>5.9447300000000001E-13</v>
      </c>
    </row>
    <row r="74" spans="2:67" x14ac:dyDescent="0.25">
      <c r="B74" t="s">
        <v>155</v>
      </c>
      <c r="C74">
        <v>64.6554</v>
      </c>
      <c r="D74" t="str">
        <f t="shared" si="2"/>
        <v>loansH=64.6554;</v>
      </c>
      <c r="F74" t="s">
        <v>156</v>
      </c>
      <c r="G74">
        <v>67.402600000000007</v>
      </c>
      <c r="I74" t="s">
        <v>258</v>
      </c>
      <c r="K74">
        <v>367.97199999999998</v>
      </c>
      <c r="M74" t="s">
        <v>258</v>
      </c>
      <c r="O74">
        <v>273.93900000000002</v>
      </c>
      <c r="Q74" t="s">
        <v>258</v>
      </c>
      <c r="S74">
        <v>280.05</v>
      </c>
      <c r="U74" t="s">
        <v>258</v>
      </c>
      <c r="W74">
        <v>302.286</v>
      </c>
      <c r="Y74" t="s">
        <v>258</v>
      </c>
      <c r="AA74">
        <v>302.11399999999998</v>
      </c>
      <c r="AC74" t="s">
        <v>258</v>
      </c>
      <c r="AE74">
        <v>302.11599999999999</v>
      </c>
      <c r="AG74" t="s">
        <v>258</v>
      </c>
      <c r="AI74">
        <v>302.11799999999999</v>
      </c>
      <c r="AK74" t="s">
        <v>258</v>
      </c>
      <c r="AM74">
        <v>302.11799999999999</v>
      </c>
      <c r="AO74" t="s">
        <v>258</v>
      </c>
      <c r="AQ74">
        <v>300.65600000000001</v>
      </c>
      <c r="AS74" t="s">
        <v>258</v>
      </c>
      <c r="AU74">
        <v>296.37099999999998</v>
      </c>
      <c r="AW74" t="s">
        <v>258</v>
      </c>
      <c r="AY74">
        <v>291.298</v>
      </c>
      <c r="BA74" t="s">
        <v>257</v>
      </c>
      <c r="BC74">
        <v>63.164999999999999</v>
      </c>
      <c r="BE74" t="s">
        <v>257</v>
      </c>
      <c r="BG74">
        <v>56.572000000000003</v>
      </c>
      <c r="BI74" t="s">
        <v>257</v>
      </c>
      <c r="BK74">
        <v>63.982999999999997</v>
      </c>
      <c r="BM74" t="s">
        <v>257</v>
      </c>
      <c r="BO74">
        <v>64.6554</v>
      </c>
    </row>
    <row r="75" spans="2:67" x14ac:dyDescent="0.25">
      <c r="B75" t="s">
        <v>156</v>
      </c>
      <c r="C75">
        <v>307.25900000000001</v>
      </c>
      <c r="D75" t="str">
        <f t="shared" si="2"/>
        <v>loansF=307.259;</v>
      </c>
      <c r="F75" t="s">
        <v>157</v>
      </c>
      <c r="G75">
        <v>25.095300000000002</v>
      </c>
      <c r="I75" t="s">
        <v>259</v>
      </c>
      <c r="K75">
        <v>245.41900000000001</v>
      </c>
      <c r="M75" t="s">
        <v>259</v>
      </c>
      <c r="O75">
        <v>196.435</v>
      </c>
      <c r="Q75" t="s">
        <v>259</v>
      </c>
      <c r="S75">
        <v>200.34899999999999</v>
      </c>
      <c r="U75" t="s">
        <v>259</v>
      </c>
      <c r="W75">
        <v>222.58600000000001</v>
      </c>
      <c r="Y75" t="s">
        <v>259</v>
      </c>
      <c r="AA75">
        <v>222.61799999999999</v>
      </c>
      <c r="AC75" t="s">
        <v>259</v>
      </c>
      <c r="AE75">
        <v>222.61099999999999</v>
      </c>
      <c r="AG75" t="s">
        <v>259</v>
      </c>
      <c r="AI75">
        <v>222.60300000000001</v>
      </c>
      <c r="AK75" t="s">
        <v>259</v>
      </c>
      <c r="AM75">
        <v>222.60300000000001</v>
      </c>
      <c r="AO75" t="s">
        <v>259</v>
      </c>
      <c r="AQ75">
        <v>221.55099999999999</v>
      </c>
      <c r="AS75" t="s">
        <v>259</v>
      </c>
      <c r="AU75">
        <v>218.56800000000001</v>
      </c>
      <c r="AW75" t="s">
        <v>259</v>
      </c>
      <c r="AY75">
        <v>213.441</v>
      </c>
      <c r="BA75" t="s">
        <v>258</v>
      </c>
      <c r="BC75">
        <v>304.16500000000002</v>
      </c>
      <c r="BE75" t="s">
        <v>258</v>
      </c>
      <c r="BG75">
        <v>303.55399999999997</v>
      </c>
      <c r="BI75" t="s">
        <v>258</v>
      </c>
      <c r="BK75">
        <v>305.85300000000001</v>
      </c>
      <c r="BM75" t="s">
        <v>258</v>
      </c>
      <c r="BO75">
        <v>307.25900000000001</v>
      </c>
    </row>
    <row r="76" spans="2:67" x14ac:dyDescent="0.25">
      <c r="B76" t="s">
        <v>157</v>
      </c>
      <c r="C76">
        <v>221.56100000000001</v>
      </c>
      <c r="D76" t="str">
        <f t="shared" si="2"/>
        <v>output=221.561;</v>
      </c>
      <c r="F76" t="s">
        <v>158</v>
      </c>
      <c r="G76">
        <v>13.05</v>
      </c>
      <c r="I76" t="s">
        <v>260</v>
      </c>
      <c r="K76">
        <v>216.226</v>
      </c>
      <c r="M76" t="s">
        <v>260</v>
      </c>
      <c r="O76">
        <v>157.24299999999999</v>
      </c>
      <c r="Q76" t="s">
        <v>260</v>
      </c>
      <c r="S76">
        <v>160.33799999999999</v>
      </c>
      <c r="U76" t="s">
        <v>260</v>
      </c>
      <c r="W76">
        <v>182.57499999999999</v>
      </c>
      <c r="Y76" t="s">
        <v>260</v>
      </c>
      <c r="AA76">
        <v>182.708</v>
      </c>
      <c r="AC76" t="s">
        <v>260</v>
      </c>
      <c r="AE76">
        <v>182.696</v>
      </c>
      <c r="AG76" t="s">
        <v>260</v>
      </c>
      <c r="AI76">
        <v>182.684</v>
      </c>
      <c r="AK76" t="s">
        <v>260</v>
      </c>
      <c r="AM76">
        <v>182.684</v>
      </c>
      <c r="AO76" t="s">
        <v>260</v>
      </c>
      <c r="AQ76">
        <v>181.77</v>
      </c>
      <c r="AS76" t="s">
        <v>260</v>
      </c>
      <c r="AU76">
        <v>179.24100000000001</v>
      </c>
      <c r="AW76" t="s">
        <v>260</v>
      </c>
      <c r="AY76">
        <v>173.565</v>
      </c>
      <c r="BA76" t="s">
        <v>259</v>
      </c>
      <c r="BC76">
        <v>219.96</v>
      </c>
      <c r="BE76" t="s">
        <v>259</v>
      </c>
      <c r="BG76">
        <v>219.23500000000001</v>
      </c>
      <c r="BI76" t="s">
        <v>259</v>
      </c>
      <c r="BK76">
        <v>220.84</v>
      </c>
      <c r="BM76" t="s">
        <v>259</v>
      </c>
      <c r="BO76">
        <v>221.56100000000001</v>
      </c>
    </row>
    <row r="77" spans="2:67" x14ac:dyDescent="0.25">
      <c r="B77" t="s">
        <v>158</v>
      </c>
      <c r="C77">
        <v>177.73099999999999</v>
      </c>
      <c r="D77" t="str">
        <f t="shared" si="2"/>
        <v>consumption=177.731;</v>
      </c>
      <c r="F77" t="s">
        <v>159</v>
      </c>
      <c r="G77">
        <v>-192.51599999999999</v>
      </c>
      <c r="I77" t="s">
        <v>261</v>
      </c>
      <c r="K77">
        <v>108.053</v>
      </c>
      <c r="M77" t="s">
        <v>261</v>
      </c>
      <c r="O77">
        <v>83.807100000000005</v>
      </c>
      <c r="Q77" t="s">
        <v>261</v>
      </c>
      <c r="S77">
        <v>89.407799999999995</v>
      </c>
      <c r="U77" t="s">
        <v>261</v>
      </c>
      <c r="W77">
        <v>111.64400000000001</v>
      </c>
      <c r="Y77" t="s">
        <v>261</v>
      </c>
      <c r="AA77">
        <v>111.47199999999999</v>
      </c>
      <c r="AC77" t="s">
        <v>261</v>
      </c>
      <c r="AE77">
        <v>111.474</v>
      </c>
      <c r="AG77" t="s">
        <v>261</v>
      </c>
      <c r="AI77">
        <v>111.476</v>
      </c>
      <c r="AK77" t="s">
        <v>261</v>
      </c>
      <c r="AM77">
        <v>111.476</v>
      </c>
      <c r="AO77" t="s">
        <v>261</v>
      </c>
      <c r="AQ77">
        <v>110.139</v>
      </c>
      <c r="AS77" t="s">
        <v>261</v>
      </c>
      <c r="AU77">
        <v>106.224</v>
      </c>
      <c r="AW77" t="s">
        <v>261</v>
      </c>
      <c r="AY77">
        <v>102.226</v>
      </c>
      <c r="BA77" t="s">
        <v>260</v>
      </c>
      <c r="BC77">
        <v>176.92099999999999</v>
      </c>
      <c r="BE77" t="s">
        <v>260</v>
      </c>
      <c r="BG77">
        <v>176.03200000000001</v>
      </c>
      <c r="BI77" t="s">
        <v>260</v>
      </c>
      <c r="BK77">
        <v>177.375</v>
      </c>
      <c r="BM77" t="s">
        <v>260</v>
      </c>
      <c r="BO77">
        <v>177.73099999999999</v>
      </c>
    </row>
    <row r="78" spans="2:67" x14ac:dyDescent="0.25">
      <c r="B78" t="s">
        <v>159</v>
      </c>
      <c r="C78">
        <v>117.96</v>
      </c>
      <c r="D78" t="str">
        <f t="shared" si="2"/>
        <v>investment=117.96;</v>
      </c>
      <c r="F78" t="s">
        <v>160</v>
      </c>
      <c r="G78">
        <v>104.25700000000001</v>
      </c>
      <c r="I78" t="s">
        <v>262</v>
      </c>
      <c r="K78">
        <v>373.42899999999997</v>
      </c>
      <c r="M78" t="s">
        <v>262</v>
      </c>
      <c r="O78">
        <v>286.745</v>
      </c>
      <c r="Q78" t="s">
        <v>262</v>
      </c>
      <c r="S78">
        <v>297.60599999999999</v>
      </c>
      <c r="U78" t="s">
        <v>262</v>
      </c>
      <c r="W78">
        <v>319.84199999999998</v>
      </c>
      <c r="Y78" t="s">
        <v>262</v>
      </c>
      <c r="AA78">
        <v>307.39800000000002</v>
      </c>
      <c r="AC78" t="s">
        <v>262</v>
      </c>
      <c r="AE78">
        <v>306.29399999999998</v>
      </c>
      <c r="AG78" t="s">
        <v>262</v>
      </c>
      <c r="AI78">
        <v>305.17899999999997</v>
      </c>
      <c r="AK78" t="s">
        <v>262</v>
      </c>
      <c r="AM78">
        <v>305.17899999999997</v>
      </c>
      <c r="AO78" t="s">
        <v>262</v>
      </c>
      <c r="AQ78">
        <v>299.47800000000001</v>
      </c>
      <c r="AS78" t="s">
        <v>262</v>
      </c>
      <c r="AU78">
        <v>293.29199999999997</v>
      </c>
      <c r="AW78" t="s">
        <v>262</v>
      </c>
      <c r="AY78">
        <v>285.12599999999998</v>
      </c>
      <c r="BA78" t="s">
        <v>261</v>
      </c>
      <c r="BC78">
        <v>114.90600000000001</v>
      </c>
      <c r="BE78" t="s">
        <v>261</v>
      </c>
      <c r="BG78">
        <v>114.482</v>
      </c>
      <c r="BI78" t="s">
        <v>261</v>
      </c>
      <c r="BK78">
        <v>116.572</v>
      </c>
      <c r="BM78" t="s">
        <v>261</v>
      </c>
      <c r="BO78">
        <v>117.96</v>
      </c>
    </row>
    <row r="79" spans="2:67" x14ac:dyDescent="0.25">
      <c r="B79" t="s">
        <v>160</v>
      </c>
      <c r="C79">
        <v>297.95100000000002</v>
      </c>
      <c r="D79" t="str">
        <f t="shared" si="2"/>
        <v>deposits=297.951;</v>
      </c>
      <c r="F79" t="s">
        <v>161</v>
      </c>
      <c r="G79">
        <v>2.2930700000000002</v>
      </c>
      <c r="I79" t="s">
        <v>263</v>
      </c>
      <c r="K79">
        <v>2.2930700000000002</v>
      </c>
      <c r="M79" t="s">
        <v>263</v>
      </c>
      <c r="O79">
        <v>2.2930700000000002</v>
      </c>
      <c r="Q79" t="s">
        <v>263</v>
      </c>
      <c r="S79">
        <v>1.4855</v>
      </c>
      <c r="U79" t="s">
        <v>263</v>
      </c>
      <c r="W79">
        <v>1.4855</v>
      </c>
      <c r="Y79" t="s">
        <v>263</v>
      </c>
      <c r="AA79">
        <v>1.4855</v>
      </c>
      <c r="AC79" t="s">
        <v>263</v>
      </c>
      <c r="AE79">
        <v>1.4855</v>
      </c>
      <c r="AG79" t="s">
        <v>263</v>
      </c>
      <c r="AI79">
        <v>1.4855</v>
      </c>
      <c r="AK79" t="s">
        <v>263</v>
      </c>
      <c r="AM79">
        <v>1.4855</v>
      </c>
      <c r="AO79" t="s">
        <v>263</v>
      </c>
      <c r="AQ79">
        <v>1.4855</v>
      </c>
      <c r="AS79" t="s">
        <v>263</v>
      </c>
      <c r="AU79">
        <v>1.4855</v>
      </c>
      <c r="AW79" t="s">
        <v>263</v>
      </c>
      <c r="AY79">
        <v>1.4855</v>
      </c>
      <c r="BA79" t="s">
        <v>262</v>
      </c>
      <c r="BC79">
        <v>296.77199999999999</v>
      </c>
      <c r="BE79" t="s">
        <v>262</v>
      </c>
      <c r="BG79">
        <v>295.64800000000002</v>
      </c>
      <c r="BI79" t="s">
        <v>262</v>
      </c>
      <c r="BK79">
        <v>298.589</v>
      </c>
      <c r="BM79" t="s">
        <v>262</v>
      </c>
      <c r="BO79">
        <v>297.95100000000002</v>
      </c>
    </row>
    <row r="80" spans="2:67" x14ac:dyDescent="0.25">
      <c r="B80" t="s">
        <v>161</v>
      </c>
      <c r="C80">
        <v>1.4855</v>
      </c>
      <c r="D80" t="str">
        <f t="shared" si="2"/>
        <v>interestDep=1.4855;</v>
      </c>
      <c r="I80" t="s">
        <v>264</v>
      </c>
      <c r="K80">
        <v>142.065</v>
      </c>
      <c r="M80" t="s">
        <v>264</v>
      </c>
      <c r="O80">
        <v>55.381999999999998</v>
      </c>
      <c r="Q80" t="s">
        <v>264</v>
      </c>
      <c r="S80">
        <v>66.242500000000007</v>
      </c>
      <c r="U80" t="s">
        <v>264</v>
      </c>
      <c r="W80">
        <v>88.478899999999996</v>
      </c>
      <c r="Y80" t="s">
        <v>264</v>
      </c>
      <c r="AA80">
        <v>76.034099999999995</v>
      </c>
      <c r="AC80" t="s">
        <v>264</v>
      </c>
      <c r="AE80">
        <v>86.572000000000003</v>
      </c>
      <c r="AG80" t="s">
        <v>264</v>
      </c>
      <c r="AI80">
        <v>96.104900000000001</v>
      </c>
      <c r="AK80" t="s">
        <v>264</v>
      </c>
      <c r="AM80">
        <v>96.104900000000001</v>
      </c>
      <c r="AO80" t="s">
        <v>264</v>
      </c>
      <c r="AQ80">
        <v>117.949</v>
      </c>
      <c r="AS80" t="s">
        <v>264</v>
      </c>
      <c r="AU80">
        <v>111.76300000000001</v>
      </c>
      <c r="AW80" t="s">
        <v>264</v>
      </c>
      <c r="AY80">
        <v>105.09099999999999</v>
      </c>
      <c r="BA80" t="s">
        <v>263</v>
      </c>
      <c r="BC80">
        <v>1.4855</v>
      </c>
      <c r="BE80" t="s">
        <v>263</v>
      </c>
      <c r="BG80">
        <v>1.4856100000000001</v>
      </c>
      <c r="BI80" t="s">
        <v>263</v>
      </c>
      <c r="BK80">
        <v>1.4855</v>
      </c>
      <c r="BM80" t="s">
        <v>263</v>
      </c>
      <c r="BO80">
        <v>1.4855</v>
      </c>
    </row>
    <row r="81" spans="2:67" x14ac:dyDescent="0.25">
      <c r="B81" t="s">
        <v>162</v>
      </c>
      <c r="C81">
        <v>134.245</v>
      </c>
      <c r="D81" t="str">
        <f t="shared" si="2"/>
        <v>bankcapital=134.245;</v>
      </c>
      <c r="BA81" t="s">
        <v>264</v>
      </c>
      <c r="BC81">
        <v>121.575</v>
      </c>
      <c r="BE81" t="s">
        <v>264</v>
      </c>
      <c r="BG81">
        <v>120.68</v>
      </c>
      <c r="BI81" t="s">
        <v>264</v>
      </c>
      <c r="BK81">
        <v>122.029</v>
      </c>
      <c r="BM81" t="s">
        <v>264</v>
      </c>
      <c r="BO81">
        <v>134.245</v>
      </c>
    </row>
    <row r="93" spans="2:67" x14ac:dyDescent="0.25">
      <c r="G93" s="15"/>
    </row>
    <row r="94" spans="2:67" x14ac:dyDescent="0.25">
      <c r="G94" s="15"/>
    </row>
    <row r="95" spans="2:67" x14ac:dyDescent="0.25">
      <c r="G95" s="15"/>
    </row>
    <row r="103" spans="47:47" x14ac:dyDescent="0.25">
      <c r="AU103">
        <f>LN(0.16)</f>
        <v>-1.8325814637483102</v>
      </c>
    </row>
  </sheetData>
  <pageMargins left="0.7" right="0.7" top="0.75" bottom="0.75" header="0.3" footer="0.3"/>
  <pageSetup paperSize="9" orientation="portrait" r:id="rId1"/>
  <headerFooter>
    <oddHeader>&amp;R&amp;"Times New Roman"&amp;12&amp;K000000BNR - Uz intern&amp;1#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initial</vt:lpstr>
      <vt:lpstr>alpha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 Aliman</dc:creator>
  <cp:lastModifiedBy>Mihai Aliman</cp:lastModifiedBy>
  <dcterms:created xsi:type="dcterms:W3CDTF">2022-05-29T12:09:14Z</dcterms:created>
  <dcterms:modified xsi:type="dcterms:W3CDTF">2023-04-25T09:23:09Z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1afb927-1963-43d7-9438-a57409110b91_Enabled">
    <vt:lpwstr>True</vt:lpwstr>
  </property>
  <property fmtid="{D5CDD505-2E9C-101B-9397-08002B2CF9AE}" pid="3" name="MSIP_Label_31afb927-1963-43d7-9438-a57409110b91_SiteId">
    <vt:lpwstr>c4f8f904-47e9-4e03-8a3a-90619d4a24a0</vt:lpwstr>
  </property>
  <property fmtid="{D5CDD505-2E9C-101B-9397-08002B2CF9AE}" pid="4" name="MSIP_Label_31afb927-1963-43d7-9438-a57409110b91_Owner">
    <vt:lpwstr>Mihai.Aliman@bnr.ro</vt:lpwstr>
  </property>
  <property fmtid="{D5CDD505-2E9C-101B-9397-08002B2CF9AE}" pid="5" name="MSIP_Label_31afb927-1963-43d7-9438-a57409110b91_SetDate">
    <vt:lpwstr>2023-04-19T12:46:10.3255220Z</vt:lpwstr>
  </property>
  <property fmtid="{D5CDD505-2E9C-101B-9397-08002B2CF9AE}" pid="6" name="MSIP_Label_31afb927-1963-43d7-9438-a57409110b91_Name">
    <vt:lpwstr>BNR - Uz Intern</vt:lpwstr>
  </property>
  <property fmtid="{D5CDD505-2E9C-101B-9397-08002B2CF9AE}" pid="7" name="MSIP_Label_31afb927-1963-43d7-9438-a57409110b91_Application">
    <vt:lpwstr>Microsoft Azure Information Protection</vt:lpwstr>
  </property>
  <property fmtid="{D5CDD505-2E9C-101B-9397-08002B2CF9AE}" pid="8" name="MSIP_Label_31afb927-1963-43d7-9438-a57409110b91_ActionId">
    <vt:lpwstr>e8371dac-e97d-4c58-83b8-47a4946bd2bf</vt:lpwstr>
  </property>
  <property fmtid="{D5CDD505-2E9C-101B-9397-08002B2CF9AE}" pid="9" name="MSIP_Label_31afb927-1963-43d7-9438-a57409110b91_Extended_MSFT_Method">
    <vt:lpwstr>Automatic</vt:lpwstr>
  </property>
  <property fmtid="{D5CDD505-2E9C-101B-9397-08002B2CF9AE}" pid="10" name="Sensitivity">
    <vt:lpwstr>BNR - Uz Intern</vt:lpwstr>
  </property>
</Properties>
</file>