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hirbendre/Documents/Gazelle/Gazelle_2025/Ghana_Project/QA1_&amp;_3/Code/RothC_Implementation_Axam/"/>
    </mc:Choice>
  </mc:AlternateContent>
  <xr:revisionPtr revIDLastSave="0" documentId="13_ncr:1_{936BB8BC-7567-284C-9E81-856ECBAC2BE7}" xr6:coauthVersionLast="47" xr6:coauthVersionMax="47" xr10:uidLastSave="{00000000-0000-0000-0000-000000000000}"/>
  <bookViews>
    <workbookView xWindow="0" yWindow="720" windowWidth="29400" windowHeight="18400" xr2:uid="{AA4B684E-F9E2-7F41-996C-BD2AB92E0EF7}"/>
  </bookViews>
  <sheets>
    <sheet name="Net ERs" sheetId="1" r:id="rId1"/>
    <sheet name="Baseline Model Error" sheetId="2" r:id="rId2"/>
    <sheet name="Project Model Error" sheetId="3" r:id="rId3"/>
    <sheet name="Sampling &amp; Combined Erro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1" l="1"/>
  <c r="G7" i="1" l="1"/>
  <c r="T10" i="1"/>
  <c r="T12" i="1"/>
  <c r="T13" i="1"/>
  <c r="T14" i="1"/>
  <c r="O8" i="1"/>
  <c r="T8" i="1" s="1"/>
  <c r="O9" i="1"/>
  <c r="T9" i="1" s="1"/>
  <c r="O10" i="1"/>
  <c r="O11" i="1"/>
  <c r="T11" i="1" s="1"/>
  <c r="O12" i="1"/>
  <c r="O13" i="1"/>
  <c r="O14" i="1"/>
  <c r="O15" i="1"/>
  <c r="T15" i="1" s="1"/>
  <c r="O16" i="1"/>
  <c r="T16" i="1" s="1"/>
  <c r="O17" i="1"/>
  <c r="T17" i="1" s="1"/>
  <c r="O18" i="1"/>
  <c r="T18" i="1" s="1"/>
  <c r="O7" i="1"/>
  <c r="T7" i="1" s="1"/>
  <c r="E13" i="4"/>
  <c r="E14" i="4" s="1"/>
  <c r="B89" i="3" a="1"/>
  <c r="B89" i="3" s="1"/>
  <c r="E12" i="4"/>
  <c r="F7" i="1"/>
  <c r="B2" i="1"/>
  <c r="B4" i="4"/>
  <c r="B5" i="4"/>
  <c r="B6" i="4"/>
  <c r="B7" i="4"/>
  <c r="H7" i="4" s="1"/>
  <c r="B8" i="4"/>
  <c r="H8" i="4" s="1"/>
  <c r="B3" i="4"/>
  <c r="H3" i="4"/>
  <c r="G3" i="4"/>
  <c r="D18" i="1"/>
  <c r="D7" i="1"/>
  <c r="D8" i="1"/>
  <c r="D9" i="1"/>
  <c r="D10" i="1"/>
  <c r="D11" i="1"/>
  <c r="D12" i="1"/>
  <c r="D13" i="1"/>
  <c r="F13" i="1" s="1"/>
  <c r="D14" i="1"/>
  <c r="F14" i="1" s="1"/>
  <c r="D15" i="1"/>
  <c r="D16" i="1"/>
  <c r="F16" i="1" s="1"/>
  <c r="D17" i="1"/>
  <c r="F17" i="1" s="1"/>
  <c r="D6" i="1"/>
  <c r="A65" i="3"/>
  <c r="H4" i="4"/>
  <c r="H5" i="4"/>
  <c r="H6" i="4"/>
  <c r="G4" i="4"/>
  <c r="G5" i="4"/>
  <c r="G6" i="4"/>
  <c r="G7" i="4"/>
  <c r="G8" i="4"/>
  <c r="C9" i="4"/>
  <c r="B9" i="4"/>
  <c r="AK4" i="3"/>
  <c r="AJ4" i="3"/>
  <c r="AJ5" i="3"/>
  <c r="AK5" i="3" s="1"/>
  <c r="AM4" i="3"/>
  <c r="A59" i="2"/>
  <c r="F8" i="1"/>
  <c r="F9" i="1"/>
  <c r="F10" i="1"/>
  <c r="F11" i="1"/>
  <c r="F12" i="1"/>
  <c r="F15" i="1"/>
  <c r="F18" i="1"/>
  <c r="A42" i="3" a="1"/>
  <c r="A42" i="3" s="1"/>
  <c r="F37" i="3"/>
  <c r="E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AB19" i="3"/>
  <c r="X19" i="3"/>
  <c r="W19" i="3"/>
  <c r="T19" i="3"/>
  <c r="AG19" i="3" s="1"/>
  <c r="AH19" i="3" s="1"/>
  <c r="P19" i="3"/>
  <c r="AJ19" i="3" s="1"/>
  <c r="O19" i="3"/>
  <c r="AB18" i="3"/>
  <c r="T18" i="3"/>
  <c r="O18" i="3"/>
  <c r="P18" i="3" s="1"/>
  <c r="T17" i="3"/>
  <c r="AG17" i="3" s="1"/>
  <c r="AH17" i="3" s="1"/>
  <c r="P17" i="3"/>
  <c r="AJ17" i="3" s="1"/>
  <c r="S16" i="3"/>
  <c r="T16" i="3" s="1"/>
  <c r="O16" i="3"/>
  <c r="P16" i="3" s="1"/>
  <c r="AJ16" i="3" s="1"/>
  <c r="T15" i="3"/>
  <c r="R15" i="3"/>
  <c r="O15" i="3"/>
  <c r="P15" i="3" s="1"/>
  <c r="AJ15" i="3" s="1"/>
  <c r="AJ14" i="3"/>
  <c r="AK14" i="3" s="1"/>
  <c r="T14" i="3"/>
  <c r="AG14" i="3" s="1"/>
  <c r="AH14" i="3" s="1"/>
  <c r="P14" i="3"/>
  <c r="T13" i="3"/>
  <c r="AG13" i="3" s="1"/>
  <c r="AH13" i="3" s="1"/>
  <c r="P13" i="3"/>
  <c r="AJ13" i="3" s="1"/>
  <c r="AL12" i="3"/>
  <c r="AJ12" i="3"/>
  <c r="AK12" i="3" s="1"/>
  <c r="AG12" i="3"/>
  <c r="AH12" i="3" s="1"/>
  <c r="T11" i="3"/>
  <c r="AG11" i="3" s="1"/>
  <c r="AH11" i="3" s="1"/>
  <c r="P11" i="3"/>
  <c r="AJ11" i="3" s="1"/>
  <c r="S10" i="3"/>
  <c r="T10" i="3" s="1"/>
  <c r="O10" i="3"/>
  <c r="P10" i="3" s="1"/>
  <c r="AJ10" i="3" s="1"/>
  <c r="AK9" i="3"/>
  <c r="AJ9" i="3"/>
  <c r="T9" i="3"/>
  <c r="AG9" i="3" s="1"/>
  <c r="AH9" i="3" s="1"/>
  <c r="P9" i="3"/>
  <c r="S8" i="3"/>
  <c r="T8" i="3" s="1"/>
  <c r="O8" i="3"/>
  <c r="P8" i="3" s="1"/>
  <c r="AJ8" i="3" s="1"/>
  <c r="AL7" i="3"/>
  <c r="AK7" i="3"/>
  <c r="AJ7" i="3"/>
  <c r="AG7" i="3"/>
  <c r="AH7" i="3" s="1"/>
  <c r="S6" i="3"/>
  <c r="T6" i="3" s="1"/>
  <c r="O6" i="3"/>
  <c r="P6" i="3" s="1"/>
  <c r="AJ6" i="3" s="1"/>
  <c r="T5" i="3"/>
  <c r="AG5" i="3" s="1"/>
  <c r="AH5" i="3" s="1"/>
  <c r="P5" i="3"/>
  <c r="T4" i="3"/>
  <c r="AG4" i="3" s="1"/>
  <c r="AH4" i="3" s="1"/>
  <c r="P4" i="3"/>
  <c r="E31" i="2"/>
  <c r="F31" i="2" s="1"/>
  <c r="F30" i="2"/>
  <c r="E30" i="2"/>
  <c r="E29" i="2"/>
  <c r="F29" i="2" s="1"/>
  <c r="E28" i="2"/>
  <c r="F28" i="2" s="1"/>
  <c r="E27" i="2"/>
  <c r="F27" i="2" s="1"/>
  <c r="F26" i="2"/>
  <c r="E26" i="2"/>
  <c r="E25" i="2"/>
  <c r="F25" i="2" s="1"/>
  <c r="E24" i="2"/>
  <c r="F24" i="2" s="1"/>
  <c r="E23" i="2"/>
  <c r="F23" i="2" s="1"/>
  <c r="F22" i="2"/>
  <c r="E22" i="2"/>
  <c r="E21" i="2"/>
  <c r="F21" i="2" s="1"/>
  <c r="S16" i="2"/>
  <c r="T16" i="2" s="1"/>
  <c r="O16" i="2"/>
  <c r="P16" i="2" s="1"/>
  <c r="AJ16" i="2" s="1"/>
  <c r="AK16" i="2" s="1"/>
  <c r="T15" i="2"/>
  <c r="AG15" i="2" s="1"/>
  <c r="AH15" i="2" s="1"/>
  <c r="P15" i="2"/>
  <c r="AJ15" i="2" s="1"/>
  <c r="AJ14" i="2"/>
  <c r="T14" i="2"/>
  <c r="AG14" i="2" s="1"/>
  <c r="AH14" i="2" s="1"/>
  <c r="P14" i="2"/>
  <c r="AJ13" i="2"/>
  <c r="AG13" i="2"/>
  <c r="AH13" i="2" s="1"/>
  <c r="T13" i="2"/>
  <c r="P13" i="2"/>
  <c r="AJ12" i="2"/>
  <c r="AK12" i="2" s="1"/>
  <c r="AH12" i="2"/>
  <c r="AG12" i="2"/>
  <c r="T12" i="2"/>
  <c r="P12" i="2"/>
  <c r="AJ11" i="2"/>
  <c r="AH11" i="2"/>
  <c r="AG11" i="2"/>
  <c r="S10" i="2"/>
  <c r="T10" i="2" s="1"/>
  <c r="O10" i="2"/>
  <c r="P10" i="2" s="1"/>
  <c r="AJ10" i="2" s="1"/>
  <c r="T9" i="2"/>
  <c r="AG9" i="2" s="1"/>
  <c r="AH9" i="2" s="1"/>
  <c r="P9" i="2"/>
  <c r="AJ9" i="2" s="1"/>
  <c r="AK9" i="2" s="1"/>
  <c r="S8" i="2"/>
  <c r="T8" i="2" s="1"/>
  <c r="AG8" i="2" s="1"/>
  <c r="AH8" i="2" s="1"/>
  <c r="P8" i="2"/>
  <c r="AJ8" i="2" s="1"/>
  <c r="O8" i="2"/>
  <c r="AJ7" i="2"/>
  <c r="AG7" i="2"/>
  <c r="AH7" i="2" s="1"/>
  <c r="T7" i="2"/>
  <c r="P7" i="2"/>
  <c r="AJ6" i="2"/>
  <c r="AK6" i="2" s="1"/>
  <c r="AH6" i="2"/>
  <c r="AG6" i="2"/>
  <c r="T6" i="2"/>
  <c r="P6" i="2"/>
  <c r="AJ5" i="2"/>
  <c r="T5" i="2"/>
  <c r="AG5" i="2" s="1"/>
  <c r="AH5" i="2" s="1"/>
  <c r="P5" i="2"/>
  <c r="AK4" i="2"/>
  <c r="S4" i="2"/>
  <c r="T4" i="2" s="1"/>
  <c r="AG4" i="2" s="1"/>
  <c r="AH4" i="2" s="1"/>
  <c r="O4" i="2"/>
  <c r="P4" i="2" s="1"/>
  <c r="AJ4" i="2" s="1"/>
  <c r="G8" i="1" l="1"/>
  <c r="H9" i="4"/>
  <c r="G12" i="1"/>
  <c r="G11" i="1"/>
  <c r="G10" i="1"/>
  <c r="G16" i="1"/>
  <c r="G17" i="1"/>
  <c r="G15" i="1"/>
  <c r="G14" i="1"/>
  <c r="G9" i="1"/>
  <c r="G13" i="1"/>
  <c r="G18" i="1"/>
  <c r="AL4" i="3"/>
  <c r="AG6" i="3"/>
  <c r="AH6" i="3" s="1"/>
  <c r="AL9" i="3"/>
  <c r="AM9" i="3"/>
  <c r="AK19" i="3"/>
  <c r="AM19" i="3" s="1"/>
  <c r="AL19" i="3"/>
  <c r="AK10" i="3"/>
  <c r="AG10" i="3"/>
  <c r="AH10" i="3" s="1"/>
  <c r="AL17" i="3"/>
  <c r="AK17" i="3"/>
  <c r="AK15" i="3"/>
  <c r="AK16" i="3"/>
  <c r="AL16" i="3"/>
  <c r="AG16" i="3"/>
  <c r="AH16" i="3" s="1"/>
  <c r="AL5" i="3"/>
  <c r="AL8" i="3"/>
  <c r="AK8" i="3"/>
  <c r="AL11" i="3"/>
  <c r="AK11" i="3"/>
  <c r="AK6" i="3"/>
  <c r="AL6" i="3"/>
  <c r="AM12" i="3"/>
  <c r="AG15" i="3"/>
  <c r="AH15" i="3" s="1"/>
  <c r="AL13" i="3"/>
  <c r="AK13" i="3"/>
  <c r="AG8" i="3"/>
  <c r="AH8" i="3" s="1"/>
  <c r="AM14" i="3"/>
  <c r="AG18" i="3"/>
  <c r="AH18" i="3" s="1"/>
  <c r="AJ18" i="3"/>
  <c r="AL14" i="3"/>
  <c r="AM7" i="3"/>
  <c r="AM4" i="2"/>
  <c r="A36" i="2" a="1"/>
  <c r="A36" i="2" s="1"/>
  <c r="AM6" i="2"/>
  <c r="AM9" i="2"/>
  <c r="AL11" i="2"/>
  <c r="AK11" i="2"/>
  <c r="AL13" i="2"/>
  <c r="AK10" i="2"/>
  <c r="AL10" i="2"/>
  <c r="AL14" i="2"/>
  <c r="AG16" i="2"/>
  <c r="AH16" i="2" s="1"/>
  <c r="AM16" i="2" s="1"/>
  <c r="AL5" i="2"/>
  <c r="AK5" i="2"/>
  <c r="AL9" i="2"/>
  <c r="AL7" i="2"/>
  <c r="AG10" i="2"/>
  <c r="AH10" i="2" s="1"/>
  <c r="AL4" i="2"/>
  <c r="AK8" i="2"/>
  <c r="AL8" i="2"/>
  <c r="AM12" i="2"/>
  <c r="AL15" i="2"/>
  <c r="AK15" i="2"/>
  <c r="AL6" i="2"/>
  <c r="AK7" i="2"/>
  <c r="AL12" i="2"/>
  <c r="AK13" i="2"/>
  <c r="AK14" i="2"/>
  <c r="B49" i="3" l="1"/>
  <c r="C49" i="3" s="1"/>
  <c r="AM6" i="3"/>
  <c r="AM8" i="3"/>
  <c r="AM13" i="3"/>
  <c r="AM11" i="3"/>
  <c r="AL10" i="3"/>
  <c r="AL18" i="3"/>
  <c r="AK18" i="3"/>
  <c r="AM10" i="3"/>
  <c r="AM16" i="3"/>
  <c r="AM15" i="3"/>
  <c r="B56" i="3"/>
  <c r="C56" i="3" s="1"/>
  <c r="B54" i="3"/>
  <c r="C54" i="3" s="1"/>
  <c r="AM5" i="3"/>
  <c r="AL15" i="3"/>
  <c r="B51" i="3"/>
  <c r="C51" i="3" s="1"/>
  <c r="AM17" i="3"/>
  <c r="B52" i="2"/>
  <c r="C52" i="2" s="1"/>
  <c r="AM14" i="2"/>
  <c r="AM5" i="2"/>
  <c r="AM11" i="2"/>
  <c r="AM7" i="2"/>
  <c r="B42" i="2"/>
  <c r="AM8" i="2"/>
  <c r="B46" i="2"/>
  <c r="C46" i="2" s="1"/>
  <c r="AN12" i="2"/>
  <c r="B49" i="2"/>
  <c r="C49" i="2" s="1"/>
  <c r="AM10" i="2"/>
  <c r="AM13" i="2"/>
  <c r="AL16" i="2"/>
  <c r="AM15" i="2"/>
  <c r="B50" i="3" l="1"/>
  <c r="C50" i="3" s="1"/>
  <c r="B48" i="3"/>
  <c r="C48" i="3" s="1"/>
  <c r="B59" i="3"/>
  <c r="C59" i="3" s="1"/>
  <c r="AN15" i="3"/>
  <c r="B57" i="3"/>
  <c r="C57" i="3" s="1"/>
  <c r="B55" i="3"/>
  <c r="C55" i="3" s="1"/>
  <c r="B52" i="3"/>
  <c r="C52" i="3" s="1"/>
  <c r="B53" i="3"/>
  <c r="C53" i="3" s="1"/>
  <c r="AN11" i="3"/>
  <c r="B47" i="3"/>
  <c r="C47" i="3" s="1"/>
  <c r="B58" i="3"/>
  <c r="C58" i="3" s="1"/>
  <c r="AM18" i="3"/>
  <c r="AN10" i="3" s="1"/>
  <c r="B46" i="3"/>
  <c r="C46" i="3" s="1"/>
  <c r="B43" i="2"/>
  <c r="C43" i="2" s="1"/>
  <c r="AN5" i="2"/>
  <c r="AN13" i="2"/>
  <c r="B50" i="2"/>
  <c r="C50" i="2" s="1"/>
  <c r="AN8" i="2"/>
  <c r="B45" i="2"/>
  <c r="C45" i="2" s="1"/>
  <c r="AN11" i="2"/>
  <c r="B48" i="2"/>
  <c r="C48" i="2" s="1"/>
  <c r="B51" i="2"/>
  <c r="C51" i="2" s="1"/>
  <c r="AN14" i="2"/>
  <c r="C42" i="2"/>
  <c r="AN6" i="2"/>
  <c r="AN9" i="2"/>
  <c r="B47" i="2"/>
  <c r="C47" i="2" s="1"/>
  <c r="AN10" i="2"/>
  <c r="AN7" i="2"/>
  <c r="B44" i="2"/>
  <c r="C44" i="2" s="1"/>
  <c r="AN15" i="2"/>
  <c r="AN4" i="2"/>
  <c r="AN16" i="2"/>
  <c r="AN18" i="3" l="1"/>
  <c r="B60" i="3"/>
  <c r="C60" i="3" s="1"/>
  <c r="AN14" i="3"/>
  <c r="AN9" i="3"/>
  <c r="AN17" i="3"/>
  <c r="AN19" i="3"/>
  <c r="AN6" i="3"/>
  <c r="AN13" i="3"/>
  <c r="AN8" i="3"/>
  <c r="AN16" i="3"/>
  <c r="AN4" i="3"/>
  <c r="AN12" i="3"/>
  <c r="AN5" i="3"/>
  <c r="AN7" i="3"/>
  <c r="C74" i="2"/>
  <c r="C72" i="2"/>
  <c r="C70" i="2"/>
  <c r="C68" i="2"/>
  <c r="C66" i="2"/>
  <c r="C64" i="2"/>
  <c r="C62" i="2"/>
  <c r="B74" i="2"/>
  <c r="B72" i="2"/>
  <c r="B70" i="2"/>
  <c r="B68" i="2"/>
  <c r="B66" i="2"/>
  <c r="B64" i="2"/>
  <c r="B62" i="2"/>
  <c r="B73" i="2"/>
  <c r="B71" i="2"/>
  <c r="B69" i="2"/>
  <c r="B67" i="2"/>
  <c r="B65" i="2"/>
  <c r="B63" i="2"/>
  <c r="C73" i="2"/>
  <c r="C71" i="2"/>
  <c r="C69" i="2"/>
  <c r="C67" i="2"/>
  <c r="C65" i="2"/>
  <c r="C63" i="2"/>
  <c r="B80" i="2" a="1"/>
  <c r="B80" i="2" s="1"/>
  <c r="B53" i="2"/>
  <c r="C53" i="2" s="1"/>
  <c r="C82" i="3" l="1"/>
  <c r="C80" i="3"/>
  <c r="C78" i="3"/>
  <c r="C76" i="3"/>
  <c r="C74" i="3"/>
  <c r="C72" i="3"/>
  <c r="C70" i="3"/>
  <c r="B80" i="3"/>
  <c r="B78" i="3"/>
  <c r="B76" i="3"/>
  <c r="B74" i="3"/>
  <c r="B72" i="3"/>
  <c r="B70" i="3"/>
  <c r="B68" i="3"/>
  <c r="B71" i="3"/>
  <c r="C68" i="3"/>
  <c r="B82" i="3"/>
  <c r="B79" i="3"/>
  <c r="B81" i="3"/>
  <c r="B75" i="3"/>
  <c r="B73" i="3"/>
  <c r="B69" i="3"/>
  <c r="C81" i="3"/>
  <c r="C79" i="3"/>
  <c r="C77" i="3"/>
  <c r="C75" i="3"/>
  <c r="C73" i="3"/>
  <c r="C71" i="3"/>
  <c r="C69" i="3"/>
  <c r="B77" i="3"/>
  <c r="D71" i="2"/>
  <c r="E71" i="2"/>
  <c r="D74" i="2"/>
  <c r="E74" i="2"/>
  <c r="E73" i="2"/>
  <c r="D73" i="2"/>
  <c r="E65" i="2"/>
  <c r="D65" i="2"/>
  <c r="E68" i="2"/>
  <c r="D68" i="2"/>
  <c r="E64" i="2"/>
  <c r="D64" i="2"/>
  <c r="D63" i="2"/>
  <c r="E63" i="2"/>
  <c r="E67" i="2"/>
  <c r="D67" i="2"/>
  <c r="E70" i="2"/>
  <c r="D70" i="2"/>
  <c r="E62" i="2"/>
  <c r="D62" i="2"/>
  <c r="E66" i="2"/>
  <c r="D66" i="2"/>
  <c r="E69" i="2"/>
  <c r="D69" i="2"/>
  <c r="D72" i="2"/>
  <c r="E72" i="2"/>
  <c r="D71" i="3" l="1"/>
  <c r="E71" i="3"/>
  <c r="E68" i="3"/>
  <c r="D68" i="3"/>
  <c r="E70" i="3"/>
  <c r="D70" i="3"/>
  <c r="E81" i="3"/>
  <c r="D81" i="3"/>
  <c r="D74" i="3"/>
  <c r="E74" i="3"/>
  <c r="D69" i="3"/>
  <c r="E69" i="3"/>
  <c r="E79" i="3"/>
  <c r="D79" i="3"/>
  <c r="D76" i="3"/>
  <c r="E76" i="3"/>
  <c r="E80" i="3"/>
  <c r="D80" i="3"/>
  <c r="E77" i="3"/>
  <c r="D77" i="3"/>
  <c r="D73" i="3"/>
  <c r="E73" i="3"/>
  <c r="E75" i="3"/>
  <c r="D75" i="3"/>
  <c r="D72" i="3"/>
  <c r="E72" i="3"/>
  <c r="E82" i="3" a="1"/>
  <c r="E82" i="3" s="1"/>
  <c r="D82" i="3" a="1"/>
  <c r="D82" i="3" s="1"/>
  <c r="D78" i="3"/>
  <c r="E78" i="3"/>
  <c r="D76" i="2"/>
  <c r="D75" i="2"/>
  <c r="E76" i="2"/>
  <c r="E75" i="2"/>
  <c r="E84" i="3" l="1"/>
  <c r="E83" i="3"/>
  <c r="D84" i="3"/>
  <c r="D8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<sst xmlns="http://schemas.openxmlformats.org/spreadsheetml/2006/main" count="676" uniqueCount="252">
  <si>
    <t>Year</t>
  </si>
  <si>
    <t>SOC_t_C_ha</t>
  </si>
  <si>
    <t>Project</t>
  </si>
  <si>
    <t>Baseline</t>
  </si>
  <si>
    <t>Difference</t>
  </si>
  <si>
    <t>1 (initialization)</t>
  </si>
  <si>
    <t>Axam Project Area:</t>
  </si>
  <si>
    <t>This sheet contains the calculations associated with the RothC model validation for the baseline scenario, and the associated calculation of model prediction error for the baseline.</t>
  </si>
  <si>
    <t>Baseline Literature Data by Sample</t>
  </si>
  <si>
    <t>Calculations with RothC Baseline Model</t>
  </si>
  <si>
    <t>Full Citation</t>
  </si>
  <si>
    <t>Paper Name</t>
  </si>
  <si>
    <t>Sample ID</t>
  </si>
  <si>
    <t>Paper Type</t>
  </si>
  <si>
    <t>Location</t>
  </si>
  <si>
    <t>IPCC Climate Zone</t>
  </si>
  <si>
    <t>Latitude</t>
  </si>
  <si>
    <t>Longitude</t>
  </si>
  <si>
    <t>Practice Start Date</t>
  </si>
  <si>
    <t>Practice End Date</t>
  </si>
  <si>
    <t>Crop Functional Group (CFG)</t>
  </si>
  <si>
    <t>Duration of Practice (Years)</t>
  </si>
  <si>
    <t>Start Carbon (Original Unit)</t>
  </si>
  <si>
    <t>Start Carbon (Original Value)</t>
  </si>
  <si>
    <t xml:space="preserve">Start Carbon (SOC %) </t>
  </si>
  <si>
    <t>Start Carbon (tons/ha)</t>
  </si>
  <si>
    <t>End Carbon (Original Unit)</t>
  </si>
  <si>
    <t>End Carbon (Original Value)</t>
  </si>
  <si>
    <t xml:space="preserve">End Carbon (SOC %) </t>
  </si>
  <si>
    <t>End Carbon (tons/ha)</t>
  </si>
  <si>
    <t>Sample Depth (m)</t>
  </si>
  <si>
    <t>Measurement Technique</t>
  </si>
  <si>
    <t>Start Bulk Density (g/cm3)</t>
  </si>
  <si>
    <t>End Bulk Density (g/cm3)</t>
  </si>
  <si>
    <t>Bulk Density Source</t>
  </si>
  <si>
    <t>Soil Type</t>
  </si>
  <si>
    <t>USDA Soil Texture</t>
  </si>
  <si>
    <t>Clay Content (%)</t>
  </si>
  <si>
    <t>Clay Content Source</t>
  </si>
  <si>
    <t>Practice / Treatment</t>
  </si>
  <si>
    <t>Sample Standard Deviation (tons/ha)</t>
  </si>
  <si>
    <t>Reported Number of Observations in This Sample</t>
  </si>
  <si>
    <t>Carbon Change (tons/ha)</t>
  </si>
  <si>
    <t>Carbon Change per Year (tons/ha/year)</t>
  </si>
  <si>
    <t>Predicted End Carbon (tons/ha)</t>
  </si>
  <si>
    <t>Predicted Carbon Change (tons/ha)</t>
  </si>
  <si>
    <t>Predicted Carbon Change per Year (tons/ha/year)</t>
  </si>
  <si>
    <t>Predicted Carbon Change Error (tons/ha)</t>
  </si>
  <si>
    <t>Predicted Carbon Change per Year Error (tons/ha/year)</t>
  </si>
  <si>
    <t>Predicted Carbon Change per Year Error with mean removed (tons/ha/year)</t>
  </si>
  <si>
    <t>Hammad, H. M., Khaliq, A., Abbas, F., Farhad, W., Fahad, S., Aslam, M., ... &amp; Bakhat, H. F. (2020). Comparative effects of organic and inorganic fertilizers on soil organic carbon and wheat productivity under arid region. Communications in Soil Science and Plant Analysis, 51(10), 1406-1422.</t>
  </si>
  <si>
    <t>Hammad et al. 2020</t>
  </si>
  <si>
    <t>Hammad et al. 2020a</t>
  </si>
  <si>
    <t>Baseline Multiple</t>
  </si>
  <si>
    <t>Karor Lal Essan, Pakistan</t>
  </si>
  <si>
    <t>Warm Temperate Dry</t>
  </si>
  <si>
    <t>Wheat</t>
  </si>
  <si>
    <t>OM %</t>
  </si>
  <si>
    <t>% OM</t>
  </si>
  <si>
    <t>Walkley Black</t>
  </si>
  <si>
    <t>Paper-reported</t>
  </si>
  <si>
    <t>Loam</t>
  </si>
  <si>
    <t>T2=recommended N, P2O5, and K2O at the rate of 150, 100, and 60 kg ha−1, respectively</t>
  </si>
  <si>
    <t>Kawaka, F., Dida, M., Opala, P., Ombori, O., Maingi, J., Amoding, A., &amp; Muoma, J. (2018). Effect of nitrogen sources on the yield of common bean (Phaseolus vulgaris) in western Kenya. Journal of Plant Nutrition, 41(13), 1652-1661.</t>
  </si>
  <si>
    <t>Kawaka et al. 2018</t>
  </si>
  <si>
    <t>Kawaka et al. 2018a</t>
  </si>
  <si>
    <t>Kisumu, Kenya</t>
  </si>
  <si>
    <t>Tropical Montane</t>
  </si>
  <si>
    <t>Beans</t>
  </si>
  <si>
    <t>unknown</t>
  </si>
  <si>
    <t>Soilgrids</t>
  </si>
  <si>
    <t>Clay</t>
  </si>
  <si>
    <t>Average of T4 and T16, Long rain</t>
  </si>
  <si>
    <t>Kawaka et al. 2018c</t>
  </si>
  <si>
    <t>Kakamega, Kenya</t>
  </si>
  <si>
    <t>Kuttimani, R., Somasundaram, E. , &amp; Velayudham, K. (2017). Ecofriendly nutrient management practices for yield and soil organic of banana. Internaitonal Journal of Applid and Natural Sciences, 6, 55-60</t>
  </si>
  <si>
    <t>Kuttamani and Velayudham 2017</t>
  </si>
  <si>
    <t>Kuttamani and Velayudham 2017a</t>
  </si>
  <si>
    <t>Tamil Nadu, India</t>
  </si>
  <si>
    <t>Tropical Dry</t>
  </si>
  <si>
    <t>Banana</t>
  </si>
  <si>
    <t>Clay Loam</t>
  </si>
  <si>
    <t>T1 - 100% RDF (Control)</t>
  </si>
  <si>
    <t>Luo, C. L., Zhang, X. F., Duan, H. X., Mburu, D. M., Ren, H. X., Kavagi, L., ... &amp; Xiong, Y. C. (2020). Dual plastic film and straw mulching boosts wheat productivity and soil quality under the El Nino in semiarid Kenya. Science of the Total Environment, 738, 139808.</t>
  </si>
  <si>
    <t>Luo et al. 2020</t>
  </si>
  <si>
    <t>Luo et al. 2020a</t>
  </si>
  <si>
    <t>Juja, Kenya</t>
  </si>
  <si>
    <t>g/kg</t>
  </si>
  <si>
    <t>T6 = No mulching in RF was used as the control group (CK) + 100% NPK</t>
  </si>
  <si>
    <t>Mishra, G., &amp; Kushwaha, H. S. (2016). Winter wheat yield and soil physical properties responses to different tillage and irrigation.√äEuropean Journal of Biological Research,√ä6(1), 56-63.</t>
  </si>
  <si>
    <t>Mishra and Kushwaha 2016</t>
  </si>
  <si>
    <t>Mishra and Kushwaha 2016a</t>
  </si>
  <si>
    <t>Ratna Chunni Lal, Uttar Pradesh, India</t>
  </si>
  <si>
    <t>Dry Combustion</t>
  </si>
  <si>
    <t>Cambisols</t>
  </si>
  <si>
    <t>T2: (CT) Conventional Tillage</t>
  </si>
  <si>
    <t>Novara, A., Poma, I., Sarno, M., Venezia, G., &amp; Gristina, L. (2016). Long‚Äêterm durum wheat‚Äêbased cropping systems result in the rapid saturation of soil carbon in the Mediterranean semi‚Äêarid environment. Land degradation &amp; development, 27(3), 612-619.</t>
  </si>
  <si>
    <t>Novara et al. 2016</t>
  </si>
  <si>
    <t>Novara et al. 2016a</t>
  </si>
  <si>
    <t>Cammarata, AG, Italy</t>
  </si>
  <si>
    <t xml:space="preserve">T4 = Wfall = durum wheat/fallow without return of aboveground residues to the soil. </t>
  </si>
  <si>
    <t>Nyamadzawo, G., Chikowo, R., Nyamugafata, P., Nyamangara, J., &amp; Giller, K. E. (2008). Soil organic carbon dynamics of improved fallow-maize rotation systems under conventional and no-tillage in Central Zimbabwe. Nutrient Cycling in Agroecosystems, 81, 85-93.</t>
  </si>
  <si>
    <t>Nyamadzawo et al. 2008</t>
  </si>
  <si>
    <t>Nyamadzawo et al. 2008a</t>
  </si>
  <si>
    <t>Domboshawa, Zimbabwe</t>
  </si>
  <si>
    <t>Maize</t>
  </si>
  <si>
    <t>Sandy Clay Loam</t>
  </si>
  <si>
    <t>CT (conventional tillage) and CM (continuous maize)</t>
  </si>
  <si>
    <t>Patil, S. B., BC, B. R., Chitgupekar, S. C., &amp; Patil, B. B. (2015). Modern tillage and integrated nutrient management practices for improving soil fertility and productivity of groundnut (Arachis hypogaea L.) under rainfed farming system. International Letters of Natural Sciences, (02).</t>
  </si>
  <si>
    <t>Patil et al. 2015</t>
  </si>
  <si>
    <t>Patil et al. 2015a</t>
  </si>
  <si>
    <t>Bengaluru, Karnataka, India</t>
  </si>
  <si>
    <t>T2F2= Conventional tillage + two intercultivations, 100% NPK</t>
  </si>
  <si>
    <t>Suner, L., Galantini, J., &amp; Minoldo, G. (2014). Soil phosphorus dynamics of wheat-based cropping systems in the semiarid region of Argentina. Applied and Environmental Soil Science, 2014.</t>
  </si>
  <si>
    <t>Suner et al. 2014</t>
  </si>
  <si>
    <t>Suner et al. 2014a</t>
  </si>
  <si>
    <t>Bordenave, Buenos Aires Province, Argentina</t>
  </si>
  <si>
    <t>T2: WW, continuous wheat. Following harvest, there was a 4–6-month fallow (January–June) under stubble mulch used for soil moisture storage, mechanical weed control using chisel ploughing to a depth of 0.20 m preceded wheat deep-furrow seeding, which deposits the seed 8–10 cm deep.</t>
  </si>
  <si>
    <t>Swanepoel, C. M., R√∂tter, R. P., Van der Laan, M., Annandale, J. G., Beukes, D. J., du Preez, C. C., ... &amp; Hoffmann, M. P. (2018). The benefits of conservation agriculture on soil organic carbon and yield in southern Africa are site-specific. Soil and Tillage Research, 183, 72-82.</t>
  </si>
  <si>
    <t>Swanepoel et al. 2018</t>
  </si>
  <si>
    <t>Swanepoel et al. 2018a</t>
  </si>
  <si>
    <t>Buffelsvallei, South Africa</t>
  </si>
  <si>
    <t>a: maize monoculture, conventional tillage</t>
  </si>
  <si>
    <t>Swanepoel et al. 2018b</t>
  </si>
  <si>
    <t>Zeekoegat, South Africa</t>
  </si>
  <si>
    <t>Warm temperate Dry</t>
  </si>
  <si>
    <t>Wu, Z., Tang, Z., Yu, T., Zhang, J., Zheng, Y., Yang, J., ... &amp; Sun, Q. (2023). Nitrogen fertilization rates mediate rhizosphere soil carbon emissions of continuous peanut monoculture by altering cellulose-specific microbess. Frontiers in Plant Science, 14, 1109860.</t>
  </si>
  <si>
    <t>Wu et al. 2023</t>
  </si>
  <si>
    <t>Wu et al. 2023a</t>
  </si>
  <si>
    <t>Laixi, Qingdao, Shandong, China</t>
  </si>
  <si>
    <t>OM g/kg</t>
  </si>
  <si>
    <t>100% recommended N rate (N120)</t>
  </si>
  <si>
    <t xml:space="preserve">Data by Journal Article </t>
  </si>
  <si>
    <t>Number of Samples</t>
  </si>
  <si>
    <t>Climate Zone</t>
  </si>
  <si>
    <t>Carbon Change Standard Deviation (tons/ha)</t>
  </si>
  <si>
    <t>Duration of Practice (Average if Multiple Trials)</t>
  </si>
  <si>
    <t>Yearly Carbon Change Standard Deviation (tons/ha/year)</t>
  </si>
  <si>
    <t xml:space="preserve">Pooled Measurement Uncertainty </t>
  </si>
  <si>
    <t>Yearly Pooled Measurement Uncertainty (tons/ha/year)</t>
  </si>
  <si>
    <t>Pooled Measurement Uncertainty Comparison: 
Bias of each paper must be less than the PMU</t>
  </si>
  <si>
    <t>Yearly Carbon Change Bias (tons/ha/year)</t>
  </si>
  <si>
    <t>Pass/Fail PMU Test (Yearly Carbon Change)</t>
  </si>
  <si>
    <t>Total</t>
  </si>
  <si>
    <t xml:space="preserve">90% Confidence Interval: 90% of predictions must be within the 90% confidence interval </t>
  </si>
  <si>
    <t>Standard Deviation of Yearly Carbon Change Residuals (tons/ha/year)</t>
  </si>
  <si>
    <t xml:space="preserve">Yearly Carbon Change Lower 90% Confidence Interval </t>
  </si>
  <si>
    <t xml:space="preserve">Yearly Carbon Change Upper 90% Confidence Interval </t>
  </si>
  <si>
    <t>Number of Samples Within Confidence Interval (Yearly Carbon Change)</t>
  </si>
  <si>
    <t>Number of Samples Outside of Confidence interval (Yearly Carbon Change)</t>
  </si>
  <si>
    <t>Percent Total</t>
  </si>
  <si>
    <t>MODEL PREDICTION ERROR</t>
  </si>
  <si>
    <t>rmse with mean removed (ton C/ha, formula from VMD53)</t>
  </si>
  <si>
    <t>This sheet contains the calculations associated with the RothC model validation for the project scenario, and the associated calculation of model prediction error for the project scenario</t>
  </si>
  <si>
    <t>Improved Practice Literature Data by Sample</t>
  </si>
  <si>
    <t>Calculations with RothC Project Model</t>
  </si>
  <si>
    <t>Babu, M. V., Nataraja, K. C., Srihari, A., Reddy, B. S., Ravindrachary, G., &amp; Rao, C. S. (2016). Impact of Long Term Integrated Nutrient Management on Groundnut Yield and Soil Properties in Scarce Rainfall Zone of Andhra Pradesh, India. Indian Journal of Ecology, 43(Special Issue 1), 452-454.</t>
  </si>
  <si>
    <t>Babu et al. 2016</t>
  </si>
  <si>
    <t>Babu et al. 2016b</t>
  </si>
  <si>
    <t>Improved Multiple</t>
  </si>
  <si>
    <t>Chennarayunipalle, Andhra Pradesh, India</t>
  </si>
  <si>
    <t>Vertisols</t>
  </si>
  <si>
    <t>T7 = Half RFD (T3) +FYM @ 4 t/ha (T5)</t>
  </si>
  <si>
    <t>Bhalerao, V. P., Patil, N. M., Badgujar, C. D., &amp; Patil, D. R. (2009). Studies on integrated nutrient management for tissue cultured Grand Naine banana. Indian Journal of Agricultural Research, 43(2), 107-112.</t>
  </si>
  <si>
    <t>Bhalerao et al. 2009</t>
  </si>
  <si>
    <t>Jalgaon, Maharashtra, India</t>
  </si>
  <si>
    <t>Walkley and Black</t>
  </si>
  <si>
    <t>T3 vs T1 (control) using a space-for-time</t>
  </si>
  <si>
    <t>Abd El-Azeim, M. M., Sherif, M. A., Hussien, M. S., &amp; Haddad, S. A. (2020). Temporal impacts of different fertilization systems on soil health under arid conditions of potato monocropping. Journal of Soil Science and Plant Nutrition, 20, 322-334.</t>
  </si>
  <si>
    <t>El-Azeim et al. 2020</t>
  </si>
  <si>
    <t>Minya, Egypt</t>
  </si>
  <si>
    <t>Control was compost only, NPK was used for chemical fertizlizers, nanofertilizers. There are also compost = (100%, 50%, or 25%) synthetic fertilizers. In trials with compost, 40 t/ha were applied. Interested in Control, FS5, FS6, FS7, FS8. No dates are provided, not even a year, all we know is that harvest was 115 days after planting. No sample depth is provided.</t>
  </si>
  <si>
    <t>Guo, Yifan, Mingyou Chen, Junxiao Pan, Yiwei Shang, Xingjie Wu, and Zhenling Cui. "Increasing soil organic carbon sequestration while closing the yield gap in Chinese wheat production."¬†Land Degradation &amp; Development¬†32, no. 3 (2021): 1274-1286.</t>
  </si>
  <si>
    <t>Guo et al. 2020</t>
  </si>
  <si>
    <t>Quzhou County, Handan, Hebei, China</t>
  </si>
  <si>
    <t>Phaeozems</t>
  </si>
  <si>
    <t xml:space="preserve">Improved crop management combined with manure application (IMsoil) </t>
  </si>
  <si>
    <t>Hammad et al. 2020b</t>
  </si>
  <si>
    <t>OM (%)</t>
  </si>
  <si>
    <t>T3 = (FM + PL)</t>
  </si>
  <si>
    <t>Kuttamani and Velayudham 2017b</t>
  </si>
  <si>
    <t>T13 = 75% RDF + FYM</t>
  </si>
  <si>
    <t>Luo et al. 2020b</t>
  </si>
  <si>
    <t>T1 = furrows mulched with wheat straw and ridges mulched with black plastic film (Rfbs) + 100% NPK</t>
  </si>
  <si>
    <t>Mishra, G., &amp; Kushwaha, H. S. (2016). Winter wheat yield and soil physical properties responses to different tillage and irrigation.¬†European Journal of Biological Research,¬†6(1), 56-63.</t>
  </si>
  <si>
    <t>Mishra and Kushwaha 2016b</t>
  </si>
  <si>
    <t xml:space="preserve">T1=(ZT) zero tillage </t>
  </si>
  <si>
    <t>Nyamadzawo et al. 2008b</t>
  </si>
  <si>
    <t>Patil et al. 2015b</t>
  </si>
  <si>
    <t>Bengaluru, Karnataka, IND</t>
  </si>
  <si>
    <t>T1F1= Conventional tillage + one intercultivation, 100% organics (FYM @ 25 kg N equivalent)</t>
  </si>
  <si>
    <t>Phiri, A. T., Weil, R. R., Yobe, G., Msaky, J. J., Mrema, J., Grossman, J., &amp; Harawa, R. (2014). Insitu assessment of soil nitrate-nitrogen in the pigeon pea-groundnut intercropping-maize rotation system: implications on nitrogen management for increased maize productivity. International Research Journal of Agricultural Science and Soil Science, 4(2), 13-29.</t>
  </si>
  <si>
    <t>Phiri et al. 2014</t>
  </si>
  <si>
    <t>Phiri et al. 2014b</t>
  </si>
  <si>
    <t>Chitedze, Malawi</t>
  </si>
  <si>
    <t>Luvisols</t>
  </si>
  <si>
    <t>T6 = Long Duration
Pigeon Pea +
Groundnuts</t>
  </si>
  <si>
    <t>Rajput, A., Memon, M., Memon, K. S., Sial, T. A., &amp; Laghari, H. B. (2022). Integrated nutrient management in banana: comparative role of fym and composted pressmud for the improvement of soil properties.¬†Pakistan Journal of Botany,¬†54(1), 355-362.</t>
  </si>
  <si>
    <t>Rajput et al. 2022</t>
  </si>
  <si>
    <t>Rajput et al. 2022b</t>
  </si>
  <si>
    <t>Haji Khaman Nizamani, Pakistan</t>
  </si>
  <si>
    <t>T = 500-187-0 NPK + composted pressmud (CPM) at 20 t ha-1</t>
  </si>
  <si>
    <t>Roohi, M., Arif, M. S., Guillaume, T., Yasmeen, T., Riaz, M., Shakoor, A., ... &amp; Bragazza, L. (2022). Role of fertilization regime on soil carbon sequestration and crop yield in a maize-cowpea intercropping system on low fertility soils.¬†Geoderma,¬†428, 11</t>
  </si>
  <si>
    <t>Roohi et al. 2022</t>
  </si>
  <si>
    <t>Dialgarh, Pakistan</t>
  </si>
  <si>
    <t>T = NPKEC: multi-nutrient enriched compost fertilization + Maize monocrop</t>
  </si>
  <si>
    <t>Sireesha, P. G., Padmaja, G., Babu, M. V. S., &amp; Rao, P. (2017). Effect of long-term fertilization on soil enzymetion on soil enzyme activities under groundnut based cropping system. An International quarterly journal of life sciences, 12(3), 1755-1758.</t>
  </si>
  <si>
    <t>Sireesha et al. 2017</t>
  </si>
  <si>
    <t>Sireesha et al. 2017b</t>
  </si>
  <si>
    <t>Katiganikalva, Andhra Pradesh, India</t>
  </si>
  <si>
    <t xml:space="preserve">T5 = FYM@5tha-1 </t>
  </si>
  <si>
    <t>Swanepoel, C. M., Rötter, R. P., Van der Laan, M., Annandale, J. G., Beukes, D. J., du Preez, C. C., ... &amp; Hoffmann, M. P. (2018). The benefits of conservation agriculture on soil organic carbon and yield in southern Africa are site-specific. Soil and Tillage Research, 183, 72-82.</t>
  </si>
  <si>
    <t>Swanepoel et al. 2018c</t>
  </si>
  <si>
    <t>b = Maize sole crop reduced tillage</t>
  </si>
  <si>
    <t>Swanepoel et al. 2018d</t>
  </si>
  <si>
    <t>Citation</t>
  </si>
  <si>
    <t xml:space="preserve">Yearly Carbon Change Lower 90% Confindence Interval </t>
  </si>
  <si>
    <t xml:space="preserve">Yearly Carbon Change Upper 90% Confindence Interval </t>
  </si>
  <si>
    <t xml:space="preserve">Note: while less than 90% of the samples are within the confidence intervals, the errors are vanishingly small, simply the numerical limit of the optimizer. The largest error is -1.1x10^10 tons/ha/year.  When RothC is fit directly to two carbon measurements in time the predicted soil carbon at the end time point is effectively exact. Thus the 90% of samples within the 90% confidence interval should be disregarded here. </t>
  </si>
  <si>
    <t>RMSE with mean removed (ton C/ha/yr, equation from VMD53)</t>
  </si>
  <si>
    <t>Caltic Vertisols</t>
  </si>
  <si>
    <t>Dystric Leptosol</t>
  </si>
  <si>
    <t>Eutric Fluvisol</t>
  </si>
  <si>
    <t>Ferric Lixosols</t>
  </si>
  <si>
    <t>Cambic Arenosols</t>
  </si>
  <si>
    <t>Dystric Plinthosols</t>
  </si>
  <si>
    <t>Samples</t>
  </si>
  <si>
    <t>Prediction (RothC Baseline 2025)</t>
  </si>
  <si>
    <t>Field-measurement (2025)</t>
  </si>
  <si>
    <t>Variance (inherent)</t>
  </si>
  <si>
    <t>Variance (calculated)</t>
  </si>
  <si>
    <t>Totals</t>
  </si>
  <si>
    <t>Baseline Scenario (after 2025 field-sampling)</t>
  </si>
  <si>
    <t>Total Error (tC/ha/yr)^2</t>
  </si>
  <si>
    <t>Baseline Sampling Error (tC/ha/yr)^2</t>
  </si>
  <si>
    <t>Units ----&gt;</t>
  </si>
  <si>
    <t>tCO2e</t>
  </si>
  <si>
    <t>Net ERs</t>
  </si>
  <si>
    <t>Est Error</t>
  </si>
  <si>
    <t>Est ERs</t>
  </si>
  <si>
    <t>Representative Area</t>
  </si>
  <si>
    <t>Model Error (tC/ha/yr)^2</t>
  </si>
  <si>
    <t>N2O Emissions Burning (Baseline only)</t>
  </si>
  <si>
    <t>CH4 Emissions Burning (Baseline only)</t>
  </si>
  <si>
    <t>Fossil Fuel (Baseline)</t>
  </si>
  <si>
    <t>Fossil Fuel (Project)</t>
  </si>
  <si>
    <t>Fertilizer Usage (Baseline)</t>
  </si>
  <si>
    <t>Fertilizer Usage (Project)</t>
  </si>
  <si>
    <t>Total (QA3 Emissions)</t>
  </si>
  <si>
    <t>QA1</t>
  </si>
  <si>
    <t>QA3</t>
  </si>
  <si>
    <t>NPRT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</si>
</sst>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yyyy\-mm\-dd;@"/>
    <numFmt numFmtId="165" formatCode="0.000"/>
  </numFmts>
  <fonts count="27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i/>
      <sz val="12"/>
      <color rgb="FF7F7F7F"/>
      <name val="Aptos Narrow"/>
      <scheme val="minor"/>
    </font>
    <font>
      <b/>
      <sz val="16"/>
      <color theme="1"/>
      <name val="Aptos Narrow"/>
      <family val="2"/>
      <scheme val="minor"/>
    </font>
    <font>
      <b/>
      <sz val="12"/>
      <name val="Calibri"/>
      <family val="2"/>
    </font>
    <font>
      <b/>
      <sz val="12"/>
      <name val="Calibri (Body)"/>
    </font>
    <font>
      <b/>
      <sz val="12"/>
      <color theme="1"/>
      <name val="Calibri"/>
      <family val="2"/>
    </font>
    <font>
      <b/>
      <sz val="12"/>
      <name val="Aptos Narrow"/>
      <family val="2"/>
      <scheme val="minor"/>
    </font>
    <font>
      <b/>
      <sz val="12"/>
      <color rgb="FF000000"/>
      <name val="Calibri"/>
      <family val="2"/>
    </font>
    <font>
      <sz val="12"/>
      <name val="Calibri"/>
      <family val="2"/>
    </font>
    <font>
      <sz val="12"/>
      <name val="Calibri (Body)"/>
    </font>
    <font>
      <sz val="12"/>
      <color rgb="FF000000"/>
      <name val="Aptos Narrow"/>
    </font>
    <font>
      <sz val="12"/>
      <color rgb="FF000000"/>
      <name val="Calibri"/>
      <family val="2"/>
    </font>
    <font>
      <sz val="12"/>
      <name val="Aptos Narrow"/>
      <family val="2"/>
      <scheme val="minor"/>
    </font>
    <font>
      <sz val="11"/>
      <name val="Calibri"/>
      <family val="2"/>
    </font>
    <font>
      <b/>
      <sz val="16"/>
      <color theme="1"/>
      <name val="Calibri (Body)"/>
    </font>
    <font>
      <sz val="12"/>
      <color theme="1"/>
      <name val="Franklin Gothic Medium"/>
      <family val="2"/>
    </font>
    <font>
      <sz val="12"/>
      <color theme="5" tint="-0.499984740745262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6"/>
      <color rgb="FF000000"/>
      <name val="Calibri"/>
      <family val="2"/>
    </font>
    <font>
      <b/>
      <sz val="16"/>
      <name val="Calibri (Body)"/>
    </font>
    <font>
      <sz val="12"/>
      <name val="Franklin Gothic Medium"/>
      <family val="2"/>
    </font>
    <font>
      <b/>
      <sz val="16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26">
    <xf numFmtId="0" fontId="0" fillId="0" borderId="0" xfId="0"/>
    <xf numFmtId="0" fontId="1" fillId="0" borderId="0" xfId="0" applyFont="1"/>
    <xf numFmtId="0" fontId="3" fillId="0" borderId="0" xfId="0" applyFont="1"/>
    <xf numFmtId="43" fontId="1" fillId="0" borderId="0" xfId="1" applyFont="1"/>
    <xf numFmtId="3" fontId="0" fillId="0" borderId="0" xfId="0" applyNumberFormat="1"/>
    <xf numFmtId="0" fontId="6" fillId="0" borderId="0" xfId="2" applyFon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7" fillId="0" borderId="0" xfId="0" applyFont="1"/>
    <xf numFmtId="0" fontId="8" fillId="0" borderId="1" xfId="0" applyFont="1" applyBorder="1" applyAlignment="1">
      <alignment wrapText="1"/>
    </xf>
    <xf numFmtId="2" fontId="8" fillId="0" borderId="1" xfId="0" applyNumberFormat="1" applyFont="1" applyBorder="1" applyAlignment="1">
      <alignment wrapText="1"/>
    </xf>
    <xf numFmtId="164" fontId="8" fillId="0" borderId="1" xfId="0" applyNumberFormat="1" applyFont="1" applyBorder="1" applyAlignment="1">
      <alignment wrapText="1"/>
    </xf>
    <xf numFmtId="165" fontId="9" fillId="0" borderId="1" xfId="0" applyNumberFormat="1" applyFont="1" applyBorder="1" applyAlignment="1">
      <alignment wrapText="1"/>
    </xf>
    <xf numFmtId="1" fontId="8" fillId="0" borderId="1" xfId="0" applyNumberFormat="1" applyFont="1" applyBorder="1" applyAlignment="1">
      <alignment wrapText="1"/>
    </xf>
    <xf numFmtId="0" fontId="8" fillId="0" borderId="2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11" fillId="0" borderId="0" xfId="0" applyFont="1" applyAlignment="1">
      <alignment horizontal="left" wrapText="1"/>
    </xf>
    <xf numFmtId="0" fontId="12" fillId="0" borderId="0" xfId="0" applyFont="1" applyAlignment="1">
      <alignment wrapText="1"/>
    </xf>
    <xf numFmtId="0" fontId="0" fillId="0" borderId="0" xfId="0" applyAlignment="1">
      <alignment wrapText="1"/>
    </xf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0" fillId="0" borderId="1" xfId="0" applyBorder="1"/>
    <xf numFmtId="164" fontId="13" fillId="0" borderId="1" xfId="0" applyNumberFormat="1" applyFont="1" applyBorder="1"/>
    <xf numFmtId="1" fontId="13" fillId="0" borderId="1" xfId="0" applyNumberFormat="1" applyFont="1" applyBorder="1"/>
    <xf numFmtId="2" fontId="13" fillId="0" borderId="1" xfId="0" applyNumberFormat="1" applyFont="1" applyBorder="1" applyAlignment="1">
      <alignment horizontal="right"/>
    </xf>
    <xf numFmtId="165" fontId="14" fillId="0" borderId="1" xfId="0" applyNumberFormat="1" applyFont="1" applyBorder="1" applyAlignment="1">
      <alignment horizontal="right"/>
    </xf>
    <xf numFmtId="2" fontId="13" fillId="0" borderId="1" xfId="0" applyNumberFormat="1" applyFont="1" applyBorder="1"/>
    <xf numFmtId="0" fontId="13" fillId="0" borderId="1" xfId="0" applyFont="1" applyBorder="1" applyAlignment="1">
      <alignment horizontal="left"/>
    </xf>
    <xf numFmtId="0" fontId="13" fillId="0" borderId="3" xfId="0" applyFont="1" applyBorder="1"/>
    <xf numFmtId="0" fontId="15" fillId="0" borderId="4" xfId="0" applyFont="1" applyBorder="1"/>
    <xf numFmtId="2" fontId="13" fillId="0" borderId="5" xfId="0" applyNumberFormat="1" applyFont="1" applyBorder="1"/>
    <xf numFmtId="0" fontId="0" fillId="0" borderId="1" xfId="0" applyBorder="1" applyAlignment="1">
      <alignment horizontal="left" wrapText="1"/>
    </xf>
    <xf numFmtId="165" fontId="0" fillId="0" borderId="0" xfId="0" applyNumberFormat="1" applyAlignment="1">
      <alignment vertical="center" wrapText="1"/>
    </xf>
    <xf numFmtId="2" fontId="16" fillId="0" borderId="0" xfId="0" applyNumberFormat="1" applyFont="1"/>
    <xf numFmtId="11" fontId="16" fillId="0" borderId="0" xfId="0" applyNumberFormat="1" applyFont="1"/>
    <xf numFmtId="0" fontId="13" fillId="0" borderId="1" xfId="0" applyFont="1" applyBorder="1" applyAlignment="1">
      <alignment horizontal="right"/>
    </xf>
    <xf numFmtId="2" fontId="13" fillId="0" borderId="1" xfId="0" applyNumberFormat="1" applyFont="1" applyBorder="1" applyAlignment="1">
      <alignment horizontal="right" vertical="center" wrapText="1"/>
    </xf>
    <xf numFmtId="0" fontId="13" fillId="0" borderId="0" xfId="0" applyFont="1"/>
    <xf numFmtId="0" fontId="13" fillId="0" borderId="2" xfId="0" applyFont="1" applyBorder="1" applyAlignment="1">
      <alignment horizontal="right"/>
    </xf>
    <xf numFmtId="165" fontId="14" fillId="0" borderId="1" xfId="0" applyNumberFormat="1" applyFont="1" applyBorder="1" applyAlignment="1">
      <alignment horizontal="right" vertical="center"/>
    </xf>
    <xf numFmtId="0" fontId="13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2" fontId="0" fillId="0" borderId="5" xfId="0" applyNumberFormat="1" applyBorder="1"/>
    <xf numFmtId="0" fontId="0" fillId="0" borderId="6" xfId="0" applyBorder="1" applyAlignment="1">
      <alignment horizontal="left" vertical="center"/>
    </xf>
    <xf numFmtId="0" fontId="13" fillId="0" borderId="1" xfId="0" applyFont="1" applyBorder="1" applyAlignment="1">
      <alignment horizontal="left" wrapText="1"/>
    </xf>
    <xf numFmtId="0" fontId="17" fillId="0" borderId="0" xfId="0" applyFont="1" applyAlignment="1">
      <alignment wrapText="1"/>
    </xf>
    <xf numFmtId="164" fontId="13" fillId="0" borderId="1" xfId="0" applyNumberFormat="1" applyFont="1" applyBorder="1" applyAlignment="1">
      <alignment wrapText="1"/>
    </xf>
    <xf numFmtId="2" fontId="13" fillId="0" borderId="5" xfId="0" applyNumberFormat="1" applyFont="1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2" fontId="13" fillId="0" borderId="1" xfId="0" applyNumberFormat="1" applyFont="1" applyBorder="1" applyAlignment="1">
      <alignment horizontal="right" vertical="center"/>
    </xf>
    <xf numFmtId="0" fontId="13" fillId="0" borderId="1" xfId="0" applyFont="1" applyBorder="1" applyAlignment="1">
      <alignment vertical="center"/>
    </xf>
    <xf numFmtId="0" fontId="17" fillId="0" borderId="0" xfId="0" applyFont="1"/>
    <xf numFmtId="0" fontId="18" fillId="0" borderId="1" xfId="0" applyFont="1" applyBorder="1" applyAlignment="1">
      <alignment horizontal="right"/>
    </xf>
    <xf numFmtId="0" fontId="16" fillId="0" borderId="0" xfId="0" applyFont="1"/>
    <xf numFmtId="0" fontId="19" fillId="0" borderId="0" xfId="0" applyFont="1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11" fillId="0" borderId="1" xfId="0" applyFont="1" applyBorder="1" applyAlignment="1">
      <alignment wrapText="1"/>
    </xf>
    <xf numFmtId="0" fontId="20" fillId="0" borderId="1" xfId="0" applyFont="1" applyBorder="1" applyAlignment="1">
      <alignment wrapText="1"/>
    </xf>
    <xf numFmtId="0" fontId="20" fillId="0" borderId="2" xfId="0" applyFont="1" applyBorder="1" applyAlignment="1">
      <alignment wrapText="1"/>
    </xf>
    <xf numFmtId="164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  <xf numFmtId="0" fontId="0" fillId="0" borderId="4" xfId="0" applyBorder="1"/>
    <xf numFmtId="0" fontId="0" fillId="0" borderId="5" xfId="0" applyBorder="1"/>
    <xf numFmtId="165" fontId="0" fillId="0" borderId="1" xfId="0" applyNumberFormat="1" applyBorder="1" applyAlignment="1">
      <alignment horizontal="right"/>
    </xf>
    <xf numFmtId="0" fontId="5" fillId="0" borderId="1" xfId="0" applyFont="1" applyBorder="1" applyAlignment="1">
      <alignment wrapText="1"/>
    </xf>
    <xf numFmtId="0" fontId="16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21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11" fontId="22" fillId="0" borderId="0" xfId="0" applyNumberFormat="1" applyFont="1"/>
    <xf numFmtId="0" fontId="5" fillId="0" borderId="7" xfId="0" applyFont="1" applyBorder="1"/>
    <xf numFmtId="11" fontId="0" fillId="0" borderId="7" xfId="0" applyNumberFormat="1" applyBorder="1"/>
    <xf numFmtId="0" fontId="23" fillId="0" borderId="0" xfId="0" applyFont="1"/>
    <xf numFmtId="165" fontId="0" fillId="0" borderId="0" xfId="0" applyNumberFormat="1"/>
    <xf numFmtId="0" fontId="5" fillId="0" borderId="8" xfId="0" applyFont="1" applyBorder="1"/>
    <xf numFmtId="0" fontId="5" fillId="0" borderId="9" xfId="0" applyFont="1" applyBorder="1"/>
    <xf numFmtId="10" fontId="5" fillId="0" borderId="9" xfId="0" applyNumberFormat="1" applyFont="1" applyBorder="1"/>
    <xf numFmtId="10" fontId="5" fillId="0" borderId="10" xfId="0" applyNumberFormat="1" applyFont="1" applyBorder="1"/>
    <xf numFmtId="0" fontId="12" fillId="0" borderId="0" xfId="0" applyFont="1"/>
    <xf numFmtId="2" fontId="17" fillId="0" borderId="0" xfId="0" applyNumberFormat="1" applyFont="1"/>
    <xf numFmtId="164" fontId="17" fillId="0" borderId="0" xfId="0" applyNumberFormat="1" applyFont="1"/>
    <xf numFmtId="1" fontId="17" fillId="0" borderId="0" xfId="0" applyNumberFormat="1" applyFont="1"/>
    <xf numFmtId="0" fontId="8" fillId="0" borderId="1" xfId="0" applyFont="1" applyBorder="1" applyAlignment="1">
      <alignment horizontal="left" wrapText="1"/>
    </xf>
    <xf numFmtId="2" fontId="8" fillId="0" borderId="1" xfId="0" applyNumberFormat="1" applyFont="1" applyBorder="1" applyAlignment="1">
      <alignment horizontal="left" wrapText="1"/>
    </xf>
    <xf numFmtId="164" fontId="8" fillId="0" borderId="1" xfId="0" applyNumberFormat="1" applyFont="1" applyBorder="1" applyAlignment="1">
      <alignment horizontal="left" wrapText="1"/>
    </xf>
    <xf numFmtId="165" fontId="9" fillId="0" borderId="1" xfId="0" applyNumberFormat="1" applyFont="1" applyBorder="1" applyAlignment="1">
      <alignment horizontal="left" wrapText="1"/>
    </xf>
    <xf numFmtId="1" fontId="8" fillId="0" borderId="1" xfId="0" applyNumberFormat="1" applyFont="1" applyBorder="1" applyAlignment="1">
      <alignment horizontal="left" wrapText="1"/>
    </xf>
    <xf numFmtId="0" fontId="8" fillId="0" borderId="2" xfId="0" applyFont="1" applyBorder="1" applyAlignment="1">
      <alignment horizontal="left" wrapText="1"/>
    </xf>
    <xf numFmtId="0" fontId="8" fillId="0" borderId="1" xfId="0" applyFont="1" applyBorder="1" applyAlignment="1">
      <alignment horizontal="left"/>
    </xf>
    <xf numFmtId="165" fontId="13" fillId="0" borderId="1" xfId="0" applyNumberFormat="1" applyFont="1" applyBorder="1" applyAlignment="1">
      <alignment horizontal="right"/>
    </xf>
    <xf numFmtId="0" fontId="13" fillId="0" borderId="5" xfId="0" applyFont="1" applyBorder="1"/>
    <xf numFmtId="2" fontId="13" fillId="0" borderId="1" xfId="0" applyNumberFormat="1" applyFont="1" applyBorder="1" applyAlignment="1">
      <alignment vertical="center" wrapText="1"/>
    </xf>
    <xf numFmtId="0" fontId="13" fillId="0" borderId="5" xfId="0" applyFont="1" applyBorder="1" applyAlignment="1">
      <alignment vertical="center"/>
    </xf>
    <xf numFmtId="2" fontId="13" fillId="0" borderId="1" xfId="0" applyNumberFormat="1" applyFont="1" applyBorder="1" applyAlignment="1">
      <alignment vertical="center"/>
    </xf>
    <xf numFmtId="0" fontId="13" fillId="0" borderId="5" xfId="0" applyFont="1" applyBorder="1" applyAlignment="1">
      <alignment vertical="center" wrapText="1"/>
    </xf>
    <xf numFmtId="0" fontId="24" fillId="0" borderId="0" xfId="0" applyFont="1"/>
    <xf numFmtId="2" fontId="17" fillId="0" borderId="0" xfId="0" applyNumberFormat="1" applyFont="1" applyAlignment="1">
      <alignment horizontal="left"/>
    </xf>
    <xf numFmtId="164" fontId="17" fillId="0" borderId="0" xfId="0" applyNumberFormat="1" applyFont="1" applyAlignment="1">
      <alignment horizontal="left"/>
    </xf>
    <xf numFmtId="0" fontId="17" fillId="0" borderId="0" xfId="0" applyFont="1" applyAlignment="1">
      <alignment horizontal="left"/>
    </xf>
    <xf numFmtId="0" fontId="25" fillId="0" borderId="1" xfId="0" applyFont="1" applyBorder="1" applyAlignment="1">
      <alignment horizontal="left" wrapText="1"/>
    </xf>
    <xf numFmtId="0" fontId="17" fillId="0" borderId="1" xfId="0" applyFont="1" applyBorder="1" applyAlignment="1">
      <alignment horizontal="left" vertical="center" wrapText="1"/>
    </xf>
    <xf numFmtId="0" fontId="17" fillId="0" borderId="0" xfId="0" applyFont="1" applyAlignment="1">
      <alignment horizontal="left" vertical="center" wrapText="1"/>
    </xf>
    <xf numFmtId="0" fontId="17" fillId="0" borderId="0" xfId="0" applyFont="1" applyAlignment="1">
      <alignment horizontal="left" vertical="center"/>
    </xf>
    <xf numFmtId="165" fontId="17" fillId="0" borderId="0" xfId="0" applyNumberFormat="1" applyFont="1" applyAlignment="1">
      <alignment horizontal="left" vertical="center"/>
    </xf>
    <xf numFmtId="2" fontId="17" fillId="0" borderId="0" xfId="0" applyNumberFormat="1" applyFont="1" applyAlignment="1">
      <alignment horizontal="left" vertical="center" wrapText="1"/>
    </xf>
    <xf numFmtId="1" fontId="11" fillId="0" borderId="0" xfId="0" applyNumberFormat="1" applyFont="1" applyAlignment="1">
      <alignment wrapText="1"/>
    </xf>
    <xf numFmtId="0" fontId="26" fillId="0" borderId="0" xfId="0" applyFont="1"/>
    <xf numFmtId="0" fontId="8" fillId="0" borderId="0" xfId="0" applyFont="1" applyAlignment="1">
      <alignment horizontal="left" wrapText="1"/>
    </xf>
    <xf numFmtId="11" fontId="0" fillId="0" borderId="0" xfId="0" applyNumberFormat="1"/>
    <xf numFmtId="0" fontId="17" fillId="0" borderId="0" xfId="0" applyFont="1" applyAlignment="1">
      <alignment vertical="top" wrapText="1" shrinkToFit="1"/>
    </xf>
    <xf numFmtId="0" fontId="3" fillId="0" borderId="1" xfId="0" applyFont="1" applyBorder="1"/>
    <xf numFmtId="43" fontId="0" fillId="0" borderId="0" xfId="0" applyNumberFormat="1"/>
    <xf numFmtId="0" fontId="0" fillId="0" borderId="0" xfId="0" applyAlignment="1">
      <alignment horizontal="center"/>
    </xf>
    <xf numFmtId="0" fontId="17" fillId="0" borderId="0" xfId="0" applyFont="1" applyAlignment="1">
      <alignment vertical="top" wrapText="1" shrinkToFit="1"/>
    </xf>
  </cellXfs>
  <cellStyles count="3">
    <cellStyle name="Comma" xfId="1" builtinId="3"/>
    <cellStyle name="Explanatory Text" xfId="2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9C356-BFF7-1A4F-8872-7C39E98F0955}">
  <dimension ref="A2:T18"/>
  <sheetViews>
    <sheetView tabSelected="1" topLeftCell="L1" zoomScale="170" workbookViewId="0">
      <selection activeCell="N8" sqref="N8"/>
    </sheetView>
  </sheetViews>
  <sheetFormatPr baseColWidth="10" defaultRowHeight="16" x14ac:dyDescent="0.2"/>
  <cols>
    <col min="1" max="1" width="17.5" customWidth="1"/>
    <col min="4" max="4" width="13" bestFit="1" customWidth="1"/>
    <col min="5" max="5" width="12.1640625" bestFit="1" customWidth="1"/>
    <col min="6" max="6" width="13.33203125" bestFit="1" customWidth="1"/>
    <col min="8" max="8" width="13" bestFit="1" customWidth="1"/>
    <col min="9" max="9" width="33.33203125" customWidth="1"/>
    <col min="10" max="10" width="35.33203125" customWidth="1"/>
    <col min="11" max="11" width="24" customWidth="1"/>
    <col min="12" max="12" width="21.1640625" customWidth="1"/>
    <col min="13" max="13" width="25.1640625" customWidth="1"/>
    <col min="14" max="14" width="27.1640625" customWidth="1"/>
    <col min="15" max="15" width="20.83203125" customWidth="1"/>
    <col min="16" max="16" width="11.5" bestFit="1" customWidth="1"/>
    <col min="18" max="18" width="11.5" bestFit="1" customWidth="1"/>
    <col min="20" max="20" width="12.33203125" bestFit="1" customWidth="1"/>
  </cols>
  <sheetData>
    <row r="2" spans="1:20" x14ac:dyDescent="0.2">
      <c r="A2" t="s">
        <v>6</v>
      </c>
      <c r="B2" s="4">
        <f>45000*0.2</f>
        <v>9000</v>
      </c>
    </row>
    <row r="3" spans="1:20" x14ac:dyDescent="0.2">
      <c r="F3" s="124" t="s">
        <v>249</v>
      </c>
      <c r="G3" s="124"/>
      <c r="I3" s="124" t="s">
        <v>250</v>
      </c>
      <c r="J3" s="124"/>
      <c r="K3" s="124"/>
      <c r="L3" s="124"/>
      <c r="M3" s="124"/>
      <c r="N3" s="124"/>
      <c r="O3" s="124"/>
    </row>
    <row r="4" spans="1:20" x14ac:dyDescent="0.2">
      <c r="A4" s="1" t="s">
        <v>0</v>
      </c>
      <c r="B4" s="2" t="s">
        <v>2</v>
      </c>
      <c r="C4" s="2" t="s">
        <v>3</v>
      </c>
      <c r="D4" s="2" t="s">
        <v>4</v>
      </c>
      <c r="F4" s="2" t="s">
        <v>239</v>
      </c>
      <c r="G4" s="2" t="s">
        <v>238</v>
      </c>
      <c r="I4" s="2" t="s">
        <v>242</v>
      </c>
      <c r="J4" s="2" t="s">
        <v>243</v>
      </c>
      <c r="K4" s="2" t="s">
        <v>244</v>
      </c>
      <c r="L4" s="2" t="s">
        <v>245</v>
      </c>
      <c r="M4" s="2" t="s">
        <v>246</v>
      </c>
      <c r="N4" s="2" t="s">
        <v>247</v>
      </c>
      <c r="O4" s="2" t="s">
        <v>248</v>
      </c>
      <c r="Q4" s="2" t="s">
        <v>251</v>
      </c>
      <c r="T4" s="2" t="s">
        <v>237</v>
      </c>
    </row>
    <row r="5" spans="1:20" x14ac:dyDescent="0.2">
      <c r="A5" t="s">
        <v>235</v>
      </c>
      <c r="B5" s="1" t="s">
        <v>1</v>
      </c>
      <c r="C5" s="1" t="s">
        <v>1</v>
      </c>
      <c r="D5" s="1" t="s">
        <v>1</v>
      </c>
      <c r="F5" s="1" t="s">
        <v>236</v>
      </c>
      <c r="G5" s="1" t="s">
        <v>236</v>
      </c>
      <c r="I5" t="s">
        <v>236</v>
      </c>
      <c r="J5" t="s">
        <v>236</v>
      </c>
      <c r="K5" t="s">
        <v>236</v>
      </c>
      <c r="L5" t="s">
        <v>236</v>
      </c>
      <c r="M5" t="s">
        <v>236</v>
      </c>
      <c r="N5" t="s">
        <v>236</v>
      </c>
      <c r="O5" t="s">
        <v>236</v>
      </c>
      <c r="T5" s="1" t="s">
        <v>236</v>
      </c>
    </row>
    <row r="6" spans="1:20" x14ac:dyDescent="0.2">
      <c r="A6" s="1" t="s">
        <v>5</v>
      </c>
      <c r="B6" s="1">
        <v>11.5275376</v>
      </c>
      <c r="C6" s="1">
        <v>3.56052927</v>
      </c>
      <c r="D6">
        <f t="shared" ref="D6:D18" si="0">(B6 -C6)</f>
        <v>7.9670083300000005</v>
      </c>
      <c r="F6" s="3">
        <f t="shared" ref="F6:F18" si="1">D6*$B$2*44/12</f>
        <v>262911.27489</v>
      </c>
    </row>
    <row r="7" spans="1:20" x14ac:dyDescent="0.2">
      <c r="A7" s="1">
        <v>2024</v>
      </c>
      <c r="B7" s="1">
        <v>11.1937988</v>
      </c>
      <c r="C7" s="1">
        <v>3.5159391200000001</v>
      </c>
      <c r="D7">
        <f t="shared" si="0"/>
        <v>7.6778596799999992</v>
      </c>
      <c r="F7" s="3">
        <f t="shared" si="1"/>
        <v>253369.36943999995</v>
      </c>
      <c r="G7">
        <f>SQRT('Sampling &amp; Combined Error'!$E$14)*$B$2*44/12</f>
        <v>17330.612745158352</v>
      </c>
      <c r="I7">
        <v>107.49299999999999</v>
      </c>
      <c r="J7">
        <v>187.74719999999999</v>
      </c>
      <c r="K7">
        <v>1554.49771021999</v>
      </c>
      <c r="L7">
        <v>1107.5355199999999</v>
      </c>
      <c r="M7">
        <v>6085.8626000000004</v>
      </c>
      <c r="N7">
        <v>3042.9313000000002</v>
      </c>
      <c r="O7">
        <f>(N7+L7)-(I7+J7+K7+M7)</f>
        <v>-3785.133690219991</v>
      </c>
      <c r="T7" s="123">
        <f>F7- G7 - O7</f>
        <v>239823.89038506159</v>
      </c>
    </row>
    <row r="8" spans="1:20" x14ac:dyDescent="0.2">
      <c r="A8" s="1">
        <v>2025</v>
      </c>
      <c r="B8" s="1">
        <v>10.944057600000001</v>
      </c>
      <c r="C8" s="1">
        <v>3.4929559000000001</v>
      </c>
      <c r="D8">
        <f t="shared" si="0"/>
        <v>7.4511017000000006</v>
      </c>
      <c r="F8" s="3">
        <f t="shared" si="1"/>
        <v>245886.3561</v>
      </c>
      <c r="G8">
        <f>SQRT('Sampling &amp; Combined Error'!$E$14)*$B$2*44/12</f>
        <v>17330.612745158352</v>
      </c>
      <c r="I8">
        <v>107.49299999999999</v>
      </c>
      <c r="J8">
        <v>187.74719999999999</v>
      </c>
      <c r="K8">
        <v>1554.49771021999</v>
      </c>
      <c r="L8">
        <v>1107.5355199999999</v>
      </c>
      <c r="M8">
        <v>6085.8626000000004</v>
      </c>
      <c r="N8">
        <v>3042.9313000000002</v>
      </c>
      <c r="O8">
        <f t="shared" ref="O8:O18" si="2">(N8+L8)-(I8+J8+K8+M8)</f>
        <v>-3785.133690219991</v>
      </c>
      <c r="T8" s="123">
        <f t="shared" ref="T8:T18" si="3">F8-G8 - O8</f>
        <v>232340.87704506164</v>
      </c>
    </row>
    <row r="9" spans="1:20" x14ac:dyDescent="0.2">
      <c r="A9" s="1">
        <v>2026</v>
      </c>
      <c r="B9" s="1">
        <v>11.0558327</v>
      </c>
      <c r="C9" s="1">
        <v>3.5061362800000002</v>
      </c>
      <c r="D9">
        <f t="shared" si="0"/>
        <v>7.5496964200000001</v>
      </c>
      <c r="F9" s="3">
        <f t="shared" si="1"/>
        <v>249139.98185999997</v>
      </c>
      <c r="G9">
        <f>SQRT('Sampling &amp; Combined Error'!$E$14)*$B$2*44/12</f>
        <v>17330.612745158352</v>
      </c>
      <c r="I9">
        <v>107.49299999999999</v>
      </c>
      <c r="J9">
        <v>187.74719999999999</v>
      </c>
      <c r="K9">
        <v>1554.49771021999</v>
      </c>
      <c r="L9">
        <v>1107.5355199999999</v>
      </c>
      <c r="M9">
        <v>6085.8626000000004</v>
      </c>
      <c r="N9">
        <v>3042.9313000000002</v>
      </c>
      <c r="O9">
        <f t="shared" si="2"/>
        <v>-3785.133690219991</v>
      </c>
      <c r="T9" s="123">
        <f t="shared" si="3"/>
        <v>235594.50280506161</v>
      </c>
    </row>
    <row r="10" spans="1:20" x14ac:dyDescent="0.2">
      <c r="A10" s="1">
        <v>2027</v>
      </c>
      <c r="B10" s="1">
        <v>11.1371655</v>
      </c>
      <c r="C10" s="1">
        <v>3.5156614300000002</v>
      </c>
      <c r="D10">
        <f t="shared" si="0"/>
        <v>7.6215040700000003</v>
      </c>
      <c r="F10" s="3">
        <f t="shared" si="1"/>
        <v>251509.63430999999</v>
      </c>
      <c r="G10">
        <f>SQRT('Sampling &amp; Combined Error'!$E$14)*$B$2*44/12</f>
        <v>17330.612745158352</v>
      </c>
      <c r="I10">
        <v>107.49299999999999</v>
      </c>
      <c r="J10">
        <v>187.74719999999999</v>
      </c>
      <c r="K10">
        <v>1554.49771021999</v>
      </c>
      <c r="L10">
        <v>1107.5355199999999</v>
      </c>
      <c r="M10">
        <v>6085.8626000000004</v>
      </c>
      <c r="N10">
        <v>3042.9313000000002</v>
      </c>
      <c r="O10">
        <f t="shared" si="2"/>
        <v>-3785.133690219991</v>
      </c>
      <c r="T10" s="123">
        <f t="shared" si="3"/>
        <v>237964.15525506163</v>
      </c>
    </row>
    <row r="11" spans="1:20" x14ac:dyDescent="0.2">
      <c r="A11" s="1">
        <v>2028</v>
      </c>
      <c r="B11" s="1">
        <v>11.196634</v>
      </c>
      <c r="C11" s="1">
        <v>3.52259024</v>
      </c>
      <c r="D11">
        <f t="shared" si="0"/>
        <v>7.67404376</v>
      </c>
      <c r="F11" s="3">
        <f t="shared" si="1"/>
        <v>253243.44408000002</v>
      </c>
      <c r="G11">
        <f>SQRT('Sampling &amp; Combined Error'!$E$14)*$B$2*44/12</f>
        <v>17330.612745158352</v>
      </c>
      <c r="I11">
        <v>107.49299999999999</v>
      </c>
      <c r="J11">
        <v>187.74719999999999</v>
      </c>
      <c r="K11">
        <v>1554.49771021999</v>
      </c>
      <c r="L11">
        <v>1107.5355199999999</v>
      </c>
      <c r="M11">
        <v>6085.8626000000004</v>
      </c>
      <c r="N11">
        <v>3042.9313000000002</v>
      </c>
      <c r="O11">
        <f t="shared" si="2"/>
        <v>-3785.133690219991</v>
      </c>
      <c r="T11" s="123">
        <f t="shared" si="3"/>
        <v>239697.96502506165</v>
      </c>
    </row>
    <row r="12" spans="1:20" x14ac:dyDescent="0.2">
      <c r="A12" s="1">
        <v>2029</v>
      </c>
      <c r="B12" s="1">
        <v>11.240374299999999</v>
      </c>
      <c r="C12" s="1">
        <v>3.5276668</v>
      </c>
      <c r="D12">
        <f t="shared" si="0"/>
        <v>7.7127074999999987</v>
      </c>
      <c r="F12" s="3">
        <f t="shared" si="1"/>
        <v>254519.3475</v>
      </c>
      <c r="G12">
        <f>SQRT('Sampling &amp; Combined Error'!$E$14)*$B$2*44/12</f>
        <v>17330.612745158352</v>
      </c>
      <c r="I12">
        <v>107.49299999999999</v>
      </c>
      <c r="J12">
        <v>187.74719999999999</v>
      </c>
      <c r="K12">
        <v>1554.49771021999</v>
      </c>
      <c r="L12">
        <v>1107.5355199999999</v>
      </c>
      <c r="M12">
        <v>6085.8626000000004</v>
      </c>
      <c r="N12">
        <v>3042.9313000000002</v>
      </c>
      <c r="O12">
        <f t="shared" si="2"/>
        <v>-3785.133690219991</v>
      </c>
      <c r="T12" s="123">
        <f t="shared" si="3"/>
        <v>240973.86844506164</v>
      </c>
    </row>
    <row r="13" spans="1:20" x14ac:dyDescent="0.2">
      <c r="A13" s="1">
        <v>2030</v>
      </c>
      <c r="B13" s="1">
        <v>11.2727872</v>
      </c>
      <c r="C13" s="1">
        <v>3.5314174999999999</v>
      </c>
      <c r="D13">
        <f t="shared" si="0"/>
        <v>7.7413696999999999</v>
      </c>
      <c r="F13" s="3">
        <f t="shared" si="1"/>
        <v>255465.20010000002</v>
      </c>
      <c r="G13">
        <f>SQRT('Sampling &amp; Combined Error'!$E$14)*$B$2*44/12</f>
        <v>17330.612745158352</v>
      </c>
      <c r="I13">
        <v>107.49299999999999</v>
      </c>
      <c r="J13">
        <v>187.74719999999999</v>
      </c>
      <c r="K13">
        <v>1554.49771021999</v>
      </c>
      <c r="L13">
        <v>1107.5355199999999</v>
      </c>
      <c r="M13">
        <v>6085.8626000000004</v>
      </c>
      <c r="N13">
        <v>3042.9313000000002</v>
      </c>
      <c r="O13">
        <f t="shared" si="2"/>
        <v>-3785.133690219991</v>
      </c>
      <c r="T13" s="123">
        <f t="shared" si="3"/>
        <v>241919.72104506165</v>
      </c>
    </row>
    <row r="14" spans="1:20" x14ac:dyDescent="0.2">
      <c r="A14" s="1">
        <v>2031</v>
      </c>
      <c r="B14" s="1">
        <v>11.2970329</v>
      </c>
      <c r="C14" s="1">
        <v>3.5342164999999999</v>
      </c>
      <c r="D14">
        <f t="shared" si="0"/>
        <v>7.7628164000000002</v>
      </c>
      <c r="F14" s="3">
        <f t="shared" si="1"/>
        <v>256172.94120000003</v>
      </c>
      <c r="G14">
        <f>SQRT('Sampling &amp; Combined Error'!$E$14)*$B$2*44/12</f>
        <v>17330.612745158352</v>
      </c>
      <c r="I14">
        <v>107.49299999999999</v>
      </c>
      <c r="J14">
        <v>187.74719999999999</v>
      </c>
      <c r="K14">
        <v>1554.49771021999</v>
      </c>
      <c r="L14">
        <v>1107.5355199999999</v>
      </c>
      <c r="M14">
        <v>6085.8626000000004</v>
      </c>
      <c r="N14">
        <v>3042.9313000000002</v>
      </c>
      <c r="O14">
        <f t="shared" si="2"/>
        <v>-3785.133690219991</v>
      </c>
      <c r="T14" s="123">
        <f t="shared" si="3"/>
        <v>242627.46214506167</v>
      </c>
    </row>
    <row r="15" spans="1:20" x14ac:dyDescent="0.2">
      <c r="A15" s="1">
        <v>2032</v>
      </c>
      <c r="B15" s="1">
        <v>11.315383199999999</v>
      </c>
      <c r="C15" s="1">
        <v>3.5363307800000001</v>
      </c>
      <c r="D15">
        <f t="shared" si="0"/>
        <v>7.7790524199999993</v>
      </c>
      <c r="F15" s="3">
        <f t="shared" si="1"/>
        <v>256708.72985999996</v>
      </c>
      <c r="G15">
        <f>SQRT('Sampling &amp; Combined Error'!$E$14)*$B$2*44/12</f>
        <v>17330.612745158352</v>
      </c>
      <c r="I15">
        <v>107.49299999999999</v>
      </c>
      <c r="J15">
        <v>187.74719999999999</v>
      </c>
      <c r="K15">
        <v>1554.49771021999</v>
      </c>
      <c r="L15">
        <v>1107.5355199999999</v>
      </c>
      <c r="M15">
        <v>6085.8626000000004</v>
      </c>
      <c r="N15">
        <v>3042.9313000000002</v>
      </c>
      <c r="O15">
        <f t="shared" si="2"/>
        <v>-3785.133690219991</v>
      </c>
      <c r="T15" s="123">
        <f t="shared" si="3"/>
        <v>243163.2508050616</v>
      </c>
    </row>
    <row r="16" spans="1:20" x14ac:dyDescent="0.2">
      <c r="A16" s="1">
        <v>2033</v>
      </c>
      <c r="B16" s="1">
        <v>11.3294721</v>
      </c>
      <c r="C16" s="1">
        <v>3.5379513199999999</v>
      </c>
      <c r="D16">
        <f t="shared" si="0"/>
        <v>7.7915207800000008</v>
      </c>
      <c r="F16" s="3">
        <f t="shared" si="1"/>
        <v>257120.18574000002</v>
      </c>
      <c r="G16">
        <f>SQRT('Sampling &amp; Combined Error'!$E$14)*$B$2*44/12</f>
        <v>17330.612745158352</v>
      </c>
      <c r="I16">
        <v>107.49299999999999</v>
      </c>
      <c r="J16">
        <v>187.74719999999999</v>
      </c>
      <c r="K16">
        <v>1554.49771021999</v>
      </c>
      <c r="L16">
        <v>1107.5355199999999</v>
      </c>
      <c r="M16">
        <v>6085.8626000000004</v>
      </c>
      <c r="N16">
        <v>3042.9313000000002</v>
      </c>
      <c r="O16">
        <f t="shared" si="2"/>
        <v>-3785.133690219991</v>
      </c>
      <c r="T16" s="123">
        <f t="shared" si="3"/>
        <v>243574.70668506165</v>
      </c>
    </row>
    <row r="17" spans="1:20" x14ac:dyDescent="0.2">
      <c r="A17" s="1">
        <v>2034</v>
      </c>
      <c r="B17" s="1">
        <v>11.3404758</v>
      </c>
      <c r="C17" s="1">
        <v>3.5392150500000001</v>
      </c>
      <c r="D17">
        <f t="shared" si="0"/>
        <v>7.80126075</v>
      </c>
      <c r="F17" s="3">
        <f t="shared" si="1"/>
        <v>257441.60474999997</v>
      </c>
      <c r="G17">
        <f>SQRT('Sampling &amp; Combined Error'!$E$14)*$B$2*44/12</f>
        <v>17330.612745158352</v>
      </c>
      <c r="I17">
        <v>107.49299999999999</v>
      </c>
      <c r="J17">
        <v>187.74719999999999</v>
      </c>
      <c r="K17">
        <v>1554.49771021999</v>
      </c>
      <c r="L17">
        <v>1107.5355199999999</v>
      </c>
      <c r="M17">
        <v>6085.8626000000004</v>
      </c>
      <c r="N17">
        <v>3042.9313000000002</v>
      </c>
      <c r="O17">
        <f t="shared" si="2"/>
        <v>-3785.133690219991</v>
      </c>
      <c r="T17" s="123">
        <f t="shared" si="3"/>
        <v>243896.12569506161</v>
      </c>
    </row>
    <row r="18" spans="1:20" x14ac:dyDescent="0.2">
      <c r="A18" s="1">
        <v>2035</v>
      </c>
      <c r="B18" s="1">
        <v>11.3492414</v>
      </c>
      <c r="C18" s="1">
        <v>3.5402202699999998</v>
      </c>
      <c r="D18">
        <f t="shared" si="0"/>
        <v>7.8090211300000005</v>
      </c>
      <c r="F18" s="3">
        <f t="shared" si="1"/>
        <v>257697.69729000001</v>
      </c>
      <c r="G18">
        <f>SQRT('Sampling &amp; Combined Error'!$E$14)*$B$2*44/12</f>
        <v>17330.612745158352</v>
      </c>
      <c r="I18">
        <v>107.49299999999999</v>
      </c>
      <c r="J18">
        <v>187.74719999999999</v>
      </c>
      <c r="K18">
        <v>1554.49771021999</v>
      </c>
      <c r="L18">
        <v>1107.5355199999999</v>
      </c>
      <c r="M18">
        <v>6085.8626000000004</v>
      </c>
      <c r="N18">
        <v>3042.9313000000002</v>
      </c>
      <c r="O18">
        <f t="shared" si="2"/>
        <v>-3785.133690219991</v>
      </c>
      <c r="T18" s="123">
        <f t="shared" si="3"/>
        <v>244152.21823506165</v>
      </c>
    </row>
  </sheetData>
  <mergeCells count="2">
    <mergeCell ref="F3:G3"/>
    <mergeCell ref="I3:O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7ED3B-B196-F14D-93F7-E323B63B4087}">
  <dimension ref="A1:AN250"/>
  <sheetViews>
    <sheetView topLeftCell="A5" zoomScaleNormal="100" workbookViewId="0">
      <selection activeCell="A15" sqref="A15"/>
    </sheetView>
  </sheetViews>
  <sheetFormatPr baseColWidth="10" defaultColWidth="19.33203125" defaultRowHeight="16" x14ac:dyDescent="0.2"/>
  <cols>
    <col min="1" max="1" width="40.83203125" customWidth="1"/>
    <col min="2" max="2" width="19" customWidth="1"/>
    <col min="4" max="4" width="35.33203125" customWidth="1"/>
    <col min="9" max="10" width="19.33203125" style="6"/>
    <col min="11" max="11" width="19.33203125" style="7"/>
    <col min="12" max="12" width="16.33203125" customWidth="1"/>
    <col min="13" max="13" width="29.83203125" customWidth="1"/>
    <col min="15" max="15" width="29.6640625" style="6" customWidth="1"/>
    <col min="16" max="16" width="18.33203125" style="8" customWidth="1"/>
    <col min="17" max="17" width="16.83203125" style="8" customWidth="1"/>
    <col min="18" max="18" width="19.33203125" style="8"/>
    <col min="26" max="26" width="19.33203125" style="6"/>
    <col min="30" max="30" width="51.6640625" customWidth="1"/>
  </cols>
  <sheetData>
    <row r="1" spans="1:40" ht="34" customHeight="1" x14ac:dyDescent="0.2">
      <c r="A1" s="5" t="s">
        <v>7</v>
      </c>
    </row>
    <row r="2" spans="1:40" ht="32" customHeight="1" x14ac:dyDescent="0.3">
      <c r="A2" s="9" t="s">
        <v>8</v>
      </c>
      <c r="AA2" s="9"/>
      <c r="AE2" s="9"/>
      <c r="AG2" s="9" t="s">
        <v>9</v>
      </c>
    </row>
    <row r="3" spans="1:40" s="19" customFormat="1" ht="68" x14ac:dyDescent="0.2">
      <c r="A3" s="10" t="s">
        <v>10</v>
      </c>
      <c r="B3" s="10" t="s">
        <v>11</v>
      </c>
      <c r="C3" s="10" t="s">
        <v>12</v>
      </c>
      <c r="D3" s="10" t="s">
        <v>13</v>
      </c>
      <c r="E3" s="10" t="s">
        <v>14</v>
      </c>
      <c r="F3" s="10" t="s">
        <v>15</v>
      </c>
      <c r="G3" s="11" t="s">
        <v>16</v>
      </c>
      <c r="H3" s="11" t="s">
        <v>17</v>
      </c>
      <c r="I3" s="10" t="s">
        <v>18</v>
      </c>
      <c r="J3" s="12" t="s">
        <v>19</v>
      </c>
      <c r="K3" s="12" t="s">
        <v>20</v>
      </c>
      <c r="L3" s="10" t="s">
        <v>21</v>
      </c>
      <c r="M3" s="10" t="s">
        <v>22</v>
      </c>
      <c r="N3" s="10" t="s">
        <v>23</v>
      </c>
      <c r="O3" s="13" t="s">
        <v>24</v>
      </c>
      <c r="P3" s="10" t="s">
        <v>25</v>
      </c>
      <c r="Q3" s="10" t="s">
        <v>26</v>
      </c>
      <c r="R3" s="10" t="s">
        <v>27</v>
      </c>
      <c r="S3" s="13" t="s">
        <v>28</v>
      </c>
      <c r="T3" s="11" t="s">
        <v>29</v>
      </c>
      <c r="U3" s="14" t="s">
        <v>30</v>
      </c>
      <c r="V3" s="14" t="s">
        <v>31</v>
      </c>
      <c r="W3" s="14" t="s">
        <v>32</v>
      </c>
      <c r="X3" s="14" t="s">
        <v>33</v>
      </c>
      <c r="Y3" s="10" t="s">
        <v>34</v>
      </c>
      <c r="Z3" s="10" t="s">
        <v>35</v>
      </c>
      <c r="AA3" s="15" t="s">
        <v>36</v>
      </c>
      <c r="AB3" s="10" t="s">
        <v>37</v>
      </c>
      <c r="AC3" s="10" t="s">
        <v>38</v>
      </c>
      <c r="AD3" s="10" t="s">
        <v>39</v>
      </c>
      <c r="AE3" s="16" t="s">
        <v>40</v>
      </c>
      <c r="AF3" s="16" t="s">
        <v>41</v>
      </c>
      <c r="AG3" s="17" t="s">
        <v>42</v>
      </c>
      <c r="AH3" s="18" t="s">
        <v>43</v>
      </c>
      <c r="AI3" s="18" t="s">
        <v>44</v>
      </c>
      <c r="AJ3" s="18" t="s">
        <v>45</v>
      </c>
      <c r="AK3" s="18" t="s">
        <v>46</v>
      </c>
      <c r="AL3" s="18" t="s">
        <v>47</v>
      </c>
      <c r="AM3" s="18" t="s">
        <v>48</v>
      </c>
      <c r="AN3" s="18" t="s">
        <v>49</v>
      </c>
    </row>
    <row r="4" spans="1:40" s="19" customFormat="1" ht="16" customHeight="1" x14ac:dyDescent="0.2">
      <c r="A4" s="20" t="s">
        <v>50</v>
      </c>
      <c r="B4" s="20" t="s">
        <v>51</v>
      </c>
      <c r="C4" s="20" t="s">
        <v>52</v>
      </c>
      <c r="D4" s="21" t="s">
        <v>53</v>
      </c>
      <c r="E4" s="22" t="s">
        <v>54</v>
      </c>
      <c r="F4" s="20" t="s">
        <v>55</v>
      </c>
      <c r="G4" s="20">
        <v>31.215972000000001</v>
      </c>
      <c r="H4" s="20">
        <v>70.969943999999998</v>
      </c>
      <c r="I4" s="23">
        <v>38672</v>
      </c>
      <c r="J4" s="23">
        <v>39187</v>
      </c>
      <c r="K4" s="20" t="s">
        <v>56</v>
      </c>
      <c r="L4" s="20">
        <v>2</v>
      </c>
      <c r="M4" s="24" t="s">
        <v>57</v>
      </c>
      <c r="N4" s="25">
        <v>0.48</v>
      </c>
      <c r="O4" s="26">
        <f>N4/1.724</f>
        <v>0.27842227378190254</v>
      </c>
      <c r="P4" s="26">
        <f t="shared" ref="P4:P10" si="0">10000*W4*U4*(O4/100)</f>
        <v>12.445475638051043</v>
      </c>
      <c r="Q4" s="24" t="s">
        <v>58</v>
      </c>
      <c r="R4" s="27">
        <v>0.46</v>
      </c>
      <c r="S4" s="26">
        <f>R4/1.724</f>
        <v>0.26682134570765664</v>
      </c>
      <c r="T4" s="26">
        <f t="shared" ref="T4:T10" si="1">10000*U4*X4*(S4/100)</f>
        <v>11.206496519721579</v>
      </c>
      <c r="U4" s="20">
        <v>0.3</v>
      </c>
      <c r="V4" s="20" t="s">
        <v>59</v>
      </c>
      <c r="W4" s="20">
        <v>1.49</v>
      </c>
      <c r="X4" s="20">
        <v>1.4</v>
      </c>
      <c r="Y4" s="28" t="s">
        <v>60</v>
      </c>
      <c r="Z4" s="29"/>
      <c r="AA4" s="30" t="s">
        <v>61</v>
      </c>
      <c r="AB4" s="31">
        <v>16</v>
      </c>
      <c r="AC4" s="28" t="s">
        <v>60</v>
      </c>
      <c r="AD4" s="32" t="s">
        <v>62</v>
      </c>
      <c r="AE4" s="22">
        <v>4.6669999999999998</v>
      </c>
      <c r="AF4" s="22">
        <v>3</v>
      </c>
      <c r="AG4" s="33">
        <f t="shared" ref="AG4:AG16" si="2">T4-P4</f>
        <v>-1.2389791183294641</v>
      </c>
      <c r="AH4" s="34">
        <f t="shared" ref="AH4:AH16" si="3">AG4/L4</f>
        <v>-0.61948955916473203</v>
      </c>
      <c r="AI4">
        <v>12.0021522190686</v>
      </c>
      <c r="AJ4" s="34">
        <f t="shared" ref="AJ4:AJ16" si="4">AI4-P4</f>
        <v>-0.44332341898244287</v>
      </c>
      <c r="AK4" s="34">
        <f t="shared" ref="AK4:AK16" si="5">AJ4/L4</f>
        <v>-0.22166170949122144</v>
      </c>
      <c r="AL4" s="35">
        <f>AJ4-AG4</f>
        <v>0.79565569934702118</v>
      </c>
      <c r="AM4" s="35">
        <f>AK4-AH4</f>
        <v>0.39782784967351059</v>
      </c>
      <c r="AN4" s="35">
        <f t="shared" ref="AN4:AN16" si="6">AM4-AVERAGE($AM$4:$AM$16)</f>
        <v>0.31709131289591275</v>
      </c>
    </row>
    <row r="5" spans="1:40" ht="16" customHeight="1" x14ac:dyDescent="0.2">
      <c r="A5" s="20" t="s">
        <v>63</v>
      </c>
      <c r="B5" s="20" t="s">
        <v>64</v>
      </c>
      <c r="C5" s="20" t="s">
        <v>65</v>
      </c>
      <c r="D5" s="21" t="s">
        <v>53</v>
      </c>
      <c r="E5" s="22" t="s">
        <v>66</v>
      </c>
      <c r="F5" s="20" t="s">
        <v>67</v>
      </c>
      <c r="G5" s="20">
        <v>-9.0791999999999998E-2</v>
      </c>
      <c r="H5" s="20">
        <v>34.685281000000003</v>
      </c>
      <c r="I5" s="23">
        <v>41334</v>
      </c>
      <c r="J5" s="23">
        <v>41517</v>
      </c>
      <c r="K5" s="20" t="s">
        <v>68</v>
      </c>
      <c r="L5" s="20">
        <v>1</v>
      </c>
      <c r="M5" s="20"/>
      <c r="N5" s="36"/>
      <c r="O5" s="37">
        <v>1.32</v>
      </c>
      <c r="P5" s="26">
        <f t="shared" si="0"/>
        <v>34.214399999999998</v>
      </c>
      <c r="Q5" s="38"/>
      <c r="R5" s="39"/>
      <c r="S5" s="40">
        <v>1.325</v>
      </c>
      <c r="T5" s="26">
        <f t="shared" si="1"/>
        <v>34.344000000000001</v>
      </c>
      <c r="U5" s="20">
        <v>0.2</v>
      </c>
      <c r="V5" s="20" t="s">
        <v>69</v>
      </c>
      <c r="W5" s="41">
        <v>1.296</v>
      </c>
      <c r="X5" s="41">
        <v>1.296</v>
      </c>
      <c r="Y5" s="42" t="s">
        <v>70</v>
      </c>
      <c r="Z5" s="29"/>
      <c r="AA5" s="30" t="s">
        <v>71</v>
      </c>
      <c r="AB5" s="31">
        <v>66.88</v>
      </c>
      <c r="AC5" s="28" t="s">
        <v>60</v>
      </c>
      <c r="AD5" s="43" t="s">
        <v>72</v>
      </c>
      <c r="AE5" s="22">
        <v>2.3419376592898402</v>
      </c>
      <c r="AF5" s="22">
        <v>2</v>
      </c>
      <c r="AG5" s="33">
        <f t="shared" si="2"/>
        <v>0.12960000000000349</v>
      </c>
      <c r="AH5" s="34">
        <f t="shared" si="3"/>
        <v>0.12960000000000349</v>
      </c>
      <c r="AI5">
        <v>33.403199072060197</v>
      </c>
      <c r="AJ5" s="34">
        <f t="shared" si="4"/>
        <v>-0.81120092793980092</v>
      </c>
      <c r="AK5" s="34">
        <f t="shared" si="5"/>
        <v>-0.81120092793980092</v>
      </c>
      <c r="AL5" s="35">
        <f t="shared" ref="AL5:AM16" si="7">AJ5-AG5</f>
        <v>-0.94080092793980441</v>
      </c>
      <c r="AM5" s="35">
        <f t="shared" si="7"/>
        <v>-0.94080092793980441</v>
      </c>
      <c r="AN5" s="35">
        <f t="shared" si="6"/>
        <v>-1.0215374647174023</v>
      </c>
    </row>
    <row r="6" spans="1:40" ht="16" customHeight="1" x14ac:dyDescent="0.2">
      <c r="A6" s="20" t="s">
        <v>63</v>
      </c>
      <c r="B6" s="20" t="s">
        <v>64</v>
      </c>
      <c r="C6" s="20" t="s">
        <v>73</v>
      </c>
      <c r="D6" s="21" t="s">
        <v>53</v>
      </c>
      <c r="E6" s="22" t="s">
        <v>74</v>
      </c>
      <c r="F6" s="20" t="s">
        <v>67</v>
      </c>
      <c r="G6" s="20">
        <v>0.281449</v>
      </c>
      <c r="H6" s="20">
        <v>34.767664000000003</v>
      </c>
      <c r="I6" s="23">
        <v>41699</v>
      </c>
      <c r="J6" s="23">
        <v>41882</v>
      </c>
      <c r="K6" s="20" t="s">
        <v>68</v>
      </c>
      <c r="L6" s="20">
        <v>1</v>
      </c>
      <c r="M6" s="20"/>
      <c r="N6" s="36"/>
      <c r="O6" s="37">
        <v>2.66</v>
      </c>
      <c r="P6" s="26">
        <f t="shared" si="0"/>
        <v>70.543199999999999</v>
      </c>
      <c r="Q6" s="20"/>
      <c r="R6" s="36"/>
      <c r="S6" s="40">
        <v>2.54</v>
      </c>
      <c r="T6" s="26">
        <f t="shared" si="1"/>
        <v>67.360799999999998</v>
      </c>
      <c r="U6" s="20">
        <v>0.2</v>
      </c>
      <c r="V6" s="20" t="s">
        <v>69</v>
      </c>
      <c r="W6" s="41">
        <v>1.3260000000000001</v>
      </c>
      <c r="X6" s="41">
        <v>1.3260000000000001</v>
      </c>
      <c r="Y6" s="44" t="s">
        <v>70</v>
      </c>
      <c r="Z6" s="29"/>
      <c r="AA6" s="30" t="s">
        <v>71</v>
      </c>
      <c r="AB6" s="31">
        <v>18.16</v>
      </c>
      <c r="AC6" s="28" t="s">
        <v>60</v>
      </c>
      <c r="AD6" s="45" t="s">
        <v>72</v>
      </c>
      <c r="AE6" s="22">
        <v>2.3419376592898402</v>
      </c>
      <c r="AF6" s="22">
        <v>2</v>
      </c>
      <c r="AG6" s="33">
        <f t="shared" si="2"/>
        <v>-3.1824000000000012</v>
      </c>
      <c r="AH6" s="34">
        <f t="shared" si="3"/>
        <v>-3.1824000000000012</v>
      </c>
      <c r="AI6">
        <v>67.537859263138301</v>
      </c>
      <c r="AJ6" s="34">
        <f t="shared" si="4"/>
        <v>-3.0053407368616973</v>
      </c>
      <c r="AK6" s="34">
        <f t="shared" si="5"/>
        <v>-3.0053407368616973</v>
      </c>
      <c r="AL6" s="35">
        <f t="shared" si="7"/>
        <v>0.17705926313830389</v>
      </c>
      <c r="AM6" s="35">
        <f t="shared" si="7"/>
        <v>0.17705926313830389</v>
      </c>
      <c r="AN6" s="35">
        <f t="shared" si="6"/>
        <v>9.6322726360706032E-2</v>
      </c>
    </row>
    <row r="7" spans="1:40" ht="16" customHeight="1" x14ac:dyDescent="0.2">
      <c r="A7" s="22" t="s">
        <v>75</v>
      </c>
      <c r="B7" s="20" t="s">
        <v>76</v>
      </c>
      <c r="C7" s="20" t="s">
        <v>77</v>
      </c>
      <c r="D7" s="21" t="s">
        <v>53</v>
      </c>
      <c r="E7" s="20" t="s">
        <v>78</v>
      </c>
      <c r="F7" s="20" t="s">
        <v>79</v>
      </c>
      <c r="G7" s="20">
        <v>11.482675</v>
      </c>
      <c r="H7" s="20">
        <v>77.136517999999995</v>
      </c>
      <c r="I7" s="23">
        <v>40299</v>
      </c>
      <c r="J7" s="23">
        <v>40663</v>
      </c>
      <c r="K7" s="20" t="s">
        <v>80</v>
      </c>
      <c r="L7" s="20">
        <v>1</v>
      </c>
      <c r="M7" s="20"/>
      <c r="N7" s="36"/>
      <c r="O7" s="40">
        <v>0.51</v>
      </c>
      <c r="P7" s="26">
        <f t="shared" si="0"/>
        <v>13.770000000000001</v>
      </c>
      <c r="Q7" s="20"/>
      <c r="R7" s="36"/>
      <c r="S7" s="36">
        <v>0.5</v>
      </c>
      <c r="T7" s="26">
        <f t="shared" si="1"/>
        <v>12.8</v>
      </c>
      <c r="U7" s="20">
        <v>0.2</v>
      </c>
      <c r="V7" s="20" t="s">
        <v>69</v>
      </c>
      <c r="W7" s="20">
        <v>1.35</v>
      </c>
      <c r="X7" s="20">
        <v>1.28</v>
      </c>
      <c r="Y7" s="44" t="s">
        <v>60</v>
      </c>
      <c r="Z7" s="29"/>
      <c r="AA7" s="30" t="s">
        <v>81</v>
      </c>
      <c r="AB7" s="46">
        <v>35.704999999999998</v>
      </c>
      <c r="AC7" s="28" t="s">
        <v>70</v>
      </c>
      <c r="AD7" s="47" t="s">
        <v>82</v>
      </c>
      <c r="AE7" s="22">
        <v>4.6669999999999998</v>
      </c>
      <c r="AF7" s="22">
        <v>1</v>
      </c>
      <c r="AG7" s="33">
        <f t="shared" si="2"/>
        <v>-0.97000000000000064</v>
      </c>
      <c r="AH7" s="34">
        <f t="shared" si="3"/>
        <v>-0.97000000000000064</v>
      </c>
      <c r="AI7">
        <v>13.042309807725299</v>
      </c>
      <c r="AJ7" s="34">
        <f t="shared" si="4"/>
        <v>-0.72769019227470189</v>
      </c>
      <c r="AK7" s="34">
        <f t="shared" si="5"/>
        <v>-0.72769019227470189</v>
      </c>
      <c r="AL7" s="35">
        <f t="shared" si="7"/>
        <v>0.24230980772529875</v>
      </c>
      <c r="AM7" s="35">
        <f t="shared" si="7"/>
        <v>0.24230980772529875</v>
      </c>
      <c r="AN7" s="35">
        <f t="shared" si="6"/>
        <v>0.16157327094770091</v>
      </c>
    </row>
    <row r="8" spans="1:40" ht="16" customHeight="1" x14ac:dyDescent="0.2">
      <c r="A8" s="20" t="s">
        <v>83</v>
      </c>
      <c r="B8" s="20" t="s">
        <v>84</v>
      </c>
      <c r="C8" s="20" t="s">
        <v>85</v>
      </c>
      <c r="D8" s="21" t="s">
        <v>53</v>
      </c>
      <c r="E8" s="20" t="s">
        <v>86</v>
      </c>
      <c r="F8" s="20" t="s">
        <v>67</v>
      </c>
      <c r="G8" s="20">
        <v>-1.0891109999999999</v>
      </c>
      <c r="H8" s="20">
        <v>37.009777999999997</v>
      </c>
      <c r="I8" s="23">
        <v>42309</v>
      </c>
      <c r="J8" s="23">
        <v>42917</v>
      </c>
      <c r="K8" s="20" t="s">
        <v>56</v>
      </c>
      <c r="L8" s="20">
        <v>2</v>
      </c>
      <c r="M8" s="20" t="s">
        <v>87</v>
      </c>
      <c r="N8" s="25">
        <v>14.45</v>
      </c>
      <c r="O8" s="36">
        <f>N8/10</f>
        <v>1.4449999999999998</v>
      </c>
      <c r="P8" s="26">
        <f t="shared" si="0"/>
        <v>62.857499999999987</v>
      </c>
      <c r="Q8" s="20" t="s">
        <v>87</v>
      </c>
      <c r="R8" s="36">
        <v>14</v>
      </c>
      <c r="S8" s="36">
        <f>R8/10</f>
        <v>1.4</v>
      </c>
      <c r="T8" s="26">
        <f t="shared" si="1"/>
        <v>61.949999999999996</v>
      </c>
      <c r="U8" s="20">
        <v>0.3</v>
      </c>
      <c r="V8" s="20" t="s">
        <v>59</v>
      </c>
      <c r="W8" s="20">
        <v>1.45</v>
      </c>
      <c r="X8" s="20">
        <v>1.4750000000000001</v>
      </c>
      <c r="Y8" s="28" t="s">
        <v>60</v>
      </c>
      <c r="Z8" s="29"/>
      <c r="AA8" s="30" t="s">
        <v>71</v>
      </c>
      <c r="AB8" s="31">
        <v>58.3</v>
      </c>
      <c r="AC8" s="28" t="s">
        <v>60</v>
      </c>
      <c r="AD8" t="s">
        <v>88</v>
      </c>
      <c r="AE8" s="22">
        <v>4.6669999999999998</v>
      </c>
      <c r="AF8" s="22">
        <v>1</v>
      </c>
      <c r="AG8" s="33">
        <f t="shared" si="2"/>
        <v>-0.90749999999999176</v>
      </c>
      <c r="AH8" s="34">
        <f t="shared" si="3"/>
        <v>-0.45374999999999588</v>
      </c>
      <c r="AI8">
        <v>62.439632956043198</v>
      </c>
      <c r="AJ8" s="34">
        <f t="shared" si="4"/>
        <v>-0.41786704395678953</v>
      </c>
      <c r="AK8" s="34">
        <f t="shared" si="5"/>
        <v>-0.20893352197839477</v>
      </c>
      <c r="AL8" s="35">
        <f t="shared" si="7"/>
        <v>0.48963295604320223</v>
      </c>
      <c r="AM8" s="35">
        <f t="shared" si="7"/>
        <v>0.24481647802160111</v>
      </c>
      <c r="AN8" s="35">
        <f t="shared" si="6"/>
        <v>0.16407994124400327</v>
      </c>
    </row>
    <row r="9" spans="1:40" s="49" customFormat="1" ht="16" customHeight="1" x14ac:dyDescent="0.2">
      <c r="A9" s="20" t="s">
        <v>89</v>
      </c>
      <c r="B9" s="20" t="s">
        <v>90</v>
      </c>
      <c r="C9" s="20" t="s">
        <v>91</v>
      </c>
      <c r="D9" s="21" t="s">
        <v>53</v>
      </c>
      <c r="E9" s="20" t="s">
        <v>92</v>
      </c>
      <c r="F9" s="20" t="s">
        <v>79</v>
      </c>
      <c r="G9" s="20">
        <v>28.5</v>
      </c>
      <c r="H9" s="20">
        <v>79.5</v>
      </c>
      <c r="I9" s="23">
        <v>40817</v>
      </c>
      <c r="J9" s="23">
        <v>41365</v>
      </c>
      <c r="K9" s="20" t="s">
        <v>56</v>
      </c>
      <c r="L9" s="20">
        <v>2</v>
      </c>
      <c r="M9" s="20"/>
      <c r="N9" s="36"/>
      <c r="O9" s="36">
        <v>0.73</v>
      </c>
      <c r="P9" s="26">
        <f t="shared" si="0"/>
        <v>15.439500000000001</v>
      </c>
      <c r="Q9" s="20"/>
      <c r="R9" s="36"/>
      <c r="S9" s="36">
        <v>0.76</v>
      </c>
      <c r="T9" s="26">
        <f t="shared" si="1"/>
        <v>15.504000000000001</v>
      </c>
      <c r="U9" s="20">
        <v>0.15</v>
      </c>
      <c r="V9" s="20" t="s">
        <v>93</v>
      </c>
      <c r="W9" s="20">
        <v>1.41</v>
      </c>
      <c r="X9" s="20">
        <v>1.36</v>
      </c>
      <c r="Y9" s="28" t="s">
        <v>60</v>
      </c>
      <c r="Z9" s="29" t="s">
        <v>94</v>
      </c>
      <c r="AA9" s="30" t="s">
        <v>81</v>
      </c>
      <c r="AB9" s="46">
        <v>28.4444444444444</v>
      </c>
      <c r="AC9" s="48" t="s">
        <v>70</v>
      </c>
      <c r="AD9" s="28" t="s">
        <v>95</v>
      </c>
      <c r="AE9" s="22">
        <v>4.6669999999999998</v>
      </c>
      <c r="AF9" s="22">
        <v>1</v>
      </c>
      <c r="AG9" s="33">
        <f t="shared" si="2"/>
        <v>6.4500000000000668E-2</v>
      </c>
      <c r="AH9" s="34">
        <f t="shared" si="3"/>
        <v>3.2250000000000334E-2</v>
      </c>
      <c r="AI9">
        <v>14.3515211352201</v>
      </c>
      <c r="AJ9" s="34">
        <f t="shared" si="4"/>
        <v>-1.0879788647799007</v>
      </c>
      <c r="AK9" s="34">
        <f t="shared" si="5"/>
        <v>-0.54398943238995034</v>
      </c>
      <c r="AL9" s="35">
        <f t="shared" si="7"/>
        <v>-1.1524788647799014</v>
      </c>
      <c r="AM9" s="35">
        <f t="shared" si="7"/>
        <v>-0.57623943238995068</v>
      </c>
      <c r="AN9" s="35">
        <f t="shared" si="6"/>
        <v>-0.65697596916754852</v>
      </c>
    </row>
    <row r="10" spans="1:40" s="49" customFormat="1" ht="16" customHeight="1" x14ac:dyDescent="0.2">
      <c r="A10" s="20" t="s">
        <v>96</v>
      </c>
      <c r="B10" s="20" t="s">
        <v>97</v>
      </c>
      <c r="C10" s="20" t="s">
        <v>98</v>
      </c>
      <c r="D10" s="21" t="s">
        <v>53</v>
      </c>
      <c r="E10" s="20" t="s">
        <v>99</v>
      </c>
      <c r="F10" s="20" t="s">
        <v>55</v>
      </c>
      <c r="G10" s="20">
        <v>37.627827000000003</v>
      </c>
      <c r="H10" s="20">
        <v>13.715096000000001</v>
      </c>
      <c r="I10" s="23">
        <v>35796</v>
      </c>
      <c r="J10" s="23">
        <v>40330</v>
      </c>
      <c r="K10" s="50" t="s">
        <v>56</v>
      </c>
      <c r="L10" s="21">
        <v>12</v>
      </c>
      <c r="M10" s="20" t="s">
        <v>87</v>
      </c>
      <c r="N10" s="36">
        <v>16.399999999999999</v>
      </c>
      <c r="O10" s="36">
        <f>N10/10</f>
        <v>1.64</v>
      </c>
      <c r="P10" s="26">
        <f t="shared" si="0"/>
        <v>71.733599999999996</v>
      </c>
      <c r="Q10" s="20" t="s">
        <v>87</v>
      </c>
      <c r="R10" s="36">
        <v>16.14</v>
      </c>
      <c r="S10" s="36">
        <f>R10/10</f>
        <v>1.6140000000000001</v>
      </c>
      <c r="T10" s="26">
        <f t="shared" si="1"/>
        <v>70.596360000000004</v>
      </c>
      <c r="U10" s="20">
        <v>0.3</v>
      </c>
      <c r="V10" s="20" t="s">
        <v>59</v>
      </c>
      <c r="W10" s="20">
        <v>1.458</v>
      </c>
      <c r="X10" s="20">
        <v>1.458</v>
      </c>
      <c r="Y10" s="28" t="s">
        <v>70</v>
      </c>
      <c r="Z10" s="29"/>
      <c r="AA10" s="30" t="s">
        <v>81</v>
      </c>
      <c r="AB10" s="51">
        <v>57.7</v>
      </c>
      <c r="AC10" s="28" t="s">
        <v>60</v>
      </c>
      <c r="AD10" s="52" t="s">
        <v>100</v>
      </c>
      <c r="AE10" s="22">
        <v>4.6669999999999998</v>
      </c>
      <c r="AF10" s="22">
        <v>1</v>
      </c>
      <c r="AG10" s="33">
        <f t="shared" si="2"/>
        <v>-1.1372399999999914</v>
      </c>
      <c r="AH10" s="34">
        <f t="shared" si="3"/>
        <v>-9.4769999999999285E-2</v>
      </c>
      <c r="AI10">
        <v>69.952499191447203</v>
      </c>
      <c r="AJ10" s="34">
        <f t="shared" si="4"/>
        <v>-1.7811008085527931</v>
      </c>
      <c r="AK10" s="34">
        <f t="shared" si="5"/>
        <v>-0.14842506737939942</v>
      </c>
      <c r="AL10" s="35">
        <f t="shared" si="7"/>
        <v>-0.6438608085528017</v>
      </c>
      <c r="AM10" s="35">
        <f t="shared" si="7"/>
        <v>-5.3655067379400137E-2</v>
      </c>
      <c r="AN10" s="35">
        <f t="shared" si="6"/>
        <v>-0.134391604156998</v>
      </c>
    </row>
    <row r="11" spans="1:40" s="49" customFormat="1" ht="16" customHeight="1" x14ac:dyDescent="0.2">
      <c r="A11" s="20" t="s">
        <v>101</v>
      </c>
      <c r="B11" s="20" t="s">
        <v>102</v>
      </c>
      <c r="C11" s="20" t="s">
        <v>103</v>
      </c>
      <c r="D11" s="21" t="s">
        <v>53</v>
      </c>
      <c r="E11" s="22" t="s">
        <v>104</v>
      </c>
      <c r="F11" s="20" t="s">
        <v>67</v>
      </c>
      <c r="G11" s="20">
        <v>-19.582999999999998</v>
      </c>
      <c r="H11" s="20">
        <v>31.233000000000001</v>
      </c>
      <c r="I11" s="23">
        <v>36800</v>
      </c>
      <c r="J11" s="23">
        <v>37530</v>
      </c>
      <c r="K11" s="20" t="s">
        <v>105</v>
      </c>
      <c r="L11" s="20">
        <v>2</v>
      </c>
      <c r="M11" s="20"/>
      <c r="N11" s="36"/>
      <c r="O11" s="40"/>
      <c r="P11" s="26">
        <v>16.899999999999999</v>
      </c>
      <c r="Q11" s="20"/>
      <c r="R11" s="36"/>
      <c r="S11" s="26"/>
      <c r="T11" s="26">
        <v>16.8</v>
      </c>
      <c r="U11" s="20">
        <v>0.2</v>
      </c>
      <c r="V11" s="20" t="s">
        <v>59</v>
      </c>
      <c r="W11" s="20">
        <v>1.4</v>
      </c>
      <c r="X11" s="20">
        <v>1.43</v>
      </c>
      <c r="Y11" s="44" t="s">
        <v>60</v>
      </c>
      <c r="Z11" s="29"/>
      <c r="AA11" s="30" t="s">
        <v>106</v>
      </c>
      <c r="AB11" s="31">
        <v>22</v>
      </c>
      <c r="AC11" s="28" t="s">
        <v>60</v>
      </c>
      <c r="AD11" s="53" t="s">
        <v>107</v>
      </c>
      <c r="AE11" s="22">
        <v>4.6669999999999998</v>
      </c>
      <c r="AF11" s="22">
        <v>3</v>
      </c>
      <c r="AG11" s="33">
        <f t="shared" si="2"/>
        <v>-9.9999999999997868E-2</v>
      </c>
      <c r="AH11" s="34">
        <f t="shared" si="3"/>
        <v>-4.9999999999998934E-2</v>
      </c>
      <c r="AI11">
        <v>16.534385109090799</v>
      </c>
      <c r="AJ11" s="34">
        <f t="shared" si="4"/>
        <v>-0.36561489090919963</v>
      </c>
      <c r="AK11" s="34">
        <f t="shared" si="5"/>
        <v>-0.18280744545459982</v>
      </c>
      <c r="AL11" s="35">
        <f t="shared" si="7"/>
        <v>-0.26561489090920176</v>
      </c>
      <c r="AM11" s="35">
        <f t="shared" si="7"/>
        <v>-0.13280744545460088</v>
      </c>
      <c r="AN11" s="35">
        <f t="shared" si="6"/>
        <v>-0.21354398223219873</v>
      </c>
    </row>
    <row r="12" spans="1:40" s="49" customFormat="1" ht="16" customHeight="1" x14ac:dyDescent="0.2">
      <c r="A12" s="20" t="s">
        <v>108</v>
      </c>
      <c r="B12" s="20" t="s">
        <v>109</v>
      </c>
      <c r="C12" s="20" t="s">
        <v>110</v>
      </c>
      <c r="D12" s="21" t="s">
        <v>53</v>
      </c>
      <c r="E12" s="22" t="s">
        <v>111</v>
      </c>
      <c r="F12" s="20" t="s">
        <v>79</v>
      </c>
      <c r="G12" s="20">
        <v>13.0785</v>
      </c>
      <c r="H12" s="20">
        <v>77.570115999999999</v>
      </c>
      <c r="I12" s="23">
        <v>39288</v>
      </c>
      <c r="J12" s="23">
        <v>39387</v>
      </c>
      <c r="K12" s="20" t="s">
        <v>68</v>
      </c>
      <c r="L12" s="20">
        <v>1</v>
      </c>
      <c r="M12" s="20"/>
      <c r="N12" s="36"/>
      <c r="O12" s="54">
        <v>0.56000000000000005</v>
      </c>
      <c r="P12" s="26">
        <f>10000*W12*U12*(O12/100)</f>
        <v>11.491200000000001</v>
      </c>
      <c r="Q12" s="20"/>
      <c r="R12" s="36"/>
      <c r="S12" s="27">
        <v>0.54</v>
      </c>
      <c r="T12" s="26">
        <f>10000*U12*X12*(S12/100)</f>
        <v>11.0808</v>
      </c>
      <c r="U12" s="20">
        <v>0.15</v>
      </c>
      <c r="V12" s="20" t="s">
        <v>59</v>
      </c>
      <c r="W12" s="55">
        <v>1.3680000000000001</v>
      </c>
      <c r="X12" s="55">
        <v>1.3680000000000001</v>
      </c>
      <c r="Y12" s="28" t="s">
        <v>70</v>
      </c>
      <c r="Z12" s="29"/>
      <c r="AA12" s="30" t="s">
        <v>106</v>
      </c>
      <c r="AB12" s="31">
        <v>17.399999999999999</v>
      </c>
      <c r="AC12" s="28" t="s">
        <v>60</v>
      </c>
      <c r="AD12" t="s">
        <v>112</v>
      </c>
      <c r="AE12" s="22">
        <v>4.6669999999999998</v>
      </c>
      <c r="AF12" s="22">
        <v>1</v>
      </c>
      <c r="AG12" s="33">
        <f t="shared" si="2"/>
        <v>-0.41040000000000099</v>
      </c>
      <c r="AH12" s="34">
        <f t="shared" si="3"/>
        <v>-0.41040000000000099</v>
      </c>
      <c r="AI12">
        <v>11.3009976435004</v>
      </c>
      <c r="AJ12" s="34">
        <f t="shared" si="4"/>
        <v>-0.19020235649960071</v>
      </c>
      <c r="AK12" s="34">
        <f t="shared" si="5"/>
        <v>-0.19020235649960071</v>
      </c>
      <c r="AL12" s="35">
        <f t="shared" si="7"/>
        <v>0.22019764350040028</v>
      </c>
      <c r="AM12" s="35">
        <f t="shared" si="7"/>
        <v>0.22019764350040028</v>
      </c>
      <c r="AN12" s="35">
        <f t="shared" si="6"/>
        <v>0.13946110672280243</v>
      </c>
    </row>
    <row r="13" spans="1:40" s="56" customFormat="1" ht="16" customHeight="1" x14ac:dyDescent="0.2">
      <c r="A13" s="20" t="s">
        <v>113</v>
      </c>
      <c r="B13" s="20" t="s">
        <v>114</v>
      </c>
      <c r="C13" s="20" t="s">
        <v>115</v>
      </c>
      <c r="D13" s="21" t="s">
        <v>53</v>
      </c>
      <c r="E13" s="20" t="s">
        <v>116</v>
      </c>
      <c r="F13" s="20" t="s">
        <v>55</v>
      </c>
      <c r="G13" s="20">
        <v>-37.865299999999998</v>
      </c>
      <c r="H13" s="20">
        <v>-63.022199999999998</v>
      </c>
      <c r="I13" s="23">
        <v>30437</v>
      </c>
      <c r="J13" s="23">
        <v>35034</v>
      </c>
      <c r="K13" s="20" t="s">
        <v>56</v>
      </c>
      <c r="L13" s="20">
        <v>12</v>
      </c>
      <c r="M13" s="20"/>
      <c r="N13" s="36"/>
      <c r="O13" s="36">
        <v>1.28</v>
      </c>
      <c r="P13" s="26">
        <f>10000*W13*U13*(O13/100)</f>
        <v>26.495999999999995</v>
      </c>
      <c r="Q13" s="20"/>
      <c r="R13" s="36"/>
      <c r="S13" s="26">
        <v>0.95</v>
      </c>
      <c r="T13" s="26">
        <f>10000*U13*X13*(S13/100)</f>
        <v>19.664999999999999</v>
      </c>
      <c r="U13" s="20">
        <v>0.15</v>
      </c>
      <c r="V13" s="20" t="s">
        <v>93</v>
      </c>
      <c r="W13" s="20">
        <v>1.38</v>
      </c>
      <c r="X13" s="20">
        <v>1.38</v>
      </c>
      <c r="Y13" s="28" t="s">
        <v>70</v>
      </c>
      <c r="Z13" s="29"/>
      <c r="AA13" s="30" t="s">
        <v>81</v>
      </c>
      <c r="AB13" s="31">
        <v>10.1</v>
      </c>
      <c r="AC13" s="28" t="s">
        <v>60</v>
      </c>
      <c r="AD13" s="47" t="s">
        <v>117</v>
      </c>
      <c r="AE13" s="22">
        <v>4.6669999999999998</v>
      </c>
      <c r="AF13" s="22">
        <v>1</v>
      </c>
      <c r="AG13" s="33">
        <f t="shared" si="2"/>
        <v>-6.830999999999996</v>
      </c>
      <c r="AH13" s="34">
        <f t="shared" si="3"/>
        <v>-0.5692499999999997</v>
      </c>
      <c r="AI13">
        <v>25.767991988318201</v>
      </c>
      <c r="AJ13" s="34">
        <f t="shared" si="4"/>
        <v>-0.72800801168179419</v>
      </c>
      <c r="AK13" s="34">
        <f t="shared" si="5"/>
        <v>-6.066733430681618E-2</v>
      </c>
      <c r="AL13" s="35">
        <f t="shared" si="7"/>
        <v>6.1029919883182018</v>
      </c>
      <c r="AM13" s="35">
        <f t="shared" si="7"/>
        <v>0.50858266569318356</v>
      </c>
      <c r="AN13" s="35">
        <f t="shared" si="6"/>
        <v>0.42784612891558571</v>
      </c>
    </row>
    <row r="14" spans="1:40" s="56" customFormat="1" ht="16" customHeight="1" x14ac:dyDescent="0.2">
      <c r="A14" s="20" t="s">
        <v>118</v>
      </c>
      <c r="B14" s="20" t="s">
        <v>119</v>
      </c>
      <c r="C14" s="20" t="s">
        <v>120</v>
      </c>
      <c r="D14" s="21" t="s">
        <v>53</v>
      </c>
      <c r="E14" s="22" t="s">
        <v>121</v>
      </c>
      <c r="F14" s="20" t="s">
        <v>55</v>
      </c>
      <c r="G14" s="20">
        <v>-26.495000000000001</v>
      </c>
      <c r="H14" s="20">
        <v>26.601944</v>
      </c>
      <c r="I14" s="23">
        <v>39753</v>
      </c>
      <c r="J14" s="23">
        <v>41759</v>
      </c>
      <c r="K14" s="20" t="s">
        <v>105</v>
      </c>
      <c r="L14" s="20">
        <v>6</v>
      </c>
      <c r="M14" s="20"/>
      <c r="N14" s="36"/>
      <c r="O14" s="26">
        <v>0.43</v>
      </c>
      <c r="P14" s="26">
        <f>10000*W14*U14*(O14/100)</f>
        <v>20.64</v>
      </c>
      <c r="Q14" s="20"/>
      <c r="R14" s="36"/>
      <c r="S14" s="26">
        <v>0.34</v>
      </c>
      <c r="T14" s="26">
        <f>10000*U14*X14*(S14/100)</f>
        <v>16.32</v>
      </c>
      <c r="U14" s="20">
        <v>0.3</v>
      </c>
      <c r="V14" s="20" t="s">
        <v>59</v>
      </c>
      <c r="W14" s="20">
        <v>1.6</v>
      </c>
      <c r="X14" s="20">
        <v>1.6</v>
      </c>
      <c r="Y14" s="28" t="s">
        <v>60</v>
      </c>
      <c r="Z14" s="29"/>
      <c r="AA14" s="30" t="s">
        <v>106</v>
      </c>
      <c r="AB14" s="31">
        <v>16</v>
      </c>
      <c r="AC14" s="28" t="s">
        <v>60</v>
      </c>
      <c r="AD14" s="53" t="s">
        <v>122</v>
      </c>
      <c r="AE14" s="22">
        <v>4.6669999999999998</v>
      </c>
      <c r="AF14" s="22">
        <v>3</v>
      </c>
      <c r="AG14" s="33">
        <f t="shared" si="2"/>
        <v>-4.32</v>
      </c>
      <c r="AH14" s="34">
        <f t="shared" si="3"/>
        <v>-0.72000000000000008</v>
      </c>
      <c r="AI14">
        <v>20.0580844517484</v>
      </c>
      <c r="AJ14" s="34">
        <f t="shared" si="4"/>
        <v>-0.58191554825160097</v>
      </c>
      <c r="AK14" s="34">
        <f t="shared" si="5"/>
        <v>-9.6985924708600166E-2</v>
      </c>
      <c r="AL14" s="35">
        <f t="shared" si="7"/>
        <v>3.7380844517483993</v>
      </c>
      <c r="AM14" s="35">
        <f t="shared" si="7"/>
        <v>0.62301407529139996</v>
      </c>
      <c r="AN14" s="35">
        <f t="shared" si="6"/>
        <v>0.54227753851380212</v>
      </c>
    </row>
    <row r="15" spans="1:40" s="56" customFormat="1" ht="16" customHeight="1" x14ac:dyDescent="0.2">
      <c r="A15" s="20" t="s">
        <v>118</v>
      </c>
      <c r="B15" s="20" t="s">
        <v>119</v>
      </c>
      <c r="C15" s="20" t="s">
        <v>123</v>
      </c>
      <c r="D15" s="21" t="s">
        <v>53</v>
      </c>
      <c r="E15" s="22" t="s">
        <v>124</v>
      </c>
      <c r="F15" s="20" t="s">
        <v>125</v>
      </c>
      <c r="G15" s="20">
        <v>-25.615278</v>
      </c>
      <c r="H15" s="20">
        <v>28.315556000000001</v>
      </c>
      <c r="I15" s="23">
        <v>39753</v>
      </c>
      <c r="J15" s="23">
        <v>41394</v>
      </c>
      <c r="K15" s="20" t="s">
        <v>105</v>
      </c>
      <c r="L15" s="20">
        <v>5</v>
      </c>
      <c r="M15" s="20"/>
      <c r="N15" s="36"/>
      <c r="O15" s="57">
        <v>1.24</v>
      </c>
      <c r="P15" s="26">
        <f>10000*W15*U15*(O15/100)</f>
        <v>53.94</v>
      </c>
      <c r="Q15" s="20"/>
      <c r="R15" s="36"/>
      <c r="S15" s="26">
        <v>1.2250000000000001</v>
      </c>
      <c r="T15" s="26">
        <f>10000*U15*X15*(S15/100)</f>
        <v>53.287500000000001</v>
      </c>
      <c r="U15" s="20">
        <v>0.3</v>
      </c>
      <c r="V15" s="20" t="s">
        <v>59</v>
      </c>
      <c r="W15" s="20">
        <v>1.45</v>
      </c>
      <c r="X15" s="20">
        <v>1.45</v>
      </c>
      <c r="Y15" s="28" t="s">
        <v>60</v>
      </c>
      <c r="Z15" s="29"/>
      <c r="AA15" s="30" t="s">
        <v>106</v>
      </c>
      <c r="AB15" s="31">
        <v>44.5</v>
      </c>
      <c r="AC15" s="28" t="s">
        <v>60</v>
      </c>
      <c r="AD15" s="53" t="s">
        <v>122</v>
      </c>
      <c r="AE15" s="22">
        <v>4.6669999999999998</v>
      </c>
      <c r="AF15" s="22">
        <v>3</v>
      </c>
      <c r="AG15" s="33">
        <f t="shared" si="2"/>
        <v>-0.65249999999999631</v>
      </c>
      <c r="AH15" s="34">
        <f t="shared" si="3"/>
        <v>-0.13049999999999926</v>
      </c>
      <c r="AI15">
        <v>53.346019142306403</v>
      </c>
      <c r="AJ15" s="34">
        <f t="shared" si="4"/>
        <v>-0.59398085769359454</v>
      </c>
      <c r="AK15" s="34">
        <f t="shared" si="5"/>
        <v>-0.11879617153871891</v>
      </c>
      <c r="AL15" s="35">
        <f t="shared" si="7"/>
        <v>5.8519142306401761E-2</v>
      </c>
      <c r="AM15" s="35">
        <f t="shared" si="7"/>
        <v>1.1703828461280347E-2</v>
      </c>
      <c r="AN15" s="35">
        <f t="shared" si="6"/>
        <v>-6.9032708316317512E-2</v>
      </c>
    </row>
    <row r="16" spans="1:40" s="56" customFormat="1" ht="16" customHeight="1" x14ac:dyDescent="0.2">
      <c r="A16" s="20" t="s">
        <v>126</v>
      </c>
      <c r="B16" s="20" t="s">
        <v>127</v>
      </c>
      <c r="C16" s="20" t="s">
        <v>128</v>
      </c>
      <c r="D16" s="21" t="s">
        <v>53</v>
      </c>
      <c r="E16" s="22" t="s">
        <v>129</v>
      </c>
      <c r="F16" s="20" t="s">
        <v>55</v>
      </c>
      <c r="G16" s="20">
        <v>36.81306</v>
      </c>
      <c r="H16" s="20">
        <v>120.50472000000001</v>
      </c>
      <c r="I16" s="23">
        <v>42856</v>
      </c>
      <c r="J16" s="23">
        <v>44378</v>
      </c>
      <c r="K16" s="20" t="s">
        <v>68</v>
      </c>
      <c r="L16" s="20">
        <v>4</v>
      </c>
      <c r="M16" s="41" t="s">
        <v>130</v>
      </c>
      <c r="N16" s="37">
        <v>11.9</v>
      </c>
      <c r="O16" s="26">
        <f>(N16/1.724)/10</f>
        <v>0.69025522041763343</v>
      </c>
      <c r="P16" s="26">
        <f>10000*W16*U16*(O16/100)</f>
        <v>28.63868909512761</v>
      </c>
      <c r="Q16" s="20" t="s">
        <v>87</v>
      </c>
      <c r="R16" s="27">
        <v>6.47</v>
      </c>
      <c r="S16" s="36">
        <f>R16/10</f>
        <v>0.64700000000000002</v>
      </c>
      <c r="T16" s="26">
        <f>10000*U16*X16*(S16/100)</f>
        <v>26.84403</v>
      </c>
      <c r="U16" s="20">
        <v>0.3</v>
      </c>
      <c r="V16" s="20" t="s">
        <v>59</v>
      </c>
      <c r="W16" s="41">
        <v>1.383</v>
      </c>
      <c r="X16" s="41">
        <v>1.383</v>
      </c>
      <c r="Y16" s="42" t="s">
        <v>70</v>
      </c>
      <c r="Z16" s="29"/>
      <c r="AA16" s="30" t="s">
        <v>61</v>
      </c>
      <c r="AB16" s="46">
        <v>18.86976744</v>
      </c>
      <c r="AC16" s="48" t="s">
        <v>70</v>
      </c>
      <c r="AD16" s="43" t="s">
        <v>131</v>
      </c>
      <c r="AE16" s="22">
        <v>4.6669999999999998</v>
      </c>
      <c r="AF16" s="22">
        <v>1</v>
      </c>
      <c r="AG16" s="33">
        <f t="shared" si="2"/>
        <v>-1.79465909512761</v>
      </c>
      <c r="AH16" s="34">
        <f t="shared" si="3"/>
        <v>-0.4486647737819025</v>
      </c>
      <c r="AI16">
        <v>28.154294959070199</v>
      </c>
      <c r="AJ16" s="34">
        <f t="shared" si="4"/>
        <v>-0.48439413605741066</v>
      </c>
      <c r="AK16" s="34">
        <f t="shared" si="5"/>
        <v>-0.12109853401435267</v>
      </c>
      <c r="AL16" s="35">
        <f t="shared" si="7"/>
        <v>1.3102649590701994</v>
      </c>
      <c r="AM16" s="35">
        <f t="shared" si="7"/>
        <v>0.32756623976754984</v>
      </c>
      <c r="AN16" s="35">
        <f t="shared" si="6"/>
        <v>0.24682970298995199</v>
      </c>
    </row>
    <row r="17" spans="1:39" x14ac:dyDescent="0.2"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</row>
    <row r="18" spans="1:39" x14ac:dyDescent="0.2"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</row>
    <row r="19" spans="1:39" ht="28" customHeight="1" x14ac:dyDescent="0.25">
      <c r="A19" s="59" t="s">
        <v>132</v>
      </c>
      <c r="G19" s="60"/>
      <c r="H19" s="60"/>
      <c r="I19" s="60"/>
      <c r="J19" s="61"/>
      <c r="K19" s="6"/>
      <c r="L19" s="7"/>
      <c r="M19" s="60"/>
      <c r="O19" s="60"/>
      <c r="P19" s="62"/>
      <c r="Q19" s="62"/>
      <c r="R19" s="60"/>
      <c r="S19" s="60"/>
      <c r="T19" s="62"/>
      <c r="U19" s="62"/>
      <c r="V19" s="63"/>
      <c r="W19" s="8"/>
      <c r="Y19" s="60"/>
      <c r="Z19" s="60"/>
      <c r="AA19" s="60"/>
      <c r="AB19" s="60"/>
      <c r="AC19" s="6"/>
    </row>
    <row r="20" spans="1:39" s="19" customFormat="1" ht="86" customHeight="1" x14ac:dyDescent="0.2">
      <c r="A20" s="64" t="s">
        <v>11</v>
      </c>
      <c r="B20" s="65" t="s">
        <v>133</v>
      </c>
      <c r="C20" s="65" t="s">
        <v>134</v>
      </c>
      <c r="D20" s="66" t="s">
        <v>135</v>
      </c>
      <c r="E20" s="65" t="s">
        <v>136</v>
      </c>
      <c r="F20" s="65" t="s">
        <v>137</v>
      </c>
      <c r="G20" s="67"/>
      <c r="J20" s="68"/>
      <c r="K20" s="69"/>
      <c r="L20" s="69"/>
      <c r="M20" s="69"/>
      <c r="N20" s="69"/>
      <c r="O20" s="69"/>
      <c r="P20" s="70"/>
      <c r="Q20" s="70"/>
      <c r="R20" s="69"/>
      <c r="S20" s="69"/>
      <c r="T20" s="70"/>
      <c r="U20" s="70"/>
      <c r="V20" s="68"/>
      <c r="W20" s="68"/>
      <c r="X20" s="68"/>
    </row>
    <row r="21" spans="1:39" ht="15.75" customHeight="1" x14ac:dyDescent="0.2">
      <c r="A21" s="20" t="s">
        <v>51</v>
      </c>
      <c r="B21" s="22">
        <v>3</v>
      </c>
      <c r="C21" s="29" t="s">
        <v>55</v>
      </c>
      <c r="D21" s="71">
        <v>4.6669999999999998</v>
      </c>
      <c r="E21" s="72">
        <f>L4</f>
        <v>2</v>
      </c>
      <c r="F21" s="73">
        <f>D21/E21</f>
        <v>2.3334999999999999</v>
      </c>
      <c r="G21" s="60"/>
      <c r="H21" s="60"/>
      <c r="I21"/>
      <c r="J21"/>
      <c r="K21"/>
      <c r="O21"/>
      <c r="P21"/>
      <c r="Q21"/>
      <c r="R21"/>
      <c r="Z21"/>
    </row>
    <row r="22" spans="1:39" ht="15" customHeight="1" x14ac:dyDescent="0.2">
      <c r="A22" s="20" t="s">
        <v>64</v>
      </c>
      <c r="B22" s="22">
        <v>4</v>
      </c>
      <c r="C22" s="29" t="s">
        <v>67</v>
      </c>
      <c r="D22" s="71">
        <v>2.3419376592898402</v>
      </c>
      <c r="E22" s="72">
        <f>AVERAGE(L5:L6)</f>
        <v>1</v>
      </c>
      <c r="F22" s="73">
        <f>SQRT(AVERAGE(((AE5/L5)^2),((AE6/L6)^2)))</f>
        <v>2.3419376592898402</v>
      </c>
      <c r="G22" s="60"/>
      <c r="H22" s="60"/>
      <c r="I22"/>
      <c r="J22"/>
      <c r="K22"/>
      <c r="O22"/>
      <c r="P22"/>
      <c r="Q22"/>
      <c r="R22"/>
      <c r="Z22"/>
    </row>
    <row r="23" spans="1:39" ht="15.75" customHeight="1" x14ac:dyDescent="0.2">
      <c r="A23" s="20" t="s">
        <v>76</v>
      </c>
      <c r="B23" s="22">
        <v>1</v>
      </c>
      <c r="C23" s="29" t="s">
        <v>79</v>
      </c>
      <c r="D23" s="71">
        <v>4.6669999999999998</v>
      </c>
      <c r="E23" s="72">
        <f t="shared" ref="E23:E29" si="8">L7</f>
        <v>1</v>
      </c>
      <c r="F23" s="73">
        <f t="shared" ref="F23:F29" si="9">D23/E23</f>
        <v>4.6669999999999998</v>
      </c>
      <c r="G23" s="60"/>
      <c r="H23" s="60"/>
      <c r="I23"/>
      <c r="J23"/>
      <c r="K23"/>
      <c r="O23"/>
      <c r="P23"/>
      <c r="Q23"/>
      <c r="R23"/>
      <c r="Z23"/>
    </row>
    <row r="24" spans="1:39" ht="15.75" customHeight="1" x14ac:dyDescent="0.2">
      <c r="A24" s="20" t="s">
        <v>84</v>
      </c>
      <c r="B24" s="22">
        <v>1</v>
      </c>
      <c r="C24" s="29" t="s">
        <v>67</v>
      </c>
      <c r="D24" s="71">
        <v>4.6669999999999998</v>
      </c>
      <c r="E24" s="72">
        <f t="shared" si="8"/>
        <v>2</v>
      </c>
      <c r="F24" s="73">
        <f t="shared" si="9"/>
        <v>2.3334999999999999</v>
      </c>
      <c r="G24" s="60"/>
      <c r="H24" s="60"/>
      <c r="I24"/>
      <c r="J24"/>
      <c r="K24"/>
      <c r="O24"/>
      <c r="P24"/>
      <c r="Q24"/>
      <c r="R24"/>
      <c r="Z24"/>
    </row>
    <row r="25" spans="1:39" ht="15.75" customHeight="1" x14ac:dyDescent="0.2">
      <c r="A25" s="20" t="s">
        <v>90</v>
      </c>
      <c r="B25" s="22">
        <v>1</v>
      </c>
      <c r="C25" s="29" t="s">
        <v>79</v>
      </c>
      <c r="D25" s="71">
        <v>4.6669999999999998</v>
      </c>
      <c r="E25" s="72">
        <f t="shared" si="8"/>
        <v>2</v>
      </c>
      <c r="F25" s="73">
        <f t="shared" si="9"/>
        <v>2.3334999999999999</v>
      </c>
      <c r="G25" s="60"/>
      <c r="H25" s="60"/>
      <c r="I25"/>
      <c r="J25"/>
      <c r="K25"/>
      <c r="O25"/>
      <c r="P25"/>
      <c r="Q25"/>
      <c r="R25"/>
      <c r="Z25"/>
    </row>
    <row r="26" spans="1:39" ht="15.75" customHeight="1" x14ac:dyDescent="0.2">
      <c r="A26" s="20" t="s">
        <v>97</v>
      </c>
      <c r="B26" s="22">
        <v>1</v>
      </c>
      <c r="C26" s="29" t="s">
        <v>55</v>
      </c>
      <c r="D26" s="71">
        <v>4.6669999999999998</v>
      </c>
      <c r="E26" s="72">
        <f t="shared" si="8"/>
        <v>12</v>
      </c>
      <c r="F26" s="73">
        <f t="shared" si="9"/>
        <v>0.38891666666666663</v>
      </c>
      <c r="G26" s="60"/>
      <c r="H26" s="60"/>
      <c r="I26"/>
      <c r="J26"/>
      <c r="K26"/>
      <c r="O26"/>
      <c r="P26"/>
      <c r="Q26"/>
      <c r="R26"/>
      <c r="Z26"/>
    </row>
    <row r="27" spans="1:39" ht="15.75" customHeight="1" x14ac:dyDescent="0.2">
      <c r="A27" s="20" t="s">
        <v>102</v>
      </c>
      <c r="B27" s="22">
        <v>3</v>
      </c>
      <c r="C27" s="29" t="s">
        <v>67</v>
      </c>
      <c r="D27" s="71">
        <v>4.6669999999999998</v>
      </c>
      <c r="E27" s="72">
        <f t="shared" si="8"/>
        <v>2</v>
      </c>
      <c r="F27" s="73">
        <f t="shared" si="9"/>
        <v>2.3334999999999999</v>
      </c>
      <c r="G27" s="60"/>
      <c r="H27" s="60"/>
      <c r="I27"/>
      <c r="J27"/>
      <c r="K27"/>
      <c r="O27"/>
      <c r="P27"/>
      <c r="Q27"/>
      <c r="R27"/>
      <c r="Z27"/>
    </row>
    <row r="28" spans="1:39" ht="15.75" customHeight="1" x14ac:dyDescent="0.2">
      <c r="A28" s="20" t="s">
        <v>109</v>
      </c>
      <c r="B28" s="22">
        <v>1</v>
      </c>
      <c r="C28" s="29" t="s">
        <v>79</v>
      </c>
      <c r="D28" s="71">
        <v>4.6669999999999998</v>
      </c>
      <c r="E28" s="72">
        <f t="shared" si="8"/>
        <v>1</v>
      </c>
      <c r="F28" s="73">
        <f t="shared" si="9"/>
        <v>4.6669999999999998</v>
      </c>
      <c r="G28" s="60"/>
      <c r="H28" s="60"/>
      <c r="I28"/>
      <c r="J28"/>
      <c r="K28"/>
      <c r="O28"/>
      <c r="P28"/>
      <c r="Q28"/>
      <c r="R28"/>
      <c r="Z28"/>
    </row>
    <row r="29" spans="1:39" ht="15.75" customHeight="1" x14ac:dyDescent="0.2">
      <c r="A29" s="20" t="s">
        <v>114</v>
      </c>
      <c r="B29" s="22">
        <v>1</v>
      </c>
      <c r="C29" s="29" t="s">
        <v>55</v>
      </c>
      <c r="D29" s="71">
        <v>4.6669999999999998</v>
      </c>
      <c r="E29" s="72">
        <f t="shared" si="8"/>
        <v>12</v>
      </c>
      <c r="F29" s="73">
        <f t="shared" si="9"/>
        <v>0.38891666666666663</v>
      </c>
      <c r="G29" s="60"/>
      <c r="H29" s="60"/>
      <c r="I29"/>
      <c r="J29"/>
      <c r="K29"/>
      <c r="O29"/>
      <c r="P29"/>
      <c r="Q29"/>
      <c r="R29"/>
      <c r="Z29"/>
    </row>
    <row r="30" spans="1:39" ht="15.75" customHeight="1" x14ac:dyDescent="0.2">
      <c r="A30" s="20" t="s">
        <v>119</v>
      </c>
      <c r="B30" s="22">
        <v>6</v>
      </c>
      <c r="C30" s="29" t="s">
        <v>55</v>
      </c>
      <c r="D30" s="71">
        <v>4.6669999999999998</v>
      </c>
      <c r="E30" s="72">
        <f>AVERAGE(L14:L15)</f>
        <v>5.5</v>
      </c>
      <c r="F30" s="73">
        <f>SQRT(AVERAGE(((AE14/L14)^2),((AE15/L15)^2)))</f>
        <v>0.85914499778688236</v>
      </c>
      <c r="G30" s="60"/>
      <c r="H30" s="60"/>
      <c r="I30"/>
      <c r="J30"/>
      <c r="K30"/>
      <c r="O30"/>
      <c r="P30"/>
      <c r="Q30"/>
      <c r="R30"/>
      <c r="Z30"/>
    </row>
    <row r="31" spans="1:39" ht="15.75" customHeight="1" x14ac:dyDescent="0.2">
      <c r="A31" s="20" t="s">
        <v>127</v>
      </c>
      <c r="B31" s="22">
        <v>1</v>
      </c>
      <c r="C31" s="29" t="s">
        <v>55</v>
      </c>
      <c r="D31" s="71">
        <v>4.6669999999999998</v>
      </c>
      <c r="E31" s="72">
        <f>L16</f>
        <v>4</v>
      </c>
      <c r="F31" s="73">
        <f>D31/E31</f>
        <v>1.16675</v>
      </c>
      <c r="G31" s="60"/>
      <c r="H31" s="60"/>
      <c r="I31"/>
      <c r="J31"/>
      <c r="K31"/>
      <c r="O31"/>
      <c r="P31"/>
      <c r="Q31"/>
      <c r="R31"/>
      <c r="Z31"/>
    </row>
    <row r="32" spans="1:39" x14ac:dyDescent="0.2">
      <c r="AI32" s="58"/>
      <c r="AJ32" s="58"/>
      <c r="AK32" s="58"/>
      <c r="AL32" s="58"/>
    </row>
    <row r="33" spans="1:38" x14ac:dyDescent="0.2">
      <c r="AI33" s="58"/>
      <c r="AJ33" s="58"/>
      <c r="AK33" s="58"/>
      <c r="AL33" s="58"/>
    </row>
    <row r="34" spans="1:38" ht="15.75" customHeight="1" x14ac:dyDescent="0.3">
      <c r="A34" s="9" t="s">
        <v>138</v>
      </c>
      <c r="AI34" s="58"/>
      <c r="AJ34" s="58"/>
      <c r="AK34" s="58"/>
      <c r="AL34" s="58"/>
    </row>
    <row r="35" spans="1:38" s="19" customFormat="1" ht="72" customHeight="1" x14ac:dyDescent="0.2">
      <c r="A35" s="74" t="s">
        <v>139</v>
      </c>
      <c r="H35" s="68"/>
      <c r="I35" s="68"/>
      <c r="J35" s="67"/>
      <c r="N35" s="68"/>
      <c r="O35" s="69"/>
      <c r="P35" s="69"/>
      <c r="Q35" s="69"/>
      <c r="Y35" s="68"/>
      <c r="AH35" s="75"/>
      <c r="AI35" s="75"/>
      <c r="AJ35" s="75"/>
      <c r="AK35" s="75"/>
    </row>
    <row r="36" spans="1:38" ht="35" customHeight="1" x14ac:dyDescent="0.2">
      <c r="A36" s="65" cm="1">
        <f t="array" ref="A36">SQRT(SUM((F21:F31)^2 *( B21:B31 -1)) / (SUM(B21:B31 -1)))</f>
        <v>1.8691699502745203</v>
      </c>
      <c r="B36" s="76"/>
      <c r="C36" s="76"/>
      <c r="H36" s="6"/>
      <c r="J36" s="7"/>
      <c r="K36"/>
      <c r="N36" s="6"/>
      <c r="O36" s="8"/>
      <c r="R36"/>
      <c r="Y36" s="6"/>
      <c r="Z36"/>
      <c r="AH36" s="75"/>
      <c r="AI36" s="75"/>
      <c r="AJ36" s="75"/>
      <c r="AK36" s="75"/>
    </row>
    <row r="37" spans="1:38" ht="15.75" customHeight="1" x14ac:dyDescent="0.2">
      <c r="B37" s="8"/>
      <c r="AI37" s="58"/>
      <c r="AJ37" s="58"/>
      <c r="AK37" s="58"/>
      <c r="AL37" s="58"/>
    </row>
    <row r="38" spans="1:38" ht="15.75" customHeight="1" x14ac:dyDescent="0.2">
      <c r="B38" s="8"/>
      <c r="AI38" s="58"/>
      <c r="AJ38" s="58"/>
      <c r="AK38" s="58"/>
      <c r="AL38" s="58"/>
    </row>
    <row r="39" spans="1:38" ht="15.75" customHeight="1" x14ac:dyDescent="0.2">
      <c r="B39" s="8"/>
      <c r="AI39" s="58"/>
      <c r="AJ39" s="58"/>
      <c r="AK39" s="58"/>
      <c r="AL39" s="58"/>
    </row>
    <row r="40" spans="1:38" ht="22" x14ac:dyDescent="0.3">
      <c r="A40" s="9" t="s">
        <v>140</v>
      </c>
      <c r="G40" s="77"/>
      <c r="I40"/>
      <c r="J40"/>
      <c r="K40"/>
      <c r="O40"/>
      <c r="P40"/>
      <c r="Q40"/>
      <c r="R40"/>
      <c r="Z40"/>
    </row>
    <row r="41" spans="1:38" s="80" customFormat="1" ht="51" x14ac:dyDescent="0.2">
      <c r="A41" s="78" t="s">
        <v>11</v>
      </c>
      <c r="B41" s="79" t="s">
        <v>141</v>
      </c>
      <c r="C41" s="79" t="s">
        <v>142</v>
      </c>
    </row>
    <row r="42" spans="1:38" x14ac:dyDescent="0.2">
      <c r="A42" t="s">
        <v>51</v>
      </c>
      <c r="B42" s="81">
        <f>AVERAGE(AM4)</f>
        <v>0.39782784967351059</v>
      </c>
      <c r="C42" t="str">
        <f xml:space="preserve"> IF(ABS(B42)&lt;$A$36, "PASS", "FAIL")</f>
        <v>PASS</v>
      </c>
      <c r="I42"/>
      <c r="J42"/>
      <c r="K42"/>
      <c r="O42"/>
      <c r="P42"/>
      <c r="Q42"/>
      <c r="R42"/>
      <c r="Z42"/>
    </row>
    <row r="43" spans="1:38" x14ac:dyDescent="0.2">
      <c r="A43" t="s">
        <v>64</v>
      </c>
      <c r="B43" s="81">
        <f>AVERAGE(AM5:AM6)</f>
        <v>-0.38187083240075026</v>
      </c>
      <c r="C43" t="str">
        <f t="shared" ref="C43:C51" si="10" xml:space="preserve"> IF(ABS(B43)&lt;$A$36, "PASS", "FAIL")</f>
        <v>PASS</v>
      </c>
      <c r="I43"/>
      <c r="J43"/>
      <c r="K43"/>
      <c r="O43"/>
      <c r="P43"/>
      <c r="Q43"/>
      <c r="R43"/>
      <c r="Z43"/>
    </row>
    <row r="44" spans="1:38" x14ac:dyDescent="0.2">
      <c r="A44" t="s">
        <v>76</v>
      </c>
      <c r="B44" s="81">
        <f t="shared" ref="B44:B50" si="11">AVERAGE(AM7)</f>
        <v>0.24230980772529875</v>
      </c>
      <c r="C44" t="str">
        <f t="shared" si="10"/>
        <v>PASS</v>
      </c>
      <c r="I44"/>
      <c r="J44"/>
      <c r="K44"/>
      <c r="O44"/>
      <c r="P44"/>
      <c r="Q44"/>
      <c r="R44"/>
      <c r="Z44"/>
    </row>
    <row r="45" spans="1:38" x14ac:dyDescent="0.2">
      <c r="A45" t="s">
        <v>84</v>
      </c>
      <c r="B45" s="81">
        <f t="shared" si="11"/>
        <v>0.24481647802160111</v>
      </c>
      <c r="C45" t="str">
        <f t="shared" si="10"/>
        <v>PASS</v>
      </c>
      <c r="I45"/>
      <c r="J45"/>
      <c r="K45"/>
      <c r="O45"/>
      <c r="P45"/>
      <c r="Q45"/>
      <c r="R45"/>
      <c r="Z45"/>
    </row>
    <row r="46" spans="1:38" x14ac:dyDescent="0.2">
      <c r="A46" t="s">
        <v>90</v>
      </c>
      <c r="B46" s="81">
        <f t="shared" si="11"/>
        <v>-0.57623943238995068</v>
      </c>
      <c r="C46" t="str">
        <f t="shared" si="10"/>
        <v>PASS</v>
      </c>
      <c r="I46"/>
      <c r="J46"/>
      <c r="K46"/>
      <c r="O46"/>
      <c r="P46"/>
      <c r="Q46"/>
      <c r="R46"/>
      <c r="Z46"/>
    </row>
    <row r="47" spans="1:38" x14ac:dyDescent="0.2">
      <c r="A47" t="s">
        <v>97</v>
      </c>
      <c r="B47" s="81">
        <f t="shared" si="11"/>
        <v>-5.3655067379400137E-2</v>
      </c>
      <c r="C47" t="str">
        <f t="shared" si="10"/>
        <v>PASS</v>
      </c>
      <c r="I47"/>
      <c r="J47"/>
      <c r="K47"/>
      <c r="O47"/>
      <c r="P47"/>
      <c r="Q47"/>
      <c r="R47"/>
      <c r="Z47"/>
    </row>
    <row r="48" spans="1:38" x14ac:dyDescent="0.2">
      <c r="A48" t="s">
        <v>102</v>
      </c>
      <c r="B48" s="81">
        <f t="shared" si="11"/>
        <v>-0.13280744545460088</v>
      </c>
      <c r="C48" t="str">
        <f t="shared" si="10"/>
        <v>PASS</v>
      </c>
      <c r="I48"/>
      <c r="J48"/>
      <c r="K48"/>
      <c r="O48"/>
      <c r="P48"/>
      <c r="Q48"/>
      <c r="R48"/>
      <c r="Z48"/>
    </row>
    <row r="49" spans="1:38" x14ac:dyDescent="0.2">
      <c r="A49" t="s">
        <v>109</v>
      </c>
      <c r="B49" s="81">
        <f t="shared" si="11"/>
        <v>0.22019764350040028</v>
      </c>
      <c r="C49" t="str">
        <f t="shared" si="10"/>
        <v>PASS</v>
      </c>
      <c r="I49"/>
      <c r="J49"/>
      <c r="K49"/>
      <c r="O49"/>
      <c r="P49"/>
      <c r="Q49"/>
      <c r="R49"/>
      <c r="Z49"/>
    </row>
    <row r="50" spans="1:38" x14ac:dyDescent="0.2">
      <c r="A50" t="s">
        <v>114</v>
      </c>
      <c r="B50" s="81">
        <f t="shared" si="11"/>
        <v>0.50858266569318356</v>
      </c>
      <c r="C50" t="str">
        <f t="shared" si="10"/>
        <v>PASS</v>
      </c>
      <c r="I50"/>
      <c r="J50"/>
      <c r="K50"/>
      <c r="O50"/>
      <c r="P50"/>
      <c r="Q50"/>
      <c r="R50"/>
      <c r="Z50"/>
    </row>
    <row r="51" spans="1:38" x14ac:dyDescent="0.2">
      <c r="A51" t="s">
        <v>119</v>
      </c>
      <c r="B51" s="81">
        <f>AVERAGE(AM14:AM15)</f>
        <v>0.31735895187634017</v>
      </c>
      <c r="C51" t="str">
        <f t="shared" si="10"/>
        <v>PASS</v>
      </c>
      <c r="I51"/>
      <c r="J51"/>
      <c r="K51"/>
      <c r="O51"/>
      <c r="P51"/>
      <c r="Q51"/>
      <c r="R51"/>
      <c r="Z51"/>
    </row>
    <row r="52" spans="1:38" x14ac:dyDescent="0.2">
      <c r="A52" t="s">
        <v>127</v>
      </c>
      <c r="B52" s="81">
        <f>AVERAGE(AM16)</f>
        <v>0.32756623976754984</v>
      </c>
      <c r="C52" t="str">
        <f xml:space="preserve"> IF(ABS(B52)&lt;$A$36, "PASS", "FAIL")</f>
        <v>PASS</v>
      </c>
      <c r="I52"/>
      <c r="J52"/>
      <c r="K52"/>
      <c r="O52"/>
      <c r="P52"/>
      <c r="Q52"/>
      <c r="R52"/>
      <c r="Z52"/>
    </row>
    <row r="53" spans="1:38" x14ac:dyDescent="0.2">
      <c r="A53" s="82" t="s">
        <v>143</v>
      </c>
      <c r="B53" s="83">
        <f>AVERAGE(B42:B52)</f>
        <v>0.10128062351210748</v>
      </c>
      <c r="C53" t="str">
        <f>IF(ABS(B53)&lt;$A$36,"PASS","FAIL")</f>
        <v>PASS</v>
      </c>
      <c r="I53"/>
      <c r="J53"/>
      <c r="K53"/>
      <c r="O53"/>
      <c r="P53"/>
      <c r="Q53"/>
      <c r="R53"/>
      <c r="Z53"/>
    </row>
    <row r="54" spans="1:38" ht="15.75" customHeight="1" x14ac:dyDescent="0.2">
      <c r="B54" s="8"/>
      <c r="AI54" s="58"/>
      <c r="AJ54" s="58"/>
      <c r="AK54" s="58"/>
      <c r="AL54" s="58"/>
    </row>
    <row r="55" spans="1:38" ht="15.75" customHeight="1" x14ac:dyDescent="0.2">
      <c r="B55" s="8"/>
      <c r="AI55" s="58"/>
      <c r="AJ55" s="58"/>
      <c r="AK55" s="58"/>
      <c r="AL55" s="58"/>
    </row>
    <row r="56" spans="1:38" x14ac:dyDescent="0.2">
      <c r="A56" s="58"/>
      <c r="B56" s="58"/>
      <c r="C56" s="58"/>
      <c r="D56" s="58"/>
      <c r="E56" s="58"/>
      <c r="F56" s="58"/>
      <c r="G56" s="58"/>
      <c r="H56" s="58"/>
      <c r="I56" s="58"/>
      <c r="J56" s="58"/>
      <c r="K56" s="58"/>
      <c r="AI56" s="58"/>
      <c r="AJ56" s="58"/>
      <c r="AK56" s="58"/>
      <c r="AL56" s="58"/>
    </row>
    <row r="57" spans="1:38" ht="21" x14ac:dyDescent="0.25">
      <c r="A57" s="84" t="s">
        <v>144</v>
      </c>
      <c r="B57" s="84"/>
      <c r="C57" s="84"/>
      <c r="D57" s="84"/>
      <c r="E57" s="84"/>
      <c r="F57" s="58"/>
      <c r="G57" s="58"/>
      <c r="H57" s="58"/>
      <c r="I57" s="58"/>
      <c r="J57" s="58"/>
      <c r="K57" s="58"/>
      <c r="AI57" s="58"/>
      <c r="AJ57" s="58"/>
      <c r="AK57" s="58"/>
      <c r="AL57" s="58"/>
    </row>
    <row r="58" spans="1:38" ht="34" x14ac:dyDescent="0.2">
      <c r="A58" s="18" t="s">
        <v>145</v>
      </c>
      <c r="B58" s="75"/>
      <c r="C58" s="75"/>
      <c r="D58" s="75"/>
      <c r="E58" s="75"/>
      <c r="F58" s="75"/>
      <c r="G58" s="75"/>
      <c r="H58" s="75"/>
      <c r="I58" s="75"/>
      <c r="J58" s="75"/>
      <c r="K58"/>
      <c r="N58" s="6"/>
      <c r="O58" s="8"/>
      <c r="R58"/>
      <c r="Y58" s="6"/>
      <c r="Z58"/>
      <c r="AH58" s="58"/>
      <c r="AI58" s="58"/>
      <c r="AJ58" s="58"/>
      <c r="AK58" s="58"/>
    </row>
    <row r="59" spans="1:38" x14ac:dyDescent="0.2">
      <c r="A59" s="19">
        <f>STDEVP(AM4:AM16)</f>
        <v>0.41731085305615684</v>
      </c>
      <c r="B59" s="75"/>
      <c r="C59" s="75"/>
      <c r="D59" s="75"/>
      <c r="E59" s="75"/>
      <c r="F59" s="75"/>
      <c r="G59" s="75"/>
      <c r="H59" s="75"/>
      <c r="I59" s="75"/>
      <c r="J59" s="75"/>
      <c r="K59"/>
      <c r="N59" s="6"/>
      <c r="O59" s="8"/>
      <c r="R59"/>
      <c r="Y59" s="6"/>
      <c r="Z59"/>
      <c r="AH59" s="58"/>
      <c r="AI59" s="58"/>
      <c r="AJ59" s="58"/>
      <c r="AK59" s="58"/>
    </row>
    <row r="60" spans="1:38" x14ac:dyDescent="0.2">
      <c r="A60" s="58"/>
      <c r="B60" s="58"/>
      <c r="C60" s="58"/>
      <c r="D60" s="58"/>
      <c r="E60" s="58"/>
      <c r="F60" s="58"/>
      <c r="G60" s="58"/>
      <c r="H60" s="58"/>
      <c r="I60" s="58"/>
      <c r="J60" s="58"/>
      <c r="K60" s="58"/>
      <c r="AI60" s="58"/>
      <c r="AJ60" s="58"/>
      <c r="AK60" s="58"/>
      <c r="AL60" s="58"/>
    </row>
    <row r="61" spans="1:38" ht="85" x14ac:dyDescent="0.2">
      <c r="A61" s="80" t="s">
        <v>12</v>
      </c>
      <c r="B61" s="80" t="s">
        <v>146</v>
      </c>
      <c r="C61" s="80" t="s">
        <v>147</v>
      </c>
      <c r="D61" s="80" t="s">
        <v>148</v>
      </c>
      <c r="E61" s="80" t="s">
        <v>149</v>
      </c>
      <c r="I61"/>
      <c r="J61"/>
      <c r="K61"/>
      <c r="O61"/>
      <c r="P61"/>
      <c r="Q61"/>
      <c r="R61"/>
      <c r="Z61"/>
    </row>
    <row r="62" spans="1:38" x14ac:dyDescent="0.2">
      <c r="A62" t="s">
        <v>52</v>
      </c>
      <c r="B62" s="85">
        <f t="shared" ref="B62:B74" si="12">AVERAGE(AH4) - $A$59*1.64</f>
        <v>-1.3038793581768293</v>
      </c>
      <c r="C62" s="85">
        <f t="shared" ref="C62:C74" si="13">AVERAGE(AH4) + $A$59*1.64</f>
        <v>6.4900239847365149E-2</v>
      </c>
      <c r="D62">
        <f t="shared" ref="D62:D74" si="14">SUM(_xlfn.BITAND(AK4&gt;=B62, AK4&lt;=C62))</f>
        <v>1</v>
      </c>
      <c r="E62">
        <f t="shared" ref="E62:E74" si="15">SUM(_xlfn.BITOR(AK4&lt;B62, AK4&gt;C62))</f>
        <v>0</v>
      </c>
      <c r="I62"/>
      <c r="J62"/>
      <c r="K62"/>
      <c r="O62"/>
      <c r="P62"/>
      <c r="Q62"/>
      <c r="R62"/>
      <c r="Z62"/>
    </row>
    <row r="63" spans="1:38" x14ac:dyDescent="0.2">
      <c r="A63" t="s">
        <v>65</v>
      </c>
      <c r="B63" s="85">
        <f t="shared" si="12"/>
        <v>-0.55478979901209369</v>
      </c>
      <c r="C63" s="85">
        <f t="shared" si="13"/>
        <v>0.81398979901210067</v>
      </c>
      <c r="D63">
        <f t="shared" si="14"/>
        <v>0</v>
      </c>
      <c r="E63">
        <f t="shared" si="15"/>
        <v>1</v>
      </c>
      <c r="I63"/>
      <c r="J63"/>
      <c r="K63"/>
      <c r="O63"/>
      <c r="P63"/>
      <c r="Q63"/>
      <c r="R63"/>
      <c r="Z63"/>
    </row>
    <row r="64" spans="1:38" x14ac:dyDescent="0.2">
      <c r="A64" t="s">
        <v>73</v>
      </c>
      <c r="B64" s="85">
        <f t="shared" si="12"/>
        <v>-3.8667897990120985</v>
      </c>
      <c r="C64" s="85">
        <f t="shared" si="13"/>
        <v>-2.4980102009879039</v>
      </c>
      <c r="D64">
        <f t="shared" si="14"/>
        <v>1</v>
      </c>
      <c r="E64">
        <f t="shared" si="15"/>
        <v>0</v>
      </c>
      <c r="I64"/>
      <c r="J64"/>
      <c r="K64"/>
      <c r="O64"/>
      <c r="P64"/>
      <c r="Q64"/>
      <c r="R64"/>
      <c r="Z64"/>
    </row>
    <row r="65" spans="1:38" x14ac:dyDescent="0.2">
      <c r="A65" t="s">
        <v>77</v>
      </c>
      <c r="B65" s="85">
        <f t="shared" si="12"/>
        <v>-1.6543897990120979</v>
      </c>
      <c r="C65" s="85">
        <f t="shared" si="13"/>
        <v>-0.28561020098790346</v>
      </c>
      <c r="D65">
        <f t="shared" si="14"/>
        <v>1</v>
      </c>
      <c r="E65">
        <f t="shared" si="15"/>
        <v>0</v>
      </c>
      <c r="I65"/>
      <c r="J65"/>
      <c r="K65"/>
      <c r="O65"/>
      <c r="P65"/>
      <c r="Q65"/>
      <c r="R65"/>
      <c r="Z65"/>
    </row>
    <row r="66" spans="1:38" x14ac:dyDescent="0.2">
      <c r="A66" t="s">
        <v>85</v>
      </c>
      <c r="B66" s="85">
        <f t="shared" si="12"/>
        <v>-1.1381397990120932</v>
      </c>
      <c r="C66" s="85">
        <f t="shared" si="13"/>
        <v>0.2306397990121013</v>
      </c>
      <c r="D66">
        <f t="shared" si="14"/>
        <v>1</v>
      </c>
      <c r="E66">
        <f t="shared" si="15"/>
        <v>0</v>
      </c>
      <c r="I66"/>
      <c r="J66"/>
      <c r="K66"/>
      <c r="O66"/>
      <c r="P66"/>
      <c r="Q66"/>
      <c r="R66"/>
      <c r="Z66"/>
    </row>
    <row r="67" spans="1:38" x14ac:dyDescent="0.2">
      <c r="A67" t="s">
        <v>91</v>
      </c>
      <c r="B67" s="85">
        <f t="shared" si="12"/>
        <v>-0.65213979901209684</v>
      </c>
      <c r="C67" s="85">
        <f t="shared" si="13"/>
        <v>0.71663979901209751</v>
      </c>
      <c r="D67">
        <f t="shared" si="14"/>
        <v>1</v>
      </c>
      <c r="E67">
        <f t="shared" si="15"/>
        <v>0</v>
      </c>
      <c r="I67"/>
      <c r="J67"/>
      <c r="K67"/>
      <c r="O67"/>
      <c r="P67"/>
      <c r="Q67"/>
      <c r="R67"/>
      <c r="Z67"/>
    </row>
    <row r="68" spans="1:38" x14ac:dyDescent="0.2">
      <c r="A68" t="s">
        <v>98</v>
      </c>
      <c r="B68" s="85">
        <f t="shared" si="12"/>
        <v>-0.77915979901209642</v>
      </c>
      <c r="C68" s="85">
        <f t="shared" si="13"/>
        <v>0.58961979901209793</v>
      </c>
      <c r="D68">
        <f t="shared" si="14"/>
        <v>1</v>
      </c>
      <c r="E68">
        <f t="shared" si="15"/>
        <v>0</v>
      </c>
      <c r="I68"/>
      <c r="J68"/>
      <c r="K68"/>
      <c r="O68"/>
      <c r="P68"/>
      <c r="Q68"/>
      <c r="R68"/>
      <c r="Z68"/>
    </row>
    <row r="69" spans="1:38" x14ac:dyDescent="0.2">
      <c r="A69" t="s">
        <v>103</v>
      </c>
      <c r="B69" s="85">
        <f t="shared" si="12"/>
        <v>-0.73438979901209611</v>
      </c>
      <c r="C69" s="85">
        <f t="shared" si="13"/>
        <v>0.63438979901209824</v>
      </c>
      <c r="D69">
        <f t="shared" si="14"/>
        <v>1</v>
      </c>
      <c r="E69">
        <f t="shared" si="15"/>
        <v>0</v>
      </c>
      <c r="I69"/>
      <c r="J69"/>
      <c r="K69"/>
      <c r="O69"/>
      <c r="P69"/>
      <c r="Q69"/>
      <c r="R69"/>
      <c r="Z69"/>
    </row>
    <row r="70" spans="1:38" x14ac:dyDescent="0.2">
      <c r="A70" t="s">
        <v>110</v>
      </c>
      <c r="B70" s="85">
        <f t="shared" si="12"/>
        <v>-1.0947897990120983</v>
      </c>
      <c r="C70" s="85">
        <f t="shared" si="13"/>
        <v>0.27398979901209619</v>
      </c>
      <c r="D70">
        <f t="shared" si="14"/>
        <v>1</v>
      </c>
      <c r="E70">
        <f t="shared" si="15"/>
        <v>0</v>
      </c>
      <c r="I70"/>
      <c r="J70"/>
      <c r="K70"/>
      <c r="O70"/>
      <c r="P70"/>
      <c r="Q70"/>
      <c r="R70"/>
      <c r="Z70"/>
    </row>
    <row r="71" spans="1:38" x14ac:dyDescent="0.2">
      <c r="A71" t="s">
        <v>115</v>
      </c>
      <c r="B71" s="85">
        <f t="shared" si="12"/>
        <v>-1.2536397990120969</v>
      </c>
      <c r="C71" s="85">
        <f t="shared" si="13"/>
        <v>0.11513979901209748</v>
      </c>
      <c r="D71">
        <f t="shared" si="14"/>
        <v>1</v>
      </c>
      <c r="E71">
        <f t="shared" si="15"/>
        <v>0</v>
      </c>
      <c r="I71"/>
      <c r="J71"/>
      <c r="K71"/>
      <c r="O71"/>
      <c r="P71"/>
      <c r="Q71"/>
      <c r="R71"/>
      <c r="Z71"/>
    </row>
    <row r="72" spans="1:38" x14ac:dyDescent="0.2">
      <c r="A72" t="s">
        <v>120</v>
      </c>
      <c r="B72" s="85">
        <f t="shared" si="12"/>
        <v>-1.4043897990120973</v>
      </c>
      <c r="C72" s="85">
        <f t="shared" si="13"/>
        <v>-3.5610200987902907E-2</v>
      </c>
      <c r="D72">
        <f t="shared" si="14"/>
        <v>1</v>
      </c>
      <c r="E72">
        <f t="shared" si="15"/>
        <v>0</v>
      </c>
      <c r="I72"/>
      <c r="J72"/>
      <c r="K72"/>
      <c r="O72"/>
      <c r="P72"/>
      <c r="Q72"/>
      <c r="R72"/>
      <c r="Z72"/>
    </row>
    <row r="73" spans="1:38" x14ac:dyDescent="0.2">
      <c r="A73" t="s">
        <v>123</v>
      </c>
      <c r="B73" s="85">
        <f t="shared" si="12"/>
        <v>-0.81488979901209646</v>
      </c>
      <c r="C73" s="85">
        <f t="shared" si="13"/>
        <v>0.55388979901209789</v>
      </c>
      <c r="D73">
        <f t="shared" si="14"/>
        <v>1</v>
      </c>
      <c r="E73">
        <f t="shared" si="15"/>
        <v>0</v>
      </c>
      <c r="I73"/>
      <c r="J73"/>
      <c r="K73"/>
      <c r="O73"/>
      <c r="P73"/>
      <c r="Q73"/>
      <c r="R73"/>
      <c r="Z73"/>
    </row>
    <row r="74" spans="1:38" ht="17" thickBot="1" x14ac:dyDescent="0.25">
      <c r="A74" t="s">
        <v>128</v>
      </c>
      <c r="B74" s="85">
        <f t="shared" si="12"/>
        <v>-1.1330545727939998</v>
      </c>
      <c r="C74" s="85">
        <f t="shared" si="13"/>
        <v>0.23572502523019467</v>
      </c>
      <c r="D74">
        <f t="shared" si="14"/>
        <v>1</v>
      </c>
      <c r="E74">
        <f t="shared" si="15"/>
        <v>0</v>
      </c>
      <c r="I74"/>
      <c r="J74"/>
      <c r="K74"/>
      <c r="O74"/>
      <c r="P74"/>
      <c r="Q74"/>
      <c r="R74"/>
      <c r="Z74"/>
    </row>
    <row r="75" spans="1:38" ht="17" thickBot="1" x14ac:dyDescent="0.25">
      <c r="C75" s="86" t="s">
        <v>143</v>
      </c>
      <c r="D75" s="87">
        <f>SUM(D62:D74)</f>
        <v>12</v>
      </c>
      <c r="E75" s="87">
        <f>SUM(E62:E74)</f>
        <v>1</v>
      </c>
      <c r="I75"/>
      <c r="J75"/>
      <c r="K75"/>
      <c r="O75"/>
      <c r="P75"/>
      <c r="Q75"/>
      <c r="R75"/>
      <c r="Z75"/>
    </row>
    <row r="76" spans="1:38" ht="17" thickBot="1" x14ac:dyDescent="0.25">
      <c r="C76" s="86" t="s">
        <v>150</v>
      </c>
      <c r="D76" s="88">
        <f>SUM(D62:D74)/SUM(D62:E74)</f>
        <v>0.92307692307692313</v>
      </c>
      <c r="E76" s="89">
        <f>SUM(E62:E74)/SUM(D62:E74)</f>
        <v>7.6923076923076927E-2</v>
      </c>
      <c r="I76"/>
      <c r="J76"/>
      <c r="K76"/>
      <c r="O76"/>
      <c r="P76"/>
      <c r="Q76"/>
      <c r="R76"/>
      <c r="Z76"/>
    </row>
    <row r="77" spans="1:38" x14ac:dyDescent="0.2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AA77" s="58"/>
      <c r="AB77" s="58"/>
      <c r="AC77" s="58"/>
      <c r="AD77" s="58"/>
      <c r="AE77" s="58"/>
      <c r="AF77" s="58"/>
      <c r="AG77" s="58"/>
      <c r="AH77" s="58"/>
      <c r="AI77" s="58"/>
      <c r="AJ77" s="58"/>
      <c r="AK77" s="58"/>
      <c r="AL77" s="58"/>
    </row>
    <row r="78" spans="1:38" x14ac:dyDescent="0.2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AA78" s="58"/>
      <c r="AB78" s="58"/>
      <c r="AC78" s="58"/>
      <c r="AD78" s="58"/>
      <c r="AE78" s="58"/>
      <c r="AF78" s="58"/>
      <c r="AG78" s="58"/>
      <c r="AH78" s="58"/>
      <c r="AI78" s="58"/>
      <c r="AJ78" s="58"/>
      <c r="AK78" s="58"/>
      <c r="AL78" s="58"/>
    </row>
    <row r="79" spans="1:38" ht="21" x14ac:dyDescent="0.25">
      <c r="A79" s="84" t="s">
        <v>151</v>
      </c>
      <c r="B79" s="84"/>
      <c r="C79" s="58"/>
      <c r="D79" s="58"/>
      <c r="E79" s="58"/>
      <c r="F79" s="58"/>
      <c r="G79" s="58"/>
      <c r="H79" s="58"/>
      <c r="I79" s="58"/>
      <c r="J79" s="58"/>
      <c r="K79" s="58"/>
      <c r="AA79" s="58"/>
      <c r="AB79" s="58"/>
      <c r="AC79" s="58"/>
      <c r="AD79" s="58"/>
      <c r="AE79" s="58"/>
      <c r="AF79" s="58"/>
      <c r="AG79" s="58"/>
      <c r="AH79" s="58"/>
      <c r="AI79" s="58"/>
      <c r="AJ79" s="58"/>
      <c r="AK79" s="58"/>
      <c r="AL79" s="58"/>
    </row>
    <row r="80" spans="1:38" x14ac:dyDescent="0.2">
      <c r="A80" s="58" t="s">
        <v>152</v>
      </c>
      <c r="B80" s="90" cm="1">
        <f t="array" ref="B80">SQRT(AVERAGE((AN4:AN16)^2))</f>
        <v>0.41731085305615684</v>
      </c>
      <c r="C80" s="58"/>
      <c r="D80" s="58"/>
      <c r="E80" s="58"/>
      <c r="F80" s="58"/>
      <c r="G80" s="58"/>
      <c r="H80" s="58"/>
      <c r="I80" s="58"/>
      <c r="J80" s="58"/>
      <c r="K80" s="58"/>
      <c r="AA80" s="58"/>
      <c r="AB80" s="58"/>
      <c r="AC80" s="58"/>
      <c r="AD80" s="58"/>
      <c r="AE80" s="58"/>
      <c r="AF80" s="58"/>
      <c r="AG80" s="58"/>
      <c r="AH80" s="58"/>
      <c r="AI80" s="58"/>
      <c r="AJ80" s="58"/>
      <c r="AK80" s="58"/>
      <c r="AL80" s="58"/>
    </row>
    <row r="81" spans="1:38" x14ac:dyDescent="0.2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AA81" s="58"/>
      <c r="AB81" s="58"/>
      <c r="AC81" s="58"/>
      <c r="AD81" s="58"/>
      <c r="AE81" s="58"/>
      <c r="AF81" s="58"/>
      <c r="AG81" s="58"/>
      <c r="AH81" s="58"/>
      <c r="AI81" s="58"/>
      <c r="AJ81" s="58"/>
      <c r="AK81" s="58"/>
      <c r="AL81" s="58"/>
    </row>
    <row r="82" spans="1:38" x14ac:dyDescent="0.2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AA82" s="58"/>
      <c r="AB82" s="58"/>
      <c r="AC82" s="58"/>
      <c r="AD82" s="58"/>
      <c r="AE82" s="58"/>
      <c r="AF82" s="58"/>
      <c r="AG82" s="58"/>
      <c r="AH82" s="58"/>
      <c r="AI82" s="58"/>
      <c r="AJ82" s="58"/>
      <c r="AK82" s="58"/>
      <c r="AL82" s="58"/>
    </row>
    <row r="83" spans="1:38" x14ac:dyDescent="0.2">
      <c r="C83" s="58"/>
      <c r="D83" s="58"/>
      <c r="E83" s="58"/>
      <c r="F83" s="58"/>
      <c r="G83" s="58"/>
      <c r="H83" s="58"/>
      <c r="I83" s="58"/>
      <c r="J83" s="58"/>
      <c r="K83" s="58"/>
      <c r="AA83" s="58"/>
      <c r="AB83" s="58"/>
      <c r="AC83" s="58"/>
      <c r="AD83" s="58"/>
      <c r="AE83" s="58"/>
      <c r="AF83" s="58"/>
      <c r="AG83" s="58"/>
      <c r="AH83" s="58"/>
      <c r="AI83" s="58"/>
      <c r="AJ83" s="58"/>
      <c r="AK83" s="58"/>
      <c r="AL83" s="58"/>
    </row>
    <row r="84" spans="1:38" x14ac:dyDescent="0.2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AA84" s="58"/>
      <c r="AB84" s="58"/>
      <c r="AC84" s="58"/>
      <c r="AD84" s="58"/>
      <c r="AE84" s="58"/>
      <c r="AF84" s="58"/>
      <c r="AG84" s="58"/>
      <c r="AH84" s="58"/>
      <c r="AI84" s="58"/>
      <c r="AJ84" s="58"/>
      <c r="AK84" s="58"/>
      <c r="AL84" s="58"/>
    </row>
    <row r="85" spans="1:38" x14ac:dyDescent="0.2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AA85" s="58"/>
      <c r="AB85" s="58"/>
      <c r="AC85" s="58"/>
      <c r="AD85" s="58"/>
      <c r="AE85" s="58"/>
      <c r="AF85" s="58"/>
      <c r="AG85" s="58"/>
      <c r="AH85" s="58"/>
      <c r="AI85" s="58"/>
      <c r="AJ85" s="58"/>
      <c r="AK85" s="58"/>
      <c r="AL85" s="58"/>
    </row>
    <row r="86" spans="1:38" x14ac:dyDescent="0.2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AA86" s="58"/>
      <c r="AB86" s="58"/>
      <c r="AC86" s="58"/>
      <c r="AD86" s="58"/>
      <c r="AE86" s="58"/>
      <c r="AF86" s="58"/>
      <c r="AG86" s="58"/>
      <c r="AH86" s="58"/>
      <c r="AI86" s="58"/>
      <c r="AJ86" s="58"/>
      <c r="AK86" s="58"/>
      <c r="AL86" s="58"/>
    </row>
    <row r="87" spans="1:38" x14ac:dyDescent="0.2">
      <c r="AA87" s="58"/>
      <c r="AB87" s="58"/>
      <c r="AC87" s="58"/>
      <c r="AD87" s="58"/>
      <c r="AE87" s="58"/>
      <c r="AF87" s="58"/>
      <c r="AG87" s="58"/>
      <c r="AH87" s="58"/>
      <c r="AI87" s="58"/>
      <c r="AJ87" s="58"/>
      <c r="AK87" s="58"/>
      <c r="AL87" s="58"/>
    </row>
    <row r="88" spans="1:38" x14ac:dyDescent="0.2">
      <c r="AA88" s="58"/>
      <c r="AB88" s="58"/>
      <c r="AC88" s="58"/>
      <c r="AD88" s="58"/>
      <c r="AE88" s="58"/>
      <c r="AF88" s="58"/>
      <c r="AG88" s="58"/>
      <c r="AH88" s="58"/>
      <c r="AI88" s="58"/>
      <c r="AJ88" s="58"/>
      <c r="AK88" s="58"/>
      <c r="AL88" s="58"/>
    </row>
    <row r="89" spans="1:38" x14ac:dyDescent="0.2">
      <c r="AA89" s="58"/>
      <c r="AB89" s="58"/>
      <c r="AC89" s="58"/>
      <c r="AD89" s="58"/>
      <c r="AE89" s="58"/>
      <c r="AF89" s="58"/>
      <c r="AG89" s="58"/>
      <c r="AH89" s="58"/>
      <c r="AI89" s="58"/>
      <c r="AJ89" s="58"/>
      <c r="AK89" s="58"/>
      <c r="AL89" s="58"/>
    </row>
    <row r="90" spans="1:38" x14ac:dyDescent="0.2">
      <c r="AA90" s="58"/>
      <c r="AB90" s="58"/>
      <c r="AC90" s="58"/>
      <c r="AD90" s="58"/>
      <c r="AE90" s="58"/>
      <c r="AF90" s="58"/>
      <c r="AG90" s="58"/>
      <c r="AH90" s="58"/>
      <c r="AI90" s="58"/>
      <c r="AJ90" s="58"/>
      <c r="AK90" s="58"/>
      <c r="AL90" s="58"/>
    </row>
    <row r="91" spans="1:38" x14ac:dyDescent="0.2">
      <c r="AA91" s="58"/>
      <c r="AB91" s="58"/>
      <c r="AC91" s="58"/>
      <c r="AD91" s="58"/>
      <c r="AE91" s="58"/>
      <c r="AF91" s="58"/>
      <c r="AG91" s="58"/>
      <c r="AH91" s="58"/>
      <c r="AI91" s="58"/>
      <c r="AJ91" s="58"/>
      <c r="AK91" s="58"/>
      <c r="AL91" s="58"/>
    </row>
    <row r="92" spans="1:38" x14ac:dyDescent="0.2">
      <c r="AA92" s="58"/>
      <c r="AB92" s="58"/>
      <c r="AC92" s="58"/>
      <c r="AD92" s="58"/>
      <c r="AE92" s="58"/>
      <c r="AF92" s="58"/>
      <c r="AG92" s="58"/>
      <c r="AH92" s="58"/>
      <c r="AI92" s="58"/>
      <c r="AJ92" s="58"/>
      <c r="AK92" s="58"/>
      <c r="AL92" s="58"/>
    </row>
    <row r="93" spans="1:38" x14ac:dyDescent="0.2">
      <c r="AA93" s="58"/>
      <c r="AB93" s="58"/>
      <c r="AC93" s="58"/>
      <c r="AD93" s="58"/>
      <c r="AE93" s="58"/>
      <c r="AF93" s="58"/>
      <c r="AG93" s="58"/>
      <c r="AH93" s="58"/>
      <c r="AI93" s="58"/>
      <c r="AJ93" s="58"/>
      <c r="AK93" s="58"/>
      <c r="AL93" s="58"/>
    </row>
    <row r="94" spans="1:38" x14ac:dyDescent="0.2">
      <c r="AA94" s="58"/>
      <c r="AB94" s="58"/>
      <c r="AC94" s="58"/>
      <c r="AD94" s="58"/>
      <c r="AE94" s="58"/>
      <c r="AF94" s="58"/>
      <c r="AG94" s="58"/>
      <c r="AH94" s="58"/>
      <c r="AI94" s="58"/>
      <c r="AJ94" s="58"/>
      <c r="AK94" s="58"/>
      <c r="AL94" s="58"/>
    </row>
    <row r="95" spans="1:38" x14ac:dyDescent="0.2">
      <c r="AA95" s="58"/>
      <c r="AB95" s="58"/>
      <c r="AC95" s="58"/>
      <c r="AD95" s="58"/>
      <c r="AE95" s="58"/>
      <c r="AF95" s="58"/>
      <c r="AG95" s="58"/>
      <c r="AH95" s="58"/>
      <c r="AI95" s="58"/>
      <c r="AJ95" s="58"/>
      <c r="AK95" s="58"/>
      <c r="AL95" s="58"/>
    </row>
    <row r="96" spans="1:38" x14ac:dyDescent="0.2">
      <c r="AA96" s="58"/>
      <c r="AB96" s="58"/>
      <c r="AC96" s="58"/>
      <c r="AD96" s="58"/>
      <c r="AE96" s="58"/>
      <c r="AF96" s="58"/>
      <c r="AG96" s="58"/>
      <c r="AH96" s="58"/>
      <c r="AI96" s="58"/>
      <c r="AJ96" s="58"/>
      <c r="AK96" s="58"/>
      <c r="AL96" s="58"/>
    </row>
    <row r="97" spans="27:38" x14ac:dyDescent="0.2">
      <c r="AA97" s="58"/>
      <c r="AB97" s="58"/>
      <c r="AC97" s="58"/>
      <c r="AD97" s="58"/>
      <c r="AE97" s="58"/>
      <c r="AF97" s="58"/>
      <c r="AG97" s="58"/>
      <c r="AH97" s="58"/>
      <c r="AI97" s="58"/>
      <c r="AJ97" s="58"/>
      <c r="AK97" s="58"/>
      <c r="AL97" s="58"/>
    </row>
    <row r="98" spans="27:38" x14ac:dyDescent="0.2">
      <c r="AA98" s="58"/>
      <c r="AB98" s="58"/>
      <c r="AC98" s="58"/>
      <c r="AD98" s="58"/>
      <c r="AE98" s="58"/>
      <c r="AF98" s="58"/>
      <c r="AG98" s="58"/>
      <c r="AH98" s="58"/>
      <c r="AI98" s="58"/>
      <c r="AJ98" s="58"/>
      <c r="AK98" s="58"/>
      <c r="AL98" s="58"/>
    </row>
    <row r="99" spans="27:38" x14ac:dyDescent="0.2">
      <c r="AA99" s="58"/>
      <c r="AB99" s="58"/>
      <c r="AC99" s="58"/>
      <c r="AD99" s="58"/>
      <c r="AE99" s="58"/>
      <c r="AF99" s="58"/>
      <c r="AG99" s="58"/>
      <c r="AH99" s="58"/>
      <c r="AI99" s="58"/>
      <c r="AJ99" s="58"/>
      <c r="AK99" s="58"/>
      <c r="AL99" s="58"/>
    </row>
    <row r="100" spans="27:38" x14ac:dyDescent="0.2">
      <c r="AA100" s="58"/>
      <c r="AB100" s="58"/>
      <c r="AC100" s="58"/>
      <c r="AD100" s="58"/>
      <c r="AE100" s="58"/>
      <c r="AF100" s="58"/>
      <c r="AG100" s="58"/>
      <c r="AH100" s="58"/>
      <c r="AI100" s="58"/>
      <c r="AJ100" s="58"/>
      <c r="AK100" s="58"/>
      <c r="AL100" s="58"/>
    </row>
    <row r="101" spans="27:38" x14ac:dyDescent="0.2">
      <c r="AA101" s="58"/>
      <c r="AB101" s="58"/>
      <c r="AC101" s="58"/>
      <c r="AD101" s="58"/>
      <c r="AE101" s="58"/>
      <c r="AF101" s="58"/>
      <c r="AG101" s="58"/>
      <c r="AH101" s="58"/>
      <c r="AI101" s="58"/>
      <c r="AJ101" s="58"/>
      <c r="AK101" s="58"/>
      <c r="AL101" s="58"/>
    </row>
    <row r="102" spans="27:38" x14ac:dyDescent="0.2">
      <c r="AA102" s="58"/>
      <c r="AB102" s="58"/>
      <c r="AC102" s="58"/>
      <c r="AD102" s="58"/>
      <c r="AE102" s="58"/>
      <c r="AF102" s="58"/>
      <c r="AG102" s="58"/>
      <c r="AH102" s="58"/>
      <c r="AI102" s="58"/>
      <c r="AJ102" s="58"/>
      <c r="AK102" s="58"/>
      <c r="AL102" s="58"/>
    </row>
    <row r="103" spans="27:38" x14ac:dyDescent="0.2">
      <c r="AA103" s="58"/>
      <c r="AB103" s="58"/>
      <c r="AC103" s="58"/>
      <c r="AD103" s="58"/>
      <c r="AE103" s="58"/>
      <c r="AF103" s="58"/>
      <c r="AG103" s="58"/>
      <c r="AH103" s="58"/>
      <c r="AI103" s="58"/>
      <c r="AJ103" s="58"/>
      <c r="AK103" s="58"/>
      <c r="AL103" s="58"/>
    </row>
    <row r="104" spans="27:38" x14ac:dyDescent="0.2">
      <c r="AA104" s="58"/>
      <c r="AB104" s="58"/>
      <c r="AC104" s="58"/>
      <c r="AD104" s="58"/>
      <c r="AE104" s="58"/>
      <c r="AF104" s="58"/>
      <c r="AG104" s="58"/>
      <c r="AH104" s="58"/>
      <c r="AI104" s="58"/>
      <c r="AJ104" s="58"/>
      <c r="AK104" s="58"/>
      <c r="AL104" s="58"/>
    </row>
    <row r="105" spans="27:38" x14ac:dyDescent="0.2">
      <c r="AA105" s="58"/>
      <c r="AB105" s="58"/>
      <c r="AC105" s="58"/>
      <c r="AD105" s="58"/>
      <c r="AE105" s="58"/>
      <c r="AF105" s="58"/>
      <c r="AG105" s="58"/>
      <c r="AH105" s="58"/>
      <c r="AI105" s="58"/>
      <c r="AJ105" s="58"/>
      <c r="AK105" s="58"/>
      <c r="AL105" s="58"/>
    </row>
    <row r="106" spans="27:38" x14ac:dyDescent="0.2">
      <c r="AA106" s="58"/>
      <c r="AB106" s="58"/>
      <c r="AC106" s="58"/>
      <c r="AD106" s="58"/>
      <c r="AE106" s="58"/>
      <c r="AF106" s="58"/>
      <c r="AG106" s="58"/>
      <c r="AH106" s="58"/>
      <c r="AI106" s="58"/>
      <c r="AJ106" s="58"/>
      <c r="AK106" s="58"/>
      <c r="AL106" s="58"/>
    </row>
    <row r="107" spans="27:38" x14ac:dyDescent="0.2">
      <c r="AA107" s="58"/>
      <c r="AB107" s="58"/>
      <c r="AC107" s="58"/>
      <c r="AD107" s="58"/>
      <c r="AE107" s="58"/>
      <c r="AF107" s="58"/>
      <c r="AG107" s="58"/>
      <c r="AH107" s="58"/>
      <c r="AI107" s="58"/>
      <c r="AJ107" s="58"/>
      <c r="AK107" s="58"/>
      <c r="AL107" s="58"/>
    </row>
    <row r="108" spans="27:38" x14ac:dyDescent="0.2">
      <c r="AA108" s="58"/>
      <c r="AB108" s="58"/>
      <c r="AC108" s="58"/>
      <c r="AD108" s="58"/>
      <c r="AE108" s="58"/>
      <c r="AF108" s="58"/>
      <c r="AG108" s="58"/>
      <c r="AH108" s="58"/>
      <c r="AI108" s="58"/>
      <c r="AJ108" s="58"/>
      <c r="AK108" s="58"/>
      <c r="AL108" s="58"/>
    </row>
    <row r="109" spans="27:38" x14ac:dyDescent="0.2">
      <c r="AA109" s="58"/>
      <c r="AB109" s="58"/>
      <c r="AC109" s="58"/>
      <c r="AD109" s="58"/>
      <c r="AE109" s="58"/>
      <c r="AF109" s="58"/>
      <c r="AG109" s="58"/>
      <c r="AH109" s="58"/>
      <c r="AI109" s="58"/>
      <c r="AJ109" s="58"/>
      <c r="AK109" s="58"/>
      <c r="AL109" s="58"/>
    </row>
    <row r="110" spans="27:38" x14ac:dyDescent="0.2">
      <c r="AA110" s="58"/>
      <c r="AB110" s="58"/>
      <c r="AC110" s="58"/>
      <c r="AD110" s="58"/>
      <c r="AE110" s="58"/>
      <c r="AF110" s="58"/>
      <c r="AG110" s="58"/>
      <c r="AH110" s="58"/>
      <c r="AI110" s="58"/>
      <c r="AJ110" s="58"/>
      <c r="AK110" s="58"/>
      <c r="AL110" s="58"/>
    </row>
    <row r="111" spans="27:38" x14ac:dyDescent="0.2">
      <c r="AA111" s="58"/>
      <c r="AB111" s="58"/>
      <c r="AC111" s="58"/>
      <c r="AD111" s="58"/>
      <c r="AE111" s="58"/>
      <c r="AF111" s="58"/>
      <c r="AG111" s="58"/>
      <c r="AH111" s="58"/>
      <c r="AI111" s="58"/>
      <c r="AJ111" s="58"/>
      <c r="AK111" s="58"/>
      <c r="AL111" s="58"/>
    </row>
    <row r="112" spans="27:38" x14ac:dyDescent="0.2">
      <c r="AA112" s="58"/>
      <c r="AB112" s="58"/>
      <c r="AC112" s="58"/>
      <c r="AD112" s="58"/>
      <c r="AE112" s="58"/>
      <c r="AF112" s="58"/>
      <c r="AG112" s="58"/>
      <c r="AH112" s="58"/>
      <c r="AI112" s="58"/>
      <c r="AJ112" s="58"/>
      <c r="AK112" s="58"/>
      <c r="AL112" s="58"/>
    </row>
    <row r="113" spans="27:38" x14ac:dyDescent="0.2">
      <c r="AA113" s="58"/>
      <c r="AB113" s="58"/>
      <c r="AC113" s="58"/>
      <c r="AD113" s="58"/>
      <c r="AE113" s="58"/>
      <c r="AF113" s="58"/>
      <c r="AG113" s="58"/>
      <c r="AH113" s="58"/>
      <c r="AI113" s="58"/>
      <c r="AJ113" s="58"/>
      <c r="AK113" s="58"/>
      <c r="AL113" s="58"/>
    </row>
    <row r="114" spans="27:38" x14ac:dyDescent="0.2">
      <c r="AA114" s="58"/>
      <c r="AB114" s="58"/>
      <c r="AC114" s="58"/>
      <c r="AD114" s="58"/>
      <c r="AE114" s="58"/>
      <c r="AF114" s="58"/>
      <c r="AG114" s="58"/>
      <c r="AH114" s="58"/>
      <c r="AI114" s="58"/>
      <c r="AJ114" s="58"/>
      <c r="AK114" s="58"/>
      <c r="AL114" s="58"/>
    </row>
    <row r="115" spans="27:38" x14ac:dyDescent="0.2">
      <c r="AA115" s="58"/>
      <c r="AB115" s="58"/>
      <c r="AC115" s="58"/>
      <c r="AD115" s="58"/>
      <c r="AE115" s="58"/>
      <c r="AF115" s="58"/>
      <c r="AG115" s="58"/>
      <c r="AH115" s="58"/>
      <c r="AI115" s="58"/>
      <c r="AJ115" s="58"/>
      <c r="AK115" s="58"/>
      <c r="AL115" s="58"/>
    </row>
    <row r="116" spans="27:38" x14ac:dyDescent="0.2">
      <c r="AA116" s="58"/>
      <c r="AB116" s="58"/>
      <c r="AC116" s="58"/>
      <c r="AD116" s="58"/>
      <c r="AE116" s="58"/>
      <c r="AF116" s="58"/>
      <c r="AG116" s="58"/>
      <c r="AH116" s="58"/>
      <c r="AI116" s="58"/>
      <c r="AJ116" s="58"/>
      <c r="AK116" s="58"/>
      <c r="AL116" s="58"/>
    </row>
    <row r="117" spans="27:38" x14ac:dyDescent="0.2">
      <c r="AA117" s="58"/>
      <c r="AB117" s="58"/>
      <c r="AC117" s="58"/>
      <c r="AD117" s="58"/>
      <c r="AE117" s="58"/>
      <c r="AF117" s="58"/>
      <c r="AG117" s="58"/>
      <c r="AH117" s="58"/>
      <c r="AI117" s="58"/>
      <c r="AJ117" s="58"/>
      <c r="AK117" s="58"/>
      <c r="AL117" s="58"/>
    </row>
    <row r="118" spans="27:38" x14ac:dyDescent="0.2">
      <c r="AA118" s="58"/>
      <c r="AB118" s="58"/>
      <c r="AC118" s="58"/>
      <c r="AD118" s="58"/>
      <c r="AE118" s="58"/>
      <c r="AF118" s="58"/>
      <c r="AG118" s="58"/>
      <c r="AH118" s="58"/>
      <c r="AI118" s="58"/>
      <c r="AJ118" s="58"/>
      <c r="AK118" s="58"/>
      <c r="AL118" s="58"/>
    </row>
    <row r="119" spans="27:38" x14ac:dyDescent="0.2">
      <c r="AA119" s="58"/>
      <c r="AB119" s="58"/>
      <c r="AC119" s="58"/>
      <c r="AD119" s="58"/>
      <c r="AE119" s="58"/>
      <c r="AF119" s="58"/>
      <c r="AG119" s="58"/>
      <c r="AH119" s="58"/>
      <c r="AI119" s="58"/>
      <c r="AJ119" s="58"/>
      <c r="AK119" s="58"/>
      <c r="AL119" s="58"/>
    </row>
    <row r="120" spans="27:38" x14ac:dyDescent="0.2">
      <c r="AA120" s="58"/>
      <c r="AB120" s="58"/>
      <c r="AC120" s="58"/>
      <c r="AD120" s="58"/>
      <c r="AE120" s="58"/>
      <c r="AF120" s="58"/>
      <c r="AG120" s="58"/>
      <c r="AH120" s="58"/>
      <c r="AI120" s="58"/>
      <c r="AJ120" s="58"/>
      <c r="AK120" s="58"/>
      <c r="AL120" s="58"/>
    </row>
    <row r="121" spans="27:38" x14ac:dyDescent="0.2">
      <c r="AA121" s="58"/>
      <c r="AB121" s="58"/>
      <c r="AC121" s="58"/>
      <c r="AD121" s="58"/>
      <c r="AE121" s="58"/>
      <c r="AF121" s="58"/>
      <c r="AG121" s="58"/>
      <c r="AH121" s="58"/>
      <c r="AI121" s="58"/>
      <c r="AJ121" s="58"/>
      <c r="AK121" s="58"/>
      <c r="AL121" s="58"/>
    </row>
    <row r="122" spans="27:38" x14ac:dyDescent="0.2">
      <c r="AA122" s="58"/>
      <c r="AB122" s="58"/>
      <c r="AC122" s="58"/>
      <c r="AD122" s="58"/>
      <c r="AE122" s="58"/>
      <c r="AF122" s="58"/>
      <c r="AG122" s="58"/>
      <c r="AH122" s="58"/>
      <c r="AI122" s="58"/>
      <c r="AJ122" s="58"/>
      <c r="AK122" s="58"/>
      <c r="AL122" s="58"/>
    </row>
    <row r="123" spans="27:38" x14ac:dyDescent="0.2">
      <c r="AA123" s="58"/>
      <c r="AB123" s="58"/>
      <c r="AC123" s="58"/>
      <c r="AD123" s="58"/>
      <c r="AE123" s="58"/>
      <c r="AF123" s="58"/>
      <c r="AG123" s="58"/>
      <c r="AH123" s="58"/>
      <c r="AI123" s="58"/>
      <c r="AJ123" s="58"/>
      <c r="AK123" s="58"/>
      <c r="AL123" s="58"/>
    </row>
    <row r="124" spans="27:38" x14ac:dyDescent="0.2">
      <c r="AA124" s="58"/>
      <c r="AB124" s="58"/>
      <c r="AC124" s="58"/>
      <c r="AD124" s="58"/>
      <c r="AE124" s="58"/>
      <c r="AF124" s="58"/>
      <c r="AG124" s="58"/>
      <c r="AH124" s="58"/>
      <c r="AI124" s="58"/>
      <c r="AJ124" s="58"/>
      <c r="AK124" s="58"/>
      <c r="AL124" s="58"/>
    </row>
    <row r="125" spans="27:38" x14ac:dyDescent="0.2">
      <c r="AA125" s="58"/>
      <c r="AB125" s="58"/>
      <c r="AC125" s="58"/>
      <c r="AD125" s="58"/>
      <c r="AE125" s="58"/>
      <c r="AF125" s="58"/>
      <c r="AG125" s="58"/>
      <c r="AH125" s="58"/>
      <c r="AI125" s="58"/>
      <c r="AJ125" s="58"/>
      <c r="AK125" s="58"/>
      <c r="AL125" s="58"/>
    </row>
    <row r="126" spans="27:38" x14ac:dyDescent="0.2">
      <c r="AA126" s="58"/>
      <c r="AB126" s="58"/>
      <c r="AC126" s="58"/>
      <c r="AD126" s="58"/>
      <c r="AE126" s="58"/>
      <c r="AF126" s="58"/>
      <c r="AG126" s="58"/>
      <c r="AH126" s="58"/>
      <c r="AI126" s="58"/>
      <c r="AJ126" s="58"/>
      <c r="AK126" s="58"/>
      <c r="AL126" s="58"/>
    </row>
    <row r="127" spans="27:38" x14ac:dyDescent="0.2">
      <c r="AA127" s="58"/>
      <c r="AB127" s="58"/>
      <c r="AC127" s="58"/>
      <c r="AD127" s="58"/>
      <c r="AE127" s="58"/>
      <c r="AF127" s="58"/>
      <c r="AG127" s="58"/>
      <c r="AH127" s="58"/>
      <c r="AI127" s="58"/>
      <c r="AJ127" s="58"/>
      <c r="AK127" s="58"/>
      <c r="AL127" s="58"/>
    </row>
    <row r="128" spans="27:38" x14ac:dyDescent="0.2">
      <c r="AA128" s="58"/>
      <c r="AB128" s="58"/>
      <c r="AC128" s="58"/>
      <c r="AD128" s="58"/>
      <c r="AE128" s="58"/>
      <c r="AF128" s="58"/>
      <c r="AG128" s="58"/>
      <c r="AH128" s="58"/>
      <c r="AI128" s="58"/>
      <c r="AJ128" s="58"/>
      <c r="AK128" s="58"/>
      <c r="AL128" s="58"/>
    </row>
    <row r="129" spans="27:38" x14ac:dyDescent="0.2">
      <c r="AA129" s="58"/>
      <c r="AB129" s="58"/>
      <c r="AC129" s="58"/>
      <c r="AD129" s="58"/>
      <c r="AE129" s="58"/>
      <c r="AF129" s="58"/>
      <c r="AG129" s="58"/>
      <c r="AH129" s="58"/>
      <c r="AI129" s="58"/>
      <c r="AJ129" s="58"/>
      <c r="AK129" s="58"/>
      <c r="AL129" s="58"/>
    </row>
    <row r="130" spans="27:38" x14ac:dyDescent="0.2">
      <c r="AA130" s="58"/>
      <c r="AB130" s="58"/>
      <c r="AC130" s="58"/>
      <c r="AD130" s="58"/>
      <c r="AE130" s="58"/>
      <c r="AF130" s="58"/>
      <c r="AG130" s="58"/>
      <c r="AH130" s="58"/>
      <c r="AI130" s="58"/>
      <c r="AJ130" s="58"/>
      <c r="AK130" s="58"/>
      <c r="AL130" s="58"/>
    </row>
    <row r="131" spans="27:38" x14ac:dyDescent="0.2">
      <c r="AA131" s="58"/>
      <c r="AB131" s="58"/>
      <c r="AC131" s="58"/>
      <c r="AD131" s="58"/>
      <c r="AE131" s="58"/>
      <c r="AF131" s="58"/>
      <c r="AG131" s="58"/>
      <c r="AH131" s="58"/>
      <c r="AI131" s="58"/>
      <c r="AJ131" s="58"/>
      <c r="AK131" s="58"/>
      <c r="AL131" s="58"/>
    </row>
    <row r="132" spans="27:38" x14ac:dyDescent="0.2">
      <c r="AA132" s="58"/>
      <c r="AB132" s="58"/>
      <c r="AC132" s="58"/>
      <c r="AD132" s="58"/>
      <c r="AE132" s="58"/>
      <c r="AF132" s="58"/>
      <c r="AG132" s="58"/>
      <c r="AH132" s="58"/>
      <c r="AI132" s="58"/>
      <c r="AJ132" s="58"/>
      <c r="AK132" s="58"/>
      <c r="AL132" s="58"/>
    </row>
    <row r="133" spans="27:38" x14ac:dyDescent="0.2">
      <c r="AA133" s="58"/>
      <c r="AB133" s="58"/>
      <c r="AC133" s="58"/>
      <c r="AD133" s="58"/>
      <c r="AE133" s="58"/>
      <c r="AF133" s="58"/>
      <c r="AG133" s="58"/>
      <c r="AH133" s="58"/>
      <c r="AI133" s="58"/>
      <c r="AJ133" s="58"/>
      <c r="AK133" s="58"/>
      <c r="AL133" s="58"/>
    </row>
    <row r="134" spans="27:38" x14ac:dyDescent="0.2">
      <c r="AA134" s="58"/>
      <c r="AB134" s="58"/>
      <c r="AC134" s="58"/>
      <c r="AD134" s="58"/>
      <c r="AE134" s="58"/>
      <c r="AF134" s="58"/>
      <c r="AG134" s="58"/>
      <c r="AH134" s="58"/>
      <c r="AI134" s="58"/>
      <c r="AJ134" s="58"/>
      <c r="AK134" s="58"/>
      <c r="AL134" s="58"/>
    </row>
    <row r="135" spans="27:38" x14ac:dyDescent="0.2">
      <c r="AA135" s="58"/>
      <c r="AB135" s="58"/>
      <c r="AC135" s="58"/>
      <c r="AD135" s="58"/>
      <c r="AE135" s="58"/>
      <c r="AF135" s="58"/>
      <c r="AG135" s="58"/>
      <c r="AH135" s="58"/>
      <c r="AI135" s="58"/>
      <c r="AJ135" s="58"/>
      <c r="AK135" s="58"/>
      <c r="AL135" s="58"/>
    </row>
    <row r="136" spans="27:38" x14ac:dyDescent="0.2">
      <c r="AA136" s="58"/>
      <c r="AB136" s="58"/>
      <c r="AC136" s="58"/>
      <c r="AD136" s="58"/>
      <c r="AE136" s="58"/>
      <c r="AF136" s="58"/>
      <c r="AG136" s="58"/>
      <c r="AH136" s="58"/>
      <c r="AI136" s="58"/>
      <c r="AJ136" s="58"/>
      <c r="AK136" s="58"/>
      <c r="AL136" s="58"/>
    </row>
    <row r="137" spans="27:38" x14ac:dyDescent="0.2">
      <c r="AA137" s="58"/>
      <c r="AB137" s="58"/>
      <c r="AC137" s="58"/>
      <c r="AD137" s="58"/>
      <c r="AE137" s="58"/>
      <c r="AF137" s="58"/>
      <c r="AG137" s="58"/>
      <c r="AH137" s="58"/>
      <c r="AI137" s="58"/>
      <c r="AJ137" s="58"/>
      <c r="AK137" s="58"/>
      <c r="AL137" s="58"/>
    </row>
    <row r="138" spans="27:38" x14ac:dyDescent="0.2">
      <c r="AA138" s="58"/>
      <c r="AB138" s="58"/>
      <c r="AC138" s="58"/>
      <c r="AD138" s="58"/>
      <c r="AE138" s="58"/>
      <c r="AF138" s="58"/>
      <c r="AG138" s="58"/>
      <c r="AH138" s="58"/>
      <c r="AI138" s="58"/>
      <c r="AJ138" s="58"/>
      <c r="AK138" s="58"/>
      <c r="AL138" s="58"/>
    </row>
    <row r="139" spans="27:38" x14ac:dyDescent="0.2">
      <c r="AA139" s="58"/>
      <c r="AB139" s="58"/>
      <c r="AC139" s="58"/>
      <c r="AD139" s="58"/>
      <c r="AE139" s="58"/>
      <c r="AF139" s="58"/>
      <c r="AG139" s="58"/>
      <c r="AH139" s="58"/>
      <c r="AI139" s="58"/>
      <c r="AJ139" s="58"/>
      <c r="AK139" s="58"/>
      <c r="AL139" s="58"/>
    </row>
    <row r="140" spans="27:38" x14ac:dyDescent="0.2">
      <c r="AA140" s="58"/>
      <c r="AB140" s="58"/>
      <c r="AC140" s="58"/>
      <c r="AD140" s="58"/>
      <c r="AE140" s="58"/>
      <c r="AF140" s="58"/>
      <c r="AG140" s="58"/>
      <c r="AH140" s="58"/>
      <c r="AI140" s="58"/>
      <c r="AJ140" s="58"/>
      <c r="AK140" s="58"/>
      <c r="AL140" s="58"/>
    </row>
    <row r="141" spans="27:38" x14ac:dyDescent="0.2">
      <c r="AA141" s="58"/>
      <c r="AB141" s="58"/>
      <c r="AC141" s="58"/>
      <c r="AD141" s="58"/>
      <c r="AE141" s="58"/>
      <c r="AF141" s="58"/>
      <c r="AG141" s="58"/>
      <c r="AH141" s="58"/>
      <c r="AI141" s="58"/>
      <c r="AJ141" s="58"/>
      <c r="AK141" s="58"/>
      <c r="AL141" s="58"/>
    </row>
    <row r="142" spans="27:38" x14ac:dyDescent="0.2">
      <c r="AA142" s="58"/>
      <c r="AB142" s="58"/>
      <c r="AC142" s="58"/>
      <c r="AD142" s="58"/>
      <c r="AE142" s="58"/>
      <c r="AF142" s="58"/>
      <c r="AG142" s="58"/>
      <c r="AH142" s="58"/>
      <c r="AI142" s="58"/>
      <c r="AJ142" s="58"/>
      <c r="AK142" s="58"/>
      <c r="AL142" s="58"/>
    </row>
    <row r="143" spans="27:38" x14ac:dyDescent="0.2">
      <c r="AA143" s="58"/>
      <c r="AB143" s="58"/>
      <c r="AC143" s="58"/>
      <c r="AD143" s="58"/>
      <c r="AE143" s="58"/>
      <c r="AF143" s="58"/>
      <c r="AG143" s="58"/>
      <c r="AH143" s="58"/>
      <c r="AI143" s="58"/>
      <c r="AJ143" s="58"/>
      <c r="AK143" s="58"/>
      <c r="AL143" s="58"/>
    </row>
    <row r="144" spans="27:38" x14ac:dyDescent="0.2">
      <c r="AA144" s="58"/>
      <c r="AB144" s="58"/>
      <c r="AC144" s="58"/>
      <c r="AD144" s="58"/>
      <c r="AE144" s="58"/>
      <c r="AF144" s="58"/>
      <c r="AG144" s="58"/>
      <c r="AH144" s="58"/>
      <c r="AI144" s="58"/>
      <c r="AJ144" s="58"/>
      <c r="AK144" s="58"/>
      <c r="AL144" s="58"/>
    </row>
    <row r="145" spans="27:38" x14ac:dyDescent="0.2">
      <c r="AA145" s="58"/>
      <c r="AB145" s="58"/>
      <c r="AC145" s="58"/>
      <c r="AD145" s="58"/>
      <c r="AE145" s="58"/>
      <c r="AF145" s="58"/>
      <c r="AG145" s="58"/>
      <c r="AH145" s="58"/>
      <c r="AI145" s="58"/>
      <c r="AJ145" s="58"/>
      <c r="AK145" s="58"/>
      <c r="AL145" s="58"/>
    </row>
    <row r="146" spans="27:38" x14ac:dyDescent="0.2">
      <c r="AA146" s="58"/>
      <c r="AB146" s="58"/>
      <c r="AC146" s="58"/>
      <c r="AD146" s="58"/>
      <c r="AE146" s="58"/>
      <c r="AF146" s="58"/>
      <c r="AG146" s="58"/>
      <c r="AH146" s="58"/>
      <c r="AI146" s="58"/>
      <c r="AJ146" s="58"/>
      <c r="AK146" s="58"/>
      <c r="AL146" s="58"/>
    </row>
    <row r="147" spans="27:38" x14ac:dyDescent="0.2">
      <c r="AA147" s="58"/>
      <c r="AB147" s="58"/>
      <c r="AC147" s="58"/>
      <c r="AD147" s="58"/>
      <c r="AE147" s="58"/>
      <c r="AF147" s="58"/>
      <c r="AG147" s="58"/>
      <c r="AH147" s="58"/>
      <c r="AI147" s="58"/>
      <c r="AJ147" s="58"/>
      <c r="AK147" s="58"/>
      <c r="AL147" s="58"/>
    </row>
    <row r="148" spans="27:38" x14ac:dyDescent="0.2">
      <c r="AA148" s="58"/>
      <c r="AB148" s="58"/>
      <c r="AC148" s="58"/>
      <c r="AD148" s="58"/>
      <c r="AE148" s="58"/>
      <c r="AF148" s="58"/>
      <c r="AG148" s="58"/>
      <c r="AH148" s="58"/>
      <c r="AI148" s="58"/>
      <c r="AJ148" s="58"/>
      <c r="AK148" s="58"/>
      <c r="AL148" s="58"/>
    </row>
    <row r="149" spans="27:38" x14ac:dyDescent="0.2">
      <c r="AA149" s="58"/>
      <c r="AB149" s="58"/>
      <c r="AC149" s="58"/>
      <c r="AD149" s="58"/>
      <c r="AE149" s="58"/>
      <c r="AF149" s="58"/>
      <c r="AG149" s="58"/>
      <c r="AH149" s="58"/>
      <c r="AI149" s="58"/>
      <c r="AJ149" s="58"/>
      <c r="AK149" s="58"/>
      <c r="AL149" s="58"/>
    </row>
    <row r="150" spans="27:38" x14ac:dyDescent="0.2">
      <c r="AA150" s="58"/>
      <c r="AB150" s="58"/>
      <c r="AC150" s="58"/>
      <c r="AD150" s="58"/>
      <c r="AE150" s="58"/>
      <c r="AF150" s="58"/>
      <c r="AG150" s="58"/>
      <c r="AH150" s="58"/>
      <c r="AI150" s="58"/>
      <c r="AJ150" s="58"/>
      <c r="AK150" s="58"/>
      <c r="AL150" s="58"/>
    </row>
    <row r="151" spans="27:38" x14ac:dyDescent="0.2">
      <c r="AA151" s="58"/>
      <c r="AB151" s="58"/>
      <c r="AC151" s="58"/>
      <c r="AD151" s="58"/>
      <c r="AE151" s="58"/>
      <c r="AF151" s="58"/>
      <c r="AG151" s="58"/>
      <c r="AH151" s="58"/>
      <c r="AI151" s="58"/>
      <c r="AJ151" s="58"/>
      <c r="AK151" s="58"/>
      <c r="AL151" s="58"/>
    </row>
    <row r="152" spans="27:38" x14ac:dyDescent="0.2">
      <c r="AA152" s="58"/>
      <c r="AB152" s="58"/>
      <c r="AC152" s="58"/>
      <c r="AD152" s="58"/>
      <c r="AE152" s="58"/>
      <c r="AF152" s="58"/>
      <c r="AG152" s="58"/>
      <c r="AH152" s="58"/>
      <c r="AI152" s="58"/>
      <c r="AJ152" s="58"/>
      <c r="AK152" s="58"/>
      <c r="AL152" s="58"/>
    </row>
    <row r="153" spans="27:38" x14ac:dyDescent="0.2">
      <c r="AA153" s="58"/>
      <c r="AB153" s="58"/>
      <c r="AC153" s="58"/>
      <c r="AD153" s="58"/>
      <c r="AE153" s="58"/>
      <c r="AF153" s="58"/>
      <c r="AG153" s="58"/>
      <c r="AH153" s="58"/>
      <c r="AI153" s="58"/>
      <c r="AJ153" s="58"/>
      <c r="AK153" s="58"/>
      <c r="AL153" s="58"/>
    </row>
    <row r="154" spans="27:38" x14ac:dyDescent="0.2">
      <c r="AA154" s="58"/>
      <c r="AB154" s="58"/>
      <c r="AC154" s="58"/>
      <c r="AD154" s="58"/>
      <c r="AE154" s="58"/>
      <c r="AF154" s="58"/>
      <c r="AG154" s="58"/>
      <c r="AH154" s="58"/>
      <c r="AI154" s="58"/>
      <c r="AJ154" s="58"/>
      <c r="AK154" s="58"/>
      <c r="AL154" s="58"/>
    </row>
    <row r="155" spans="27:38" x14ac:dyDescent="0.2">
      <c r="AA155" s="58"/>
      <c r="AB155" s="58"/>
      <c r="AC155" s="58"/>
      <c r="AD155" s="58"/>
      <c r="AE155" s="58"/>
      <c r="AF155" s="58"/>
      <c r="AG155" s="58"/>
      <c r="AH155" s="58"/>
      <c r="AI155" s="58"/>
      <c r="AJ155" s="58"/>
      <c r="AK155" s="58"/>
      <c r="AL155" s="58"/>
    </row>
    <row r="156" spans="27:38" x14ac:dyDescent="0.2">
      <c r="AA156" s="58"/>
      <c r="AB156" s="58"/>
      <c r="AC156" s="58"/>
      <c r="AD156" s="58"/>
      <c r="AE156" s="58"/>
      <c r="AF156" s="58"/>
      <c r="AG156" s="58"/>
      <c r="AH156" s="58"/>
      <c r="AI156" s="58"/>
      <c r="AJ156" s="58"/>
      <c r="AK156" s="58"/>
      <c r="AL156" s="58"/>
    </row>
    <row r="157" spans="27:38" x14ac:dyDescent="0.2">
      <c r="AA157" s="58"/>
      <c r="AB157" s="58"/>
      <c r="AC157" s="58"/>
      <c r="AD157" s="58"/>
      <c r="AE157" s="58"/>
      <c r="AF157" s="58"/>
      <c r="AG157" s="58"/>
      <c r="AH157" s="58"/>
      <c r="AI157" s="58"/>
      <c r="AJ157" s="58"/>
      <c r="AK157" s="58"/>
      <c r="AL157" s="58"/>
    </row>
    <row r="158" spans="27:38" x14ac:dyDescent="0.2">
      <c r="AA158" s="58"/>
      <c r="AB158" s="58"/>
      <c r="AC158" s="58"/>
      <c r="AD158" s="58"/>
      <c r="AE158" s="58"/>
      <c r="AF158" s="58"/>
      <c r="AG158" s="58"/>
      <c r="AH158" s="58"/>
      <c r="AI158" s="58"/>
      <c r="AJ158" s="58"/>
      <c r="AK158" s="58"/>
      <c r="AL158" s="58"/>
    </row>
    <row r="159" spans="27:38" x14ac:dyDescent="0.2">
      <c r="AA159" s="58"/>
      <c r="AB159" s="58"/>
      <c r="AC159" s="58"/>
      <c r="AD159" s="58"/>
      <c r="AE159" s="58"/>
      <c r="AF159" s="58"/>
      <c r="AG159" s="58"/>
      <c r="AH159" s="58"/>
      <c r="AI159" s="58"/>
      <c r="AJ159" s="58"/>
      <c r="AK159" s="58"/>
      <c r="AL159" s="58"/>
    </row>
    <row r="160" spans="27:38" x14ac:dyDescent="0.2">
      <c r="AA160" s="58"/>
      <c r="AB160" s="58"/>
      <c r="AC160" s="58"/>
      <c r="AD160" s="58"/>
      <c r="AE160" s="58"/>
      <c r="AF160" s="58"/>
      <c r="AG160" s="58"/>
      <c r="AH160" s="58"/>
      <c r="AI160" s="58"/>
      <c r="AJ160" s="58"/>
      <c r="AK160" s="58"/>
      <c r="AL160" s="58"/>
    </row>
    <row r="161" spans="27:38" x14ac:dyDescent="0.2">
      <c r="AA161" s="58"/>
      <c r="AB161" s="58"/>
      <c r="AC161" s="58"/>
      <c r="AD161" s="58"/>
      <c r="AE161" s="58"/>
      <c r="AF161" s="58"/>
      <c r="AG161" s="58"/>
      <c r="AH161" s="58"/>
      <c r="AI161" s="58"/>
      <c r="AJ161" s="58"/>
      <c r="AK161" s="58"/>
      <c r="AL161" s="58"/>
    </row>
    <row r="162" spans="27:38" x14ac:dyDescent="0.2">
      <c r="AA162" s="58"/>
      <c r="AB162" s="58"/>
      <c r="AC162" s="58"/>
      <c r="AD162" s="58"/>
      <c r="AE162" s="58"/>
      <c r="AF162" s="58"/>
      <c r="AG162" s="58"/>
      <c r="AH162" s="58"/>
      <c r="AI162" s="58"/>
      <c r="AJ162" s="58"/>
      <c r="AK162" s="58"/>
      <c r="AL162" s="58"/>
    </row>
    <row r="163" spans="27:38" x14ac:dyDescent="0.2">
      <c r="AA163" s="58"/>
      <c r="AB163" s="58"/>
      <c r="AC163" s="58"/>
      <c r="AD163" s="58"/>
      <c r="AE163" s="58"/>
      <c r="AF163" s="58"/>
      <c r="AG163" s="58"/>
      <c r="AH163" s="58"/>
      <c r="AI163" s="58"/>
      <c r="AJ163" s="58"/>
      <c r="AK163" s="58"/>
      <c r="AL163" s="58"/>
    </row>
    <row r="164" spans="27:38" x14ac:dyDescent="0.2">
      <c r="AA164" s="58"/>
      <c r="AB164" s="58"/>
      <c r="AC164" s="58"/>
      <c r="AD164" s="58"/>
      <c r="AE164" s="58"/>
      <c r="AF164" s="58"/>
      <c r="AG164" s="58"/>
      <c r="AH164" s="58"/>
      <c r="AI164" s="58"/>
      <c r="AJ164" s="58"/>
      <c r="AK164" s="58"/>
      <c r="AL164" s="58"/>
    </row>
    <row r="165" spans="27:38" x14ac:dyDescent="0.2">
      <c r="AA165" s="58"/>
      <c r="AB165" s="58"/>
      <c r="AC165" s="58"/>
      <c r="AD165" s="58"/>
      <c r="AE165" s="58"/>
      <c r="AF165" s="58"/>
      <c r="AG165" s="58"/>
      <c r="AH165" s="58"/>
      <c r="AI165" s="58"/>
      <c r="AJ165" s="58"/>
      <c r="AK165" s="58"/>
      <c r="AL165" s="58"/>
    </row>
    <row r="166" spans="27:38" x14ac:dyDescent="0.2">
      <c r="AA166" s="58"/>
      <c r="AB166" s="58"/>
      <c r="AC166" s="58"/>
      <c r="AD166" s="58"/>
      <c r="AE166" s="58"/>
      <c r="AF166" s="58"/>
      <c r="AG166" s="58"/>
      <c r="AH166" s="58"/>
      <c r="AI166" s="58"/>
      <c r="AJ166" s="58"/>
      <c r="AK166" s="58"/>
      <c r="AL166" s="58"/>
    </row>
    <row r="167" spans="27:38" x14ac:dyDescent="0.2">
      <c r="AA167" s="58"/>
      <c r="AB167" s="58"/>
      <c r="AC167" s="58"/>
      <c r="AD167" s="58"/>
      <c r="AE167" s="58"/>
      <c r="AF167" s="58"/>
      <c r="AG167" s="58"/>
      <c r="AH167" s="58"/>
      <c r="AI167" s="58"/>
      <c r="AJ167" s="58"/>
      <c r="AK167" s="58"/>
      <c r="AL167" s="58"/>
    </row>
    <row r="168" spans="27:38" x14ac:dyDescent="0.2">
      <c r="AA168" s="58"/>
      <c r="AB168" s="58"/>
      <c r="AC168" s="58"/>
      <c r="AD168" s="58"/>
      <c r="AE168" s="58"/>
      <c r="AF168" s="58"/>
      <c r="AG168" s="58"/>
      <c r="AH168" s="58"/>
      <c r="AI168" s="58"/>
      <c r="AJ168" s="58"/>
      <c r="AK168" s="58"/>
      <c r="AL168" s="58"/>
    </row>
    <row r="169" spans="27:38" x14ac:dyDescent="0.2">
      <c r="AA169" s="58"/>
      <c r="AB169" s="58"/>
      <c r="AC169" s="58"/>
      <c r="AD169" s="58"/>
      <c r="AE169" s="58"/>
      <c r="AF169" s="58"/>
      <c r="AG169" s="58"/>
      <c r="AH169" s="58"/>
      <c r="AI169" s="58"/>
      <c r="AJ169" s="58"/>
      <c r="AK169" s="58"/>
      <c r="AL169" s="58"/>
    </row>
    <row r="170" spans="27:38" x14ac:dyDescent="0.2">
      <c r="AA170" s="58"/>
      <c r="AB170" s="58"/>
      <c r="AC170" s="58"/>
      <c r="AD170" s="58"/>
      <c r="AE170" s="58"/>
      <c r="AF170" s="58"/>
      <c r="AG170" s="58"/>
      <c r="AH170" s="58"/>
      <c r="AI170" s="58"/>
      <c r="AJ170" s="58"/>
      <c r="AK170" s="58"/>
      <c r="AL170" s="58"/>
    </row>
    <row r="171" spans="27:38" x14ac:dyDescent="0.2">
      <c r="AA171" s="58"/>
      <c r="AB171" s="58"/>
      <c r="AC171" s="58"/>
      <c r="AD171" s="58"/>
      <c r="AE171" s="58"/>
      <c r="AF171" s="58"/>
      <c r="AG171" s="58"/>
      <c r="AH171" s="58"/>
      <c r="AI171" s="58"/>
      <c r="AJ171" s="58"/>
      <c r="AK171" s="58"/>
      <c r="AL171" s="58"/>
    </row>
    <row r="172" spans="27:38" x14ac:dyDescent="0.2">
      <c r="AA172" s="58"/>
      <c r="AB172" s="58"/>
      <c r="AC172" s="58"/>
      <c r="AD172" s="58"/>
      <c r="AE172" s="58"/>
      <c r="AF172" s="58"/>
      <c r="AG172" s="58"/>
      <c r="AH172" s="58"/>
      <c r="AI172" s="58"/>
      <c r="AJ172" s="58"/>
      <c r="AK172" s="58"/>
      <c r="AL172" s="58"/>
    </row>
    <row r="173" spans="27:38" x14ac:dyDescent="0.2">
      <c r="AA173" s="58"/>
      <c r="AB173" s="58"/>
      <c r="AC173" s="58"/>
      <c r="AD173" s="58"/>
      <c r="AE173" s="58"/>
      <c r="AF173" s="58"/>
      <c r="AG173" s="58"/>
      <c r="AH173" s="58"/>
      <c r="AI173" s="58"/>
      <c r="AJ173" s="58"/>
      <c r="AK173" s="58"/>
      <c r="AL173" s="58"/>
    </row>
    <row r="174" spans="27:38" x14ac:dyDescent="0.2">
      <c r="AA174" s="58"/>
      <c r="AB174" s="58"/>
      <c r="AC174" s="58"/>
      <c r="AD174" s="58"/>
      <c r="AE174" s="58"/>
      <c r="AF174" s="58"/>
      <c r="AG174" s="58"/>
      <c r="AH174" s="58"/>
      <c r="AI174" s="58"/>
      <c r="AJ174" s="58"/>
      <c r="AK174" s="58"/>
      <c r="AL174" s="58"/>
    </row>
    <row r="175" spans="27:38" x14ac:dyDescent="0.2">
      <c r="AA175" s="58"/>
      <c r="AB175" s="58"/>
      <c r="AC175" s="58"/>
      <c r="AD175" s="58"/>
      <c r="AE175" s="58"/>
      <c r="AF175" s="58"/>
      <c r="AG175" s="58"/>
      <c r="AH175" s="58"/>
      <c r="AI175" s="58"/>
      <c r="AJ175" s="58"/>
      <c r="AK175" s="58"/>
      <c r="AL175" s="58"/>
    </row>
    <row r="176" spans="27:38" x14ac:dyDescent="0.2">
      <c r="AA176" s="58"/>
      <c r="AB176" s="58"/>
      <c r="AC176" s="58"/>
      <c r="AD176" s="58"/>
      <c r="AE176" s="58"/>
      <c r="AF176" s="58"/>
      <c r="AG176" s="58"/>
      <c r="AH176" s="58"/>
      <c r="AI176" s="58"/>
      <c r="AJ176" s="58"/>
      <c r="AK176" s="58"/>
      <c r="AL176" s="58"/>
    </row>
    <row r="177" spans="27:38" x14ac:dyDescent="0.2">
      <c r="AA177" s="58"/>
      <c r="AB177" s="58"/>
      <c r="AC177" s="58"/>
      <c r="AD177" s="58"/>
      <c r="AE177" s="58"/>
      <c r="AF177" s="58"/>
      <c r="AG177" s="58"/>
      <c r="AH177" s="58"/>
      <c r="AI177" s="58"/>
      <c r="AJ177" s="58"/>
      <c r="AK177" s="58"/>
      <c r="AL177" s="58"/>
    </row>
    <row r="178" spans="27:38" x14ac:dyDescent="0.2">
      <c r="AA178" s="58"/>
      <c r="AB178" s="58"/>
      <c r="AC178" s="58"/>
      <c r="AD178" s="58"/>
      <c r="AE178" s="58"/>
      <c r="AF178" s="58"/>
      <c r="AG178" s="58"/>
      <c r="AH178" s="58"/>
      <c r="AI178" s="58"/>
      <c r="AJ178" s="58"/>
      <c r="AK178" s="58"/>
      <c r="AL178" s="58"/>
    </row>
    <row r="179" spans="27:38" x14ac:dyDescent="0.2">
      <c r="AA179" s="58"/>
      <c r="AB179" s="58"/>
      <c r="AC179" s="58"/>
      <c r="AD179" s="58"/>
      <c r="AE179" s="58"/>
      <c r="AF179" s="58"/>
      <c r="AG179" s="58"/>
      <c r="AH179" s="58"/>
      <c r="AI179" s="58"/>
      <c r="AJ179" s="58"/>
      <c r="AK179" s="58"/>
      <c r="AL179" s="58"/>
    </row>
    <row r="180" spans="27:38" x14ac:dyDescent="0.2">
      <c r="AA180" s="58"/>
      <c r="AB180" s="58"/>
      <c r="AC180" s="58"/>
      <c r="AD180" s="58"/>
      <c r="AE180" s="58"/>
      <c r="AF180" s="58"/>
      <c r="AG180" s="58"/>
      <c r="AH180" s="58"/>
      <c r="AI180" s="58"/>
      <c r="AJ180" s="58"/>
      <c r="AK180" s="58"/>
      <c r="AL180" s="58"/>
    </row>
    <row r="181" spans="27:38" x14ac:dyDescent="0.2">
      <c r="AA181" s="58"/>
      <c r="AB181" s="58"/>
      <c r="AC181" s="58"/>
      <c r="AD181" s="58"/>
      <c r="AE181" s="58"/>
      <c r="AF181" s="58"/>
      <c r="AG181" s="58"/>
      <c r="AH181" s="58"/>
      <c r="AI181" s="58"/>
      <c r="AJ181" s="58"/>
      <c r="AK181" s="58"/>
      <c r="AL181" s="58"/>
    </row>
    <row r="182" spans="27:38" x14ac:dyDescent="0.2">
      <c r="AA182" s="58"/>
      <c r="AB182" s="58"/>
      <c r="AC182" s="58"/>
      <c r="AD182" s="58"/>
      <c r="AE182" s="58"/>
      <c r="AF182" s="58"/>
      <c r="AG182" s="58"/>
      <c r="AH182" s="58"/>
      <c r="AI182" s="58"/>
      <c r="AJ182" s="58"/>
      <c r="AK182" s="58"/>
      <c r="AL182" s="58"/>
    </row>
    <row r="183" spans="27:38" x14ac:dyDescent="0.2">
      <c r="AA183" s="58"/>
      <c r="AB183" s="58"/>
      <c r="AC183" s="58"/>
      <c r="AD183" s="58"/>
      <c r="AE183" s="58"/>
      <c r="AF183" s="58"/>
      <c r="AG183" s="58"/>
      <c r="AH183" s="58"/>
      <c r="AI183" s="58"/>
      <c r="AJ183" s="58"/>
      <c r="AK183" s="58"/>
      <c r="AL183" s="58"/>
    </row>
    <row r="184" spans="27:38" x14ac:dyDescent="0.2">
      <c r="AA184" s="58"/>
      <c r="AB184" s="58"/>
      <c r="AC184" s="58"/>
      <c r="AD184" s="58"/>
      <c r="AE184" s="58"/>
      <c r="AF184" s="58"/>
      <c r="AG184" s="58"/>
      <c r="AH184" s="58"/>
      <c r="AI184" s="58"/>
      <c r="AJ184" s="58"/>
      <c r="AK184" s="58"/>
      <c r="AL184" s="58"/>
    </row>
    <row r="185" spans="27:38" x14ac:dyDescent="0.2">
      <c r="AA185" s="58"/>
      <c r="AB185" s="58"/>
      <c r="AC185" s="58"/>
      <c r="AD185" s="58"/>
      <c r="AE185" s="58"/>
      <c r="AF185" s="58"/>
      <c r="AG185" s="58"/>
      <c r="AH185" s="58"/>
      <c r="AI185" s="58"/>
      <c r="AJ185" s="58"/>
      <c r="AK185" s="58"/>
      <c r="AL185" s="58"/>
    </row>
    <row r="186" spans="27:38" x14ac:dyDescent="0.2">
      <c r="AA186" s="58"/>
      <c r="AB186" s="58"/>
      <c r="AC186" s="58"/>
      <c r="AD186" s="58"/>
      <c r="AE186" s="58"/>
      <c r="AF186" s="58"/>
      <c r="AG186" s="58"/>
      <c r="AH186" s="58"/>
      <c r="AI186" s="58"/>
      <c r="AJ186" s="58"/>
      <c r="AK186" s="58"/>
      <c r="AL186" s="58"/>
    </row>
    <row r="187" spans="27:38" x14ac:dyDescent="0.2">
      <c r="AA187" s="58"/>
      <c r="AB187" s="58"/>
      <c r="AC187" s="58"/>
      <c r="AD187" s="58"/>
      <c r="AE187" s="58"/>
      <c r="AF187" s="58"/>
      <c r="AG187" s="58"/>
      <c r="AH187" s="58"/>
      <c r="AI187" s="58"/>
      <c r="AJ187" s="58"/>
      <c r="AK187" s="58"/>
      <c r="AL187" s="58"/>
    </row>
    <row r="188" spans="27:38" x14ac:dyDescent="0.2">
      <c r="AA188" s="58"/>
      <c r="AB188" s="58"/>
      <c r="AC188" s="58"/>
      <c r="AD188" s="58"/>
      <c r="AE188" s="58"/>
      <c r="AF188" s="58"/>
      <c r="AG188" s="58"/>
      <c r="AH188" s="58"/>
      <c r="AI188" s="58"/>
      <c r="AJ188" s="58"/>
      <c r="AK188" s="58"/>
      <c r="AL188" s="58"/>
    </row>
    <row r="189" spans="27:38" x14ac:dyDescent="0.2">
      <c r="AA189" s="58"/>
      <c r="AB189" s="58"/>
      <c r="AC189" s="58"/>
      <c r="AD189" s="58"/>
      <c r="AE189" s="58"/>
      <c r="AF189" s="58"/>
      <c r="AG189" s="58"/>
      <c r="AH189" s="58"/>
      <c r="AI189" s="58"/>
      <c r="AJ189" s="58"/>
      <c r="AK189" s="58"/>
      <c r="AL189" s="58"/>
    </row>
    <row r="190" spans="27:38" x14ac:dyDescent="0.2">
      <c r="AA190" s="58"/>
      <c r="AB190" s="58"/>
      <c r="AC190" s="58"/>
      <c r="AD190" s="58"/>
      <c r="AE190" s="58"/>
      <c r="AF190" s="58"/>
      <c r="AG190" s="58"/>
      <c r="AH190" s="58"/>
      <c r="AI190" s="58"/>
      <c r="AJ190" s="58"/>
      <c r="AK190" s="58"/>
      <c r="AL190" s="58"/>
    </row>
    <row r="191" spans="27:38" x14ac:dyDescent="0.2">
      <c r="AA191" s="58"/>
      <c r="AB191" s="58"/>
      <c r="AC191" s="58"/>
      <c r="AD191" s="58"/>
      <c r="AE191" s="58"/>
      <c r="AF191" s="58"/>
      <c r="AG191" s="58"/>
      <c r="AH191" s="58"/>
      <c r="AI191" s="58"/>
      <c r="AJ191" s="58"/>
      <c r="AK191" s="58"/>
      <c r="AL191" s="58"/>
    </row>
    <row r="192" spans="27:38" x14ac:dyDescent="0.2">
      <c r="AA192" s="58"/>
      <c r="AB192" s="58"/>
      <c r="AC192" s="58"/>
      <c r="AD192" s="58"/>
      <c r="AE192" s="58"/>
      <c r="AF192" s="58"/>
      <c r="AG192" s="58"/>
      <c r="AH192" s="58"/>
      <c r="AI192" s="58"/>
      <c r="AJ192" s="58"/>
      <c r="AK192" s="58"/>
      <c r="AL192" s="58"/>
    </row>
    <row r="193" spans="27:38" x14ac:dyDescent="0.2">
      <c r="AA193" s="58"/>
      <c r="AB193" s="58"/>
      <c r="AC193" s="58"/>
      <c r="AD193" s="58"/>
      <c r="AE193" s="58"/>
      <c r="AF193" s="58"/>
      <c r="AG193" s="58"/>
      <c r="AH193" s="58"/>
      <c r="AI193" s="58"/>
      <c r="AJ193" s="58"/>
      <c r="AK193" s="58"/>
      <c r="AL193" s="58"/>
    </row>
    <row r="194" spans="27:38" x14ac:dyDescent="0.2">
      <c r="AA194" s="58"/>
      <c r="AB194" s="58"/>
      <c r="AC194" s="58"/>
      <c r="AD194" s="58"/>
      <c r="AE194" s="58"/>
      <c r="AF194" s="58"/>
      <c r="AG194" s="58"/>
      <c r="AH194" s="58"/>
      <c r="AI194" s="58"/>
      <c r="AJ194" s="58"/>
      <c r="AK194" s="58"/>
      <c r="AL194" s="58"/>
    </row>
    <row r="195" spans="27:38" x14ac:dyDescent="0.2">
      <c r="AA195" s="58"/>
      <c r="AB195" s="58"/>
      <c r="AC195" s="58"/>
      <c r="AD195" s="58"/>
      <c r="AE195" s="58"/>
      <c r="AF195" s="58"/>
      <c r="AG195" s="58"/>
      <c r="AH195" s="58"/>
      <c r="AI195" s="58"/>
      <c r="AJ195" s="58"/>
      <c r="AK195" s="58"/>
      <c r="AL195" s="58"/>
    </row>
    <row r="196" spans="27:38" x14ac:dyDescent="0.2">
      <c r="AA196" s="58"/>
      <c r="AB196" s="58"/>
      <c r="AC196" s="58"/>
      <c r="AD196" s="58"/>
      <c r="AE196" s="58"/>
      <c r="AF196" s="58"/>
      <c r="AG196" s="58"/>
      <c r="AH196" s="58"/>
      <c r="AI196" s="58"/>
      <c r="AJ196" s="58"/>
      <c r="AK196" s="58"/>
      <c r="AL196" s="58"/>
    </row>
    <row r="197" spans="27:38" x14ac:dyDescent="0.2">
      <c r="AA197" s="58"/>
      <c r="AB197" s="58"/>
      <c r="AC197" s="58"/>
      <c r="AD197" s="58"/>
      <c r="AE197" s="58"/>
      <c r="AF197" s="58"/>
      <c r="AG197" s="58"/>
      <c r="AH197" s="58"/>
      <c r="AI197" s="58"/>
      <c r="AJ197" s="58"/>
      <c r="AK197" s="58"/>
      <c r="AL197" s="58"/>
    </row>
    <row r="198" spans="27:38" x14ac:dyDescent="0.2">
      <c r="AA198" s="58"/>
      <c r="AB198" s="58"/>
      <c r="AC198" s="58"/>
      <c r="AD198" s="58"/>
      <c r="AE198" s="58"/>
      <c r="AF198" s="58"/>
      <c r="AG198" s="58"/>
      <c r="AH198" s="58"/>
      <c r="AI198" s="58"/>
      <c r="AJ198" s="58"/>
      <c r="AK198" s="58"/>
      <c r="AL198" s="58"/>
    </row>
    <row r="199" spans="27:38" x14ac:dyDescent="0.2">
      <c r="AA199" s="58"/>
      <c r="AB199" s="58"/>
      <c r="AC199" s="58"/>
      <c r="AD199" s="58"/>
      <c r="AE199" s="58"/>
      <c r="AF199" s="58"/>
      <c r="AG199" s="58"/>
      <c r="AH199" s="58"/>
      <c r="AI199" s="58"/>
      <c r="AJ199" s="58"/>
      <c r="AK199" s="58"/>
      <c r="AL199" s="58"/>
    </row>
    <row r="200" spans="27:38" x14ac:dyDescent="0.2">
      <c r="AA200" s="58"/>
      <c r="AB200" s="58"/>
      <c r="AC200" s="58"/>
      <c r="AD200" s="58"/>
      <c r="AE200" s="58"/>
      <c r="AF200" s="58"/>
      <c r="AG200" s="58"/>
      <c r="AH200" s="58"/>
      <c r="AI200" s="58"/>
      <c r="AJ200" s="58"/>
      <c r="AK200" s="58"/>
      <c r="AL200" s="58"/>
    </row>
    <row r="201" spans="27:38" x14ac:dyDescent="0.2">
      <c r="AA201" s="58"/>
      <c r="AB201" s="58"/>
      <c r="AC201" s="58"/>
      <c r="AD201" s="58"/>
      <c r="AE201" s="58"/>
      <c r="AF201" s="58"/>
      <c r="AG201" s="58"/>
      <c r="AH201" s="58"/>
      <c r="AI201" s="58"/>
      <c r="AJ201" s="58"/>
      <c r="AK201" s="58"/>
      <c r="AL201" s="58"/>
    </row>
    <row r="202" spans="27:38" x14ac:dyDescent="0.2">
      <c r="AA202" s="58"/>
      <c r="AB202" s="58"/>
      <c r="AC202" s="58"/>
      <c r="AD202" s="58"/>
      <c r="AE202" s="58"/>
      <c r="AF202" s="58"/>
      <c r="AG202" s="58"/>
      <c r="AH202" s="58"/>
      <c r="AI202" s="58"/>
      <c r="AJ202" s="58"/>
      <c r="AK202" s="58"/>
      <c r="AL202" s="58"/>
    </row>
    <row r="203" spans="27:38" x14ac:dyDescent="0.2">
      <c r="AA203" s="58"/>
      <c r="AB203" s="58"/>
      <c r="AC203" s="58"/>
      <c r="AD203" s="58"/>
      <c r="AE203" s="58"/>
      <c r="AF203" s="58"/>
      <c r="AG203" s="58"/>
      <c r="AH203" s="58"/>
      <c r="AI203" s="58"/>
      <c r="AJ203" s="58"/>
      <c r="AK203" s="58"/>
      <c r="AL203" s="58"/>
    </row>
    <row r="204" spans="27:38" x14ac:dyDescent="0.2">
      <c r="AA204" s="58"/>
      <c r="AB204" s="58"/>
      <c r="AC204" s="58"/>
      <c r="AD204" s="58"/>
      <c r="AE204" s="58"/>
      <c r="AF204" s="58"/>
      <c r="AG204" s="58"/>
      <c r="AH204" s="58"/>
      <c r="AI204" s="58"/>
      <c r="AJ204" s="58"/>
      <c r="AK204" s="58"/>
      <c r="AL204" s="58"/>
    </row>
    <row r="205" spans="27:38" x14ac:dyDescent="0.2">
      <c r="AA205" s="58"/>
      <c r="AB205" s="58"/>
      <c r="AC205" s="58"/>
      <c r="AD205" s="58"/>
      <c r="AE205" s="58"/>
      <c r="AF205" s="58"/>
      <c r="AG205" s="58"/>
      <c r="AH205" s="58"/>
      <c r="AI205" s="58"/>
      <c r="AJ205" s="58"/>
      <c r="AK205" s="58"/>
      <c r="AL205" s="58"/>
    </row>
    <row r="206" spans="27:38" x14ac:dyDescent="0.2">
      <c r="AA206" s="58"/>
      <c r="AB206" s="58"/>
      <c r="AC206" s="58"/>
      <c r="AD206" s="58"/>
      <c r="AE206" s="58"/>
      <c r="AF206" s="58"/>
      <c r="AG206" s="58"/>
      <c r="AH206" s="58"/>
      <c r="AI206" s="58"/>
      <c r="AJ206" s="58"/>
      <c r="AK206" s="58"/>
      <c r="AL206" s="58"/>
    </row>
    <row r="207" spans="27:38" x14ac:dyDescent="0.2">
      <c r="AA207" s="58"/>
      <c r="AB207" s="58"/>
      <c r="AC207" s="58"/>
      <c r="AD207" s="58"/>
      <c r="AE207" s="58"/>
      <c r="AF207" s="58"/>
      <c r="AG207" s="58"/>
      <c r="AH207" s="58"/>
      <c r="AI207" s="58"/>
      <c r="AJ207" s="58"/>
      <c r="AK207" s="58"/>
      <c r="AL207" s="58"/>
    </row>
    <row r="208" spans="27:38" x14ac:dyDescent="0.2">
      <c r="AA208" s="58"/>
      <c r="AB208" s="58"/>
      <c r="AC208" s="58"/>
      <c r="AD208" s="58"/>
      <c r="AE208" s="58"/>
      <c r="AF208" s="58"/>
      <c r="AG208" s="58"/>
      <c r="AH208" s="58"/>
      <c r="AI208" s="58"/>
      <c r="AJ208" s="58"/>
      <c r="AK208" s="58"/>
      <c r="AL208" s="58"/>
    </row>
    <row r="209" spans="27:38" x14ac:dyDescent="0.2">
      <c r="AA209" s="58"/>
      <c r="AB209" s="58"/>
      <c r="AC209" s="58"/>
      <c r="AD209" s="58"/>
      <c r="AE209" s="58"/>
      <c r="AF209" s="58"/>
      <c r="AG209" s="58"/>
      <c r="AH209" s="58"/>
      <c r="AI209" s="58"/>
      <c r="AJ209" s="58"/>
      <c r="AK209" s="58"/>
      <c r="AL209" s="58"/>
    </row>
    <row r="210" spans="27:38" x14ac:dyDescent="0.2">
      <c r="AA210" s="58"/>
      <c r="AB210" s="58"/>
      <c r="AC210" s="58"/>
      <c r="AD210" s="58"/>
      <c r="AE210" s="58"/>
      <c r="AF210" s="58"/>
      <c r="AG210" s="58"/>
      <c r="AH210" s="58"/>
      <c r="AI210" s="58"/>
      <c r="AJ210" s="58"/>
      <c r="AK210" s="58"/>
      <c r="AL210" s="58"/>
    </row>
    <row r="211" spans="27:38" x14ac:dyDescent="0.2">
      <c r="AA211" s="58"/>
      <c r="AB211" s="58"/>
      <c r="AC211" s="58"/>
      <c r="AD211" s="58"/>
      <c r="AE211" s="58"/>
      <c r="AF211" s="58"/>
      <c r="AG211" s="58"/>
      <c r="AH211" s="58"/>
      <c r="AI211" s="58"/>
      <c r="AJ211" s="58"/>
      <c r="AK211" s="58"/>
      <c r="AL211" s="58"/>
    </row>
    <row r="212" spans="27:38" x14ac:dyDescent="0.2">
      <c r="AA212" s="58"/>
      <c r="AB212" s="58"/>
      <c r="AC212" s="58"/>
      <c r="AD212" s="58"/>
      <c r="AE212" s="58"/>
      <c r="AF212" s="58"/>
      <c r="AG212" s="58"/>
      <c r="AH212" s="58"/>
      <c r="AI212" s="58"/>
      <c r="AJ212" s="58"/>
      <c r="AK212" s="58"/>
      <c r="AL212" s="58"/>
    </row>
    <row r="213" spans="27:38" x14ac:dyDescent="0.2">
      <c r="AA213" s="58"/>
      <c r="AB213" s="58"/>
      <c r="AC213" s="58"/>
      <c r="AD213" s="58"/>
      <c r="AE213" s="58"/>
      <c r="AF213" s="58"/>
      <c r="AG213" s="58"/>
      <c r="AH213" s="58"/>
      <c r="AI213" s="58"/>
      <c r="AJ213" s="58"/>
      <c r="AK213" s="58"/>
      <c r="AL213" s="58"/>
    </row>
    <row r="214" spans="27:38" x14ac:dyDescent="0.2">
      <c r="AA214" s="58"/>
      <c r="AB214" s="58"/>
      <c r="AC214" s="58"/>
      <c r="AD214" s="58"/>
      <c r="AE214" s="58"/>
      <c r="AF214" s="58"/>
      <c r="AG214" s="58"/>
      <c r="AH214" s="58"/>
      <c r="AI214" s="58"/>
      <c r="AJ214" s="58"/>
      <c r="AK214" s="58"/>
      <c r="AL214" s="58"/>
    </row>
    <row r="215" spans="27:38" x14ac:dyDescent="0.2">
      <c r="AA215" s="58"/>
      <c r="AB215" s="58"/>
      <c r="AC215" s="58"/>
      <c r="AD215" s="58"/>
      <c r="AE215" s="58"/>
      <c r="AF215" s="58"/>
      <c r="AG215" s="58"/>
      <c r="AH215" s="58"/>
      <c r="AI215" s="58"/>
      <c r="AJ215" s="58"/>
      <c r="AK215" s="58"/>
      <c r="AL215" s="58"/>
    </row>
    <row r="216" spans="27:38" x14ac:dyDescent="0.2">
      <c r="AA216" s="58"/>
      <c r="AB216" s="58"/>
      <c r="AC216" s="58"/>
      <c r="AD216" s="58"/>
      <c r="AE216" s="58"/>
      <c r="AF216" s="58"/>
      <c r="AG216" s="58"/>
      <c r="AH216" s="58"/>
      <c r="AI216" s="58"/>
      <c r="AJ216" s="58"/>
      <c r="AK216" s="58"/>
      <c r="AL216" s="58"/>
    </row>
    <row r="217" spans="27:38" x14ac:dyDescent="0.2">
      <c r="AA217" s="58"/>
      <c r="AB217" s="58"/>
      <c r="AC217" s="58"/>
      <c r="AD217" s="58"/>
      <c r="AE217" s="58"/>
      <c r="AF217" s="58"/>
      <c r="AG217" s="58"/>
      <c r="AH217" s="58"/>
      <c r="AI217" s="58"/>
      <c r="AJ217" s="58"/>
      <c r="AK217" s="58"/>
      <c r="AL217" s="58"/>
    </row>
    <row r="218" spans="27:38" x14ac:dyDescent="0.2">
      <c r="AA218" s="58"/>
      <c r="AB218" s="58"/>
      <c r="AC218" s="58"/>
      <c r="AD218" s="58"/>
      <c r="AE218" s="58"/>
      <c r="AF218" s="58"/>
      <c r="AG218" s="58"/>
      <c r="AH218" s="58"/>
      <c r="AI218" s="58"/>
      <c r="AJ218" s="58"/>
      <c r="AK218" s="58"/>
      <c r="AL218" s="58"/>
    </row>
    <row r="219" spans="27:38" x14ac:dyDescent="0.2">
      <c r="AA219" s="58"/>
      <c r="AB219" s="58"/>
      <c r="AC219" s="58"/>
      <c r="AD219" s="58"/>
      <c r="AE219" s="58"/>
      <c r="AF219" s="58"/>
      <c r="AG219" s="58"/>
      <c r="AH219" s="58"/>
      <c r="AI219" s="58"/>
      <c r="AJ219" s="58"/>
      <c r="AK219" s="58"/>
      <c r="AL219" s="58"/>
    </row>
    <row r="220" spans="27:38" x14ac:dyDescent="0.2">
      <c r="AA220" s="58"/>
      <c r="AB220" s="58"/>
      <c r="AC220" s="58"/>
      <c r="AD220" s="58"/>
      <c r="AE220" s="58"/>
      <c r="AF220" s="58"/>
      <c r="AG220" s="58"/>
      <c r="AH220" s="58"/>
      <c r="AI220" s="58"/>
      <c r="AJ220" s="58"/>
      <c r="AK220" s="58"/>
      <c r="AL220" s="58"/>
    </row>
    <row r="221" spans="27:38" x14ac:dyDescent="0.2">
      <c r="AA221" s="58"/>
      <c r="AB221" s="58"/>
      <c r="AC221" s="58"/>
      <c r="AD221" s="58"/>
      <c r="AE221" s="58"/>
      <c r="AF221" s="58"/>
      <c r="AG221" s="58"/>
      <c r="AH221" s="58"/>
      <c r="AI221" s="58"/>
      <c r="AJ221" s="58"/>
      <c r="AK221" s="58"/>
      <c r="AL221" s="58"/>
    </row>
    <row r="222" spans="27:38" x14ac:dyDescent="0.2">
      <c r="AA222" s="58"/>
      <c r="AB222" s="58"/>
      <c r="AC222" s="58"/>
      <c r="AD222" s="58"/>
      <c r="AE222" s="58"/>
      <c r="AF222" s="58"/>
      <c r="AG222" s="58"/>
      <c r="AH222" s="58"/>
      <c r="AI222" s="58"/>
      <c r="AJ222" s="58"/>
      <c r="AK222" s="58"/>
      <c r="AL222" s="58"/>
    </row>
    <row r="223" spans="27:38" x14ac:dyDescent="0.2">
      <c r="AA223" s="58"/>
      <c r="AB223" s="58"/>
      <c r="AC223" s="58"/>
      <c r="AD223" s="58"/>
      <c r="AE223" s="58"/>
      <c r="AF223" s="58"/>
      <c r="AG223" s="58"/>
      <c r="AH223" s="58"/>
      <c r="AI223" s="58"/>
      <c r="AJ223" s="58"/>
      <c r="AK223" s="58"/>
      <c r="AL223" s="58"/>
    </row>
    <row r="224" spans="27:38" x14ac:dyDescent="0.2">
      <c r="AA224" s="58"/>
      <c r="AB224" s="58"/>
      <c r="AC224" s="58"/>
      <c r="AD224" s="58"/>
      <c r="AE224" s="58"/>
      <c r="AF224" s="58"/>
      <c r="AG224" s="58"/>
      <c r="AH224" s="58"/>
      <c r="AI224" s="58"/>
      <c r="AJ224" s="58"/>
      <c r="AK224" s="58"/>
      <c r="AL224" s="58"/>
    </row>
    <row r="225" spans="27:38" x14ac:dyDescent="0.2">
      <c r="AA225" s="58"/>
      <c r="AB225" s="58"/>
      <c r="AC225" s="58"/>
      <c r="AD225" s="58"/>
      <c r="AE225" s="58"/>
      <c r="AF225" s="58"/>
      <c r="AG225" s="58"/>
      <c r="AH225" s="58"/>
      <c r="AI225" s="58"/>
      <c r="AJ225" s="58"/>
      <c r="AK225" s="58"/>
      <c r="AL225" s="58"/>
    </row>
    <row r="226" spans="27:38" x14ac:dyDescent="0.2">
      <c r="AA226" s="58"/>
      <c r="AB226" s="58"/>
      <c r="AC226" s="58"/>
      <c r="AD226" s="58"/>
      <c r="AE226" s="58"/>
      <c r="AF226" s="58"/>
      <c r="AG226" s="58"/>
      <c r="AH226" s="58"/>
      <c r="AI226" s="58"/>
      <c r="AJ226" s="58"/>
      <c r="AK226" s="58"/>
      <c r="AL226" s="58"/>
    </row>
    <row r="227" spans="27:38" x14ac:dyDescent="0.2">
      <c r="AA227" s="58"/>
      <c r="AB227" s="58"/>
      <c r="AC227" s="58"/>
      <c r="AD227" s="58"/>
      <c r="AE227" s="58"/>
      <c r="AF227" s="58"/>
      <c r="AG227" s="58"/>
      <c r="AH227" s="58"/>
      <c r="AI227" s="58"/>
      <c r="AJ227" s="58"/>
      <c r="AK227" s="58"/>
      <c r="AL227" s="58"/>
    </row>
    <row r="228" spans="27:38" x14ac:dyDescent="0.2">
      <c r="AA228" s="58"/>
      <c r="AB228" s="58"/>
      <c r="AC228" s="58"/>
      <c r="AD228" s="58"/>
      <c r="AE228" s="58"/>
      <c r="AF228" s="58"/>
      <c r="AG228" s="58"/>
      <c r="AH228" s="58"/>
      <c r="AI228" s="58"/>
      <c r="AJ228" s="58"/>
      <c r="AK228" s="58"/>
      <c r="AL228" s="58"/>
    </row>
    <row r="229" spans="27:38" x14ac:dyDescent="0.2">
      <c r="AA229" s="58"/>
      <c r="AB229" s="58"/>
      <c r="AC229" s="58"/>
      <c r="AD229" s="58"/>
      <c r="AE229" s="58"/>
      <c r="AF229" s="58"/>
      <c r="AG229" s="58"/>
      <c r="AH229" s="58"/>
      <c r="AI229" s="58"/>
      <c r="AJ229" s="58"/>
      <c r="AK229" s="58"/>
      <c r="AL229" s="58"/>
    </row>
    <row r="230" spans="27:38" x14ac:dyDescent="0.2">
      <c r="AA230" s="58"/>
      <c r="AB230" s="58"/>
      <c r="AC230" s="58"/>
      <c r="AD230" s="58"/>
      <c r="AE230" s="58"/>
      <c r="AF230" s="58"/>
      <c r="AG230" s="58"/>
      <c r="AH230" s="58"/>
      <c r="AI230" s="58"/>
      <c r="AJ230" s="58"/>
      <c r="AK230" s="58"/>
      <c r="AL230" s="58"/>
    </row>
    <row r="231" spans="27:38" x14ac:dyDescent="0.2">
      <c r="AA231" s="58"/>
      <c r="AB231" s="58"/>
      <c r="AC231" s="58"/>
      <c r="AD231" s="58"/>
      <c r="AE231" s="58"/>
      <c r="AF231" s="58"/>
      <c r="AG231" s="58"/>
      <c r="AH231" s="58"/>
      <c r="AI231" s="58"/>
      <c r="AJ231" s="58"/>
      <c r="AK231" s="58"/>
      <c r="AL231" s="58"/>
    </row>
    <row r="232" spans="27:38" x14ac:dyDescent="0.2">
      <c r="AA232" s="58"/>
      <c r="AB232" s="58"/>
      <c r="AC232" s="58"/>
      <c r="AD232" s="58"/>
      <c r="AE232" s="58"/>
      <c r="AF232" s="58"/>
      <c r="AG232" s="58"/>
      <c r="AH232" s="58"/>
      <c r="AI232" s="58"/>
      <c r="AJ232" s="58"/>
      <c r="AK232" s="58"/>
      <c r="AL232" s="58"/>
    </row>
    <row r="233" spans="27:38" x14ac:dyDescent="0.2">
      <c r="AA233" s="58"/>
      <c r="AB233" s="58"/>
      <c r="AC233" s="58"/>
      <c r="AD233" s="58"/>
      <c r="AE233" s="58"/>
      <c r="AF233" s="58"/>
      <c r="AG233" s="58"/>
      <c r="AH233" s="58"/>
      <c r="AI233" s="58"/>
      <c r="AJ233" s="58"/>
      <c r="AK233" s="58"/>
      <c r="AL233" s="58"/>
    </row>
    <row r="234" spans="27:38" x14ac:dyDescent="0.2">
      <c r="AA234" s="58"/>
      <c r="AB234" s="58"/>
      <c r="AC234" s="58"/>
      <c r="AD234" s="58"/>
      <c r="AE234" s="58"/>
      <c r="AF234" s="58"/>
      <c r="AG234" s="58"/>
      <c r="AH234" s="58"/>
      <c r="AI234" s="58"/>
      <c r="AJ234" s="58"/>
      <c r="AK234" s="58"/>
      <c r="AL234" s="58"/>
    </row>
    <row r="235" spans="27:38" x14ac:dyDescent="0.2">
      <c r="AA235" s="58"/>
      <c r="AB235" s="58"/>
      <c r="AC235" s="58"/>
      <c r="AD235" s="58"/>
      <c r="AE235" s="58"/>
      <c r="AF235" s="58"/>
      <c r="AG235" s="58"/>
      <c r="AH235" s="58"/>
      <c r="AI235" s="58"/>
      <c r="AJ235" s="58"/>
      <c r="AK235" s="58"/>
      <c r="AL235" s="58"/>
    </row>
    <row r="236" spans="27:38" x14ac:dyDescent="0.2">
      <c r="AA236" s="58"/>
      <c r="AB236" s="58"/>
      <c r="AC236" s="58"/>
      <c r="AD236" s="58"/>
      <c r="AE236" s="58"/>
      <c r="AF236" s="58"/>
      <c r="AG236" s="58"/>
      <c r="AH236" s="58"/>
      <c r="AI236" s="58"/>
      <c r="AJ236" s="58"/>
      <c r="AK236" s="58"/>
      <c r="AL236" s="58"/>
    </row>
    <row r="237" spans="27:38" x14ac:dyDescent="0.2">
      <c r="AA237" s="58"/>
      <c r="AB237" s="58"/>
      <c r="AC237" s="58"/>
      <c r="AD237" s="58"/>
      <c r="AE237" s="58"/>
      <c r="AF237" s="58"/>
      <c r="AG237" s="58"/>
      <c r="AH237" s="58"/>
      <c r="AI237" s="58"/>
      <c r="AJ237" s="58"/>
      <c r="AK237" s="58"/>
      <c r="AL237" s="58"/>
    </row>
    <row r="238" spans="27:38" x14ac:dyDescent="0.2">
      <c r="AA238" s="58"/>
      <c r="AB238" s="58"/>
      <c r="AC238" s="58"/>
      <c r="AD238" s="58"/>
      <c r="AE238" s="58"/>
      <c r="AF238" s="58"/>
      <c r="AG238" s="58"/>
      <c r="AH238" s="58"/>
      <c r="AI238" s="58"/>
      <c r="AJ238" s="58"/>
      <c r="AK238" s="58"/>
      <c r="AL238" s="58"/>
    </row>
    <row r="239" spans="27:38" x14ac:dyDescent="0.2">
      <c r="AA239" s="58"/>
      <c r="AB239" s="58"/>
      <c r="AC239" s="58"/>
      <c r="AD239" s="58"/>
      <c r="AE239" s="58"/>
      <c r="AF239" s="58"/>
      <c r="AG239" s="58"/>
      <c r="AH239" s="58"/>
      <c r="AI239" s="58"/>
      <c r="AJ239" s="58"/>
      <c r="AK239" s="58"/>
      <c r="AL239" s="58"/>
    </row>
    <row r="240" spans="27:38" x14ac:dyDescent="0.2">
      <c r="AA240" s="58"/>
      <c r="AB240" s="58"/>
      <c r="AC240" s="58"/>
      <c r="AD240" s="58"/>
      <c r="AE240" s="58"/>
      <c r="AF240" s="58"/>
      <c r="AG240" s="58"/>
      <c r="AH240" s="58"/>
      <c r="AI240" s="58"/>
      <c r="AJ240" s="58"/>
      <c r="AK240" s="58"/>
      <c r="AL240" s="58"/>
    </row>
    <row r="241" spans="27:38" x14ac:dyDescent="0.2">
      <c r="AA241" s="58"/>
      <c r="AB241" s="58"/>
      <c r="AC241" s="58"/>
      <c r="AD241" s="58"/>
      <c r="AE241" s="58"/>
      <c r="AF241" s="58"/>
      <c r="AG241" s="58"/>
      <c r="AH241" s="58"/>
      <c r="AI241" s="58"/>
      <c r="AJ241" s="58"/>
      <c r="AK241" s="58"/>
      <c r="AL241" s="58"/>
    </row>
    <row r="242" spans="27:38" x14ac:dyDescent="0.2">
      <c r="AA242" s="58"/>
      <c r="AB242" s="58"/>
      <c r="AC242" s="58"/>
      <c r="AD242" s="58"/>
      <c r="AE242" s="58"/>
      <c r="AF242" s="58"/>
      <c r="AG242" s="58"/>
      <c r="AH242" s="58"/>
      <c r="AI242" s="58"/>
      <c r="AJ242" s="58"/>
      <c r="AK242" s="58"/>
      <c r="AL242" s="58"/>
    </row>
    <row r="243" spans="27:38" x14ac:dyDescent="0.2">
      <c r="AA243" s="58"/>
      <c r="AB243" s="58"/>
      <c r="AC243" s="58"/>
      <c r="AD243" s="58"/>
      <c r="AE243" s="58"/>
      <c r="AF243" s="58"/>
      <c r="AG243" s="58"/>
      <c r="AH243" s="58"/>
      <c r="AI243" s="58"/>
      <c r="AJ243" s="58"/>
      <c r="AK243" s="58"/>
      <c r="AL243" s="58"/>
    </row>
    <row r="244" spans="27:38" x14ac:dyDescent="0.2">
      <c r="AA244" s="58"/>
      <c r="AB244" s="58"/>
      <c r="AC244" s="58"/>
      <c r="AD244" s="58"/>
      <c r="AE244" s="58"/>
      <c r="AF244" s="58"/>
      <c r="AG244" s="58"/>
      <c r="AH244" s="58"/>
      <c r="AI244" s="58"/>
      <c r="AJ244" s="58"/>
      <c r="AK244" s="58"/>
      <c r="AL244" s="58"/>
    </row>
    <row r="245" spans="27:38" x14ac:dyDescent="0.2">
      <c r="AA245" s="58"/>
      <c r="AB245" s="58"/>
      <c r="AC245" s="58"/>
      <c r="AD245" s="58"/>
      <c r="AE245" s="58"/>
      <c r="AF245" s="58"/>
      <c r="AG245" s="58"/>
      <c r="AH245" s="58"/>
      <c r="AI245" s="58"/>
      <c r="AJ245" s="58"/>
      <c r="AK245" s="58"/>
      <c r="AL245" s="58"/>
    </row>
    <row r="246" spans="27:38" x14ac:dyDescent="0.2">
      <c r="AA246" s="58"/>
      <c r="AB246" s="58"/>
      <c r="AC246" s="58"/>
      <c r="AD246" s="58"/>
      <c r="AE246" s="58"/>
      <c r="AF246" s="58"/>
      <c r="AG246" s="58"/>
      <c r="AH246" s="58"/>
      <c r="AI246" s="58"/>
      <c r="AJ246" s="58"/>
      <c r="AK246" s="58"/>
      <c r="AL246" s="58"/>
    </row>
    <row r="247" spans="27:38" x14ac:dyDescent="0.2">
      <c r="AA247" s="58"/>
      <c r="AB247" s="58"/>
      <c r="AC247" s="58"/>
      <c r="AD247" s="58"/>
      <c r="AE247" s="58"/>
      <c r="AF247" s="58"/>
      <c r="AG247" s="58"/>
      <c r="AH247" s="58"/>
      <c r="AI247" s="58"/>
      <c r="AJ247" s="58"/>
      <c r="AK247" s="58"/>
      <c r="AL247" s="58"/>
    </row>
    <row r="248" spans="27:38" x14ac:dyDescent="0.2">
      <c r="AA248" s="58"/>
      <c r="AB248" s="58"/>
      <c r="AC248" s="58"/>
      <c r="AD248" s="58"/>
      <c r="AE248" s="58"/>
      <c r="AF248" s="58"/>
      <c r="AG248" s="58"/>
      <c r="AH248" s="58"/>
      <c r="AI248" s="58"/>
      <c r="AJ248" s="58"/>
      <c r="AK248" s="58"/>
      <c r="AL248" s="58"/>
    </row>
    <row r="249" spans="27:38" x14ac:dyDescent="0.2">
      <c r="AA249" s="58"/>
      <c r="AB249" s="58"/>
      <c r="AC249" s="58"/>
      <c r="AD249" s="58"/>
      <c r="AE249" s="58"/>
      <c r="AF249" s="58"/>
      <c r="AG249" s="58"/>
      <c r="AH249" s="58"/>
      <c r="AI249" s="58"/>
      <c r="AJ249" s="58"/>
      <c r="AK249" s="58"/>
      <c r="AL249" s="58"/>
    </row>
    <row r="250" spans="27:38" x14ac:dyDescent="0.2">
      <c r="AA250" s="58"/>
      <c r="AB250" s="58"/>
      <c r="AC250" s="58"/>
      <c r="AD250" s="58"/>
      <c r="AE250" s="58"/>
      <c r="AF250" s="58"/>
      <c r="AG250" s="58"/>
      <c r="AH250" s="58"/>
      <c r="AI250" s="58"/>
      <c r="AJ250" s="58"/>
      <c r="AK250" s="58"/>
      <c r="AL250" s="5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60EE1-DCC9-F743-9397-6C364A7DC125}">
  <dimension ref="A1:AR259"/>
  <sheetViews>
    <sheetView topLeftCell="A72" zoomScale="136" zoomScaleNormal="136" workbookViewId="0">
      <selection activeCell="B89" sqref="B89"/>
    </sheetView>
  </sheetViews>
  <sheetFormatPr baseColWidth="10" defaultColWidth="19.33203125" defaultRowHeight="16" x14ac:dyDescent="0.2"/>
  <cols>
    <col min="1" max="1" width="40.83203125" customWidth="1"/>
    <col min="2" max="2" width="19" customWidth="1"/>
    <col min="4" max="4" width="35.33203125" customWidth="1"/>
    <col min="9" max="10" width="19.33203125" style="6"/>
    <col min="11" max="11" width="19.33203125" style="7"/>
    <col min="12" max="12" width="16.33203125" customWidth="1"/>
    <col min="13" max="13" width="29.83203125" customWidth="1"/>
    <col min="15" max="15" width="29.6640625" style="6" customWidth="1"/>
    <col min="16" max="16" width="18.33203125" style="8" customWidth="1"/>
    <col min="17" max="17" width="16.83203125" style="8" customWidth="1"/>
    <col min="18" max="18" width="19.33203125" style="8"/>
    <col min="30" max="30" width="47.1640625" customWidth="1"/>
  </cols>
  <sheetData>
    <row r="1" spans="1:44" ht="28" customHeight="1" x14ac:dyDescent="0.2">
      <c r="A1" s="5" t="s">
        <v>153</v>
      </c>
    </row>
    <row r="2" spans="1:44" ht="32" customHeight="1" x14ac:dyDescent="0.3">
      <c r="A2" s="9" t="s">
        <v>154</v>
      </c>
      <c r="B2" s="9"/>
      <c r="C2" s="56"/>
      <c r="D2" s="56"/>
      <c r="E2" s="56"/>
      <c r="F2" s="91"/>
      <c r="G2" s="91"/>
      <c r="H2" s="92"/>
      <c r="I2" s="56"/>
      <c r="J2" s="56"/>
      <c r="K2" s="56"/>
      <c r="L2" s="91"/>
      <c r="M2" s="93"/>
      <c r="N2" s="93"/>
      <c r="O2" s="93"/>
      <c r="P2" s="56"/>
      <c r="Q2" s="56"/>
      <c r="R2" s="56"/>
      <c r="S2" s="91"/>
      <c r="T2" s="56"/>
      <c r="U2" s="56"/>
      <c r="V2" s="56"/>
      <c r="W2" s="56"/>
      <c r="X2" s="56"/>
      <c r="Y2" s="56"/>
      <c r="Z2" s="56"/>
      <c r="AA2" s="56"/>
      <c r="AB2" s="56"/>
      <c r="AG2" s="9" t="s">
        <v>155</v>
      </c>
    </row>
    <row r="3" spans="1:44" s="19" customFormat="1" ht="68" x14ac:dyDescent="0.2">
      <c r="A3" s="94" t="s">
        <v>10</v>
      </c>
      <c r="B3" s="94" t="s">
        <v>11</v>
      </c>
      <c r="C3" s="94" t="s">
        <v>12</v>
      </c>
      <c r="D3" s="94" t="s">
        <v>13</v>
      </c>
      <c r="E3" s="94" t="s">
        <v>14</v>
      </c>
      <c r="F3" s="94" t="s">
        <v>15</v>
      </c>
      <c r="G3" s="95" t="s">
        <v>16</v>
      </c>
      <c r="H3" s="95" t="s">
        <v>17</v>
      </c>
      <c r="I3" s="94" t="s">
        <v>18</v>
      </c>
      <c r="J3" s="96" t="s">
        <v>19</v>
      </c>
      <c r="K3" s="96" t="s">
        <v>20</v>
      </c>
      <c r="L3" s="94" t="s">
        <v>21</v>
      </c>
      <c r="M3" s="94" t="s">
        <v>22</v>
      </c>
      <c r="N3" s="94" t="s">
        <v>23</v>
      </c>
      <c r="O3" s="97" t="s">
        <v>24</v>
      </c>
      <c r="P3" s="94" t="s">
        <v>25</v>
      </c>
      <c r="Q3" s="94" t="s">
        <v>26</v>
      </c>
      <c r="R3" s="94" t="s">
        <v>27</v>
      </c>
      <c r="S3" s="97" t="s">
        <v>28</v>
      </c>
      <c r="T3" s="95" t="s">
        <v>29</v>
      </c>
      <c r="U3" s="98" t="s">
        <v>30</v>
      </c>
      <c r="V3" s="98" t="s">
        <v>31</v>
      </c>
      <c r="W3" s="98" t="s">
        <v>32</v>
      </c>
      <c r="X3" s="98" t="s">
        <v>33</v>
      </c>
      <c r="Y3" s="94" t="s">
        <v>34</v>
      </c>
      <c r="Z3" s="94" t="s">
        <v>35</v>
      </c>
      <c r="AA3" s="99" t="s">
        <v>36</v>
      </c>
      <c r="AB3" s="94" t="s">
        <v>37</v>
      </c>
      <c r="AC3" s="94" t="s">
        <v>38</v>
      </c>
      <c r="AD3" s="100" t="s">
        <v>39</v>
      </c>
      <c r="AE3" s="10" t="s">
        <v>40</v>
      </c>
      <c r="AF3" s="10" t="s">
        <v>41</v>
      </c>
      <c r="AG3" s="17" t="s">
        <v>42</v>
      </c>
      <c r="AH3" s="18" t="s">
        <v>43</v>
      </c>
      <c r="AI3" s="18" t="s">
        <v>44</v>
      </c>
      <c r="AJ3" s="18" t="s">
        <v>45</v>
      </c>
      <c r="AK3" s="18" t="s">
        <v>46</v>
      </c>
      <c r="AL3" s="18" t="s">
        <v>47</v>
      </c>
      <c r="AM3" s="18" t="s">
        <v>48</v>
      </c>
      <c r="AN3" s="18" t="s">
        <v>49</v>
      </c>
      <c r="AO3" s="58"/>
      <c r="AP3" s="18"/>
      <c r="AQ3" s="18"/>
      <c r="AR3" s="18"/>
    </row>
    <row r="4" spans="1:44" ht="17" x14ac:dyDescent="0.2">
      <c r="A4" s="20" t="s">
        <v>156</v>
      </c>
      <c r="B4" s="20" t="s">
        <v>157</v>
      </c>
      <c r="C4" s="20" t="s">
        <v>158</v>
      </c>
      <c r="D4" s="41" t="s">
        <v>159</v>
      </c>
      <c r="E4" s="20" t="s">
        <v>160</v>
      </c>
      <c r="F4" s="20" t="s">
        <v>79</v>
      </c>
      <c r="G4" s="20">
        <v>14.7</v>
      </c>
      <c r="H4" s="20">
        <v>77.666700000000006</v>
      </c>
      <c r="I4" s="23">
        <v>31199</v>
      </c>
      <c r="J4" s="23">
        <v>41578</v>
      </c>
      <c r="K4" s="20" t="s">
        <v>68</v>
      </c>
      <c r="L4" s="20">
        <v>28</v>
      </c>
      <c r="M4" s="20"/>
      <c r="N4" s="36"/>
      <c r="O4" s="36">
        <v>0.3</v>
      </c>
      <c r="P4" s="26">
        <f>10000*W4*U4*(O4/100)</f>
        <v>9.18</v>
      </c>
      <c r="Q4" s="28"/>
      <c r="R4" s="36"/>
      <c r="S4" s="36">
        <v>0.55000000000000004</v>
      </c>
      <c r="T4" s="101">
        <f>10000*X4*U4*(S4/100)</f>
        <v>16.28</v>
      </c>
      <c r="U4" s="20">
        <v>0.2</v>
      </c>
      <c r="V4" s="20" t="s">
        <v>59</v>
      </c>
      <c r="W4" s="20">
        <v>1.53</v>
      </c>
      <c r="X4" s="20">
        <v>1.48</v>
      </c>
      <c r="Y4" s="20" t="s">
        <v>60</v>
      </c>
      <c r="Z4" s="29" t="s">
        <v>161</v>
      </c>
      <c r="AA4" s="30" t="s">
        <v>81</v>
      </c>
      <c r="AB4" s="102">
        <v>37.1159259259259</v>
      </c>
      <c r="AC4" s="20" t="s">
        <v>70</v>
      </c>
      <c r="AD4" s="55" t="s">
        <v>162</v>
      </c>
      <c r="AE4" s="20">
        <v>4.6669999999999998</v>
      </c>
      <c r="AF4" s="20">
        <v>1</v>
      </c>
      <c r="AG4" s="33">
        <f t="shared" ref="AG4:AG19" si="0">T4-P4</f>
        <v>7.1000000000000014</v>
      </c>
      <c r="AH4" s="34">
        <f t="shared" ref="AH4:AH19" si="1">AG4/L4</f>
        <v>0.25357142857142861</v>
      </c>
      <c r="AI4">
        <v>16.2800000000009</v>
      </c>
      <c r="AJ4" s="34">
        <f t="shared" ref="AJ4:AJ19" si="2">AI4-P4</f>
        <v>7.1000000000009003</v>
      </c>
      <c r="AK4" s="34">
        <f t="shared" ref="AK4:AK19" si="3">AJ4/L4</f>
        <v>0.2535714285714607</v>
      </c>
      <c r="AL4" s="35">
        <f>AJ4-AG4</f>
        <v>8.9883656073652674E-13</v>
      </c>
      <c r="AM4" s="35">
        <f>AK4-AH4</f>
        <v>3.2085445411667024E-14</v>
      </c>
      <c r="AN4" s="35">
        <f t="shared" ref="AN4:AN19" si="4">AM4-AVERAGE($AM$4:$AM$19)</f>
        <v>5.574880834746665E-14</v>
      </c>
      <c r="AO4" s="58"/>
      <c r="AP4" s="58"/>
      <c r="AQ4" s="58"/>
      <c r="AR4" s="75"/>
    </row>
    <row r="5" spans="1:44" ht="17" x14ac:dyDescent="0.2">
      <c r="A5" s="20" t="s">
        <v>163</v>
      </c>
      <c r="B5" s="20" t="s">
        <v>164</v>
      </c>
      <c r="C5" s="20" t="s">
        <v>164</v>
      </c>
      <c r="D5" s="41" t="s">
        <v>159</v>
      </c>
      <c r="E5" s="20" t="s">
        <v>165</v>
      </c>
      <c r="F5" s="20" t="s">
        <v>79</v>
      </c>
      <c r="G5" s="20">
        <v>21.024895000000001</v>
      </c>
      <c r="H5" s="20">
        <v>75.531850000000006</v>
      </c>
      <c r="I5" s="23">
        <v>37408</v>
      </c>
      <c r="J5" s="23">
        <v>38473</v>
      </c>
      <c r="K5" s="20" t="s">
        <v>80</v>
      </c>
      <c r="L5" s="20">
        <v>3</v>
      </c>
      <c r="M5" s="20"/>
      <c r="N5" s="36"/>
      <c r="O5" s="36">
        <v>0.28000000000000003</v>
      </c>
      <c r="P5" s="26">
        <f>10000*W5*U5*(O5/100)</f>
        <v>13.322400000000002</v>
      </c>
      <c r="Q5" s="28"/>
      <c r="R5" s="36"/>
      <c r="S5" s="36">
        <v>0.49</v>
      </c>
      <c r="T5" s="101">
        <f>10000*X5*U5*(S5/100)</f>
        <v>23.3142</v>
      </c>
      <c r="U5" s="20">
        <v>0.3</v>
      </c>
      <c r="V5" s="55" t="s">
        <v>166</v>
      </c>
      <c r="W5" s="41">
        <v>1.5860000000000001</v>
      </c>
      <c r="X5" s="41">
        <v>1.5860000000000001</v>
      </c>
      <c r="Y5" s="20" t="s">
        <v>70</v>
      </c>
      <c r="Z5" s="29" t="s">
        <v>69</v>
      </c>
      <c r="AA5" s="30" t="s">
        <v>81</v>
      </c>
      <c r="AB5" s="31">
        <v>38.189843750000001</v>
      </c>
      <c r="AC5" s="20" t="s">
        <v>70</v>
      </c>
      <c r="AD5" s="55" t="s">
        <v>167</v>
      </c>
      <c r="AE5" s="20">
        <v>4.6669999999999998</v>
      </c>
      <c r="AF5" s="20">
        <v>1</v>
      </c>
      <c r="AG5" s="33">
        <f t="shared" si="0"/>
        <v>9.9917999999999978</v>
      </c>
      <c r="AH5" s="34">
        <f t="shared" si="1"/>
        <v>3.3305999999999991</v>
      </c>
      <c r="AI5">
        <v>23.3142</v>
      </c>
      <c r="AJ5" s="34">
        <f t="shared" si="2"/>
        <v>9.9917999999999978</v>
      </c>
      <c r="AK5" s="34">
        <f t="shared" si="3"/>
        <v>3.3305999999999991</v>
      </c>
      <c r="AL5" s="35">
        <f t="shared" ref="AL5:AM19" si="5">AJ5-AG5</f>
        <v>0</v>
      </c>
      <c r="AM5" s="35">
        <f t="shared" si="5"/>
        <v>0</v>
      </c>
      <c r="AN5" s="35">
        <f t="shared" si="4"/>
        <v>2.3663362935799626E-14</v>
      </c>
      <c r="AO5" s="58"/>
      <c r="AP5" s="58"/>
      <c r="AQ5" s="58"/>
      <c r="AR5" s="58"/>
    </row>
    <row r="6" spans="1:44" ht="17" x14ac:dyDescent="0.2">
      <c r="A6" s="20" t="s">
        <v>168</v>
      </c>
      <c r="B6" s="20" t="s">
        <v>169</v>
      </c>
      <c r="C6" s="20" t="s">
        <v>169</v>
      </c>
      <c r="D6" s="41" t="s">
        <v>159</v>
      </c>
      <c r="E6" s="20" t="s">
        <v>170</v>
      </c>
      <c r="F6" s="20" t="s">
        <v>55</v>
      </c>
      <c r="G6" s="20">
        <v>28.304400000000001</v>
      </c>
      <c r="H6" s="20">
        <v>30.577200000000001</v>
      </c>
      <c r="I6" s="23">
        <v>43101</v>
      </c>
      <c r="J6" s="23">
        <v>43235</v>
      </c>
      <c r="K6" s="20" t="s">
        <v>56</v>
      </c>
      <c r="L6" s="20">
        <v>1</v>
      </c>
      <c r="M6" s="20" t="s">
        <v>87</v>
      </c>
      <c r="N6" s="103">
        <v>18.48</v>
      </c>
      <c r="O6" s="36">
        <f>N6/10</f>
        <v>1.8480000000000001</v>
      </c>
      <c r="P6" s="26">
        <f>10000*W6*U6*(O6/100)</f>
        <v>48.4176</v>
      </c>
      <c r="Q6" s="20" t="s">
        <v>87</v>
      </c>
      <c r="R6" s="36">
        <v>23.4</v>
      </c>
      <c r="S6" s="36">
        <f>R6/10</f>
        <v>2.34</v>
      </c>
      <c r="T6" s="101">
        <f>10000*X6*U6*(S6/100)</f>
        <v>63.694799999999994</v>
      </c>
      <c r="U6" s="20">
        <v>0.2</v>
      </c>
      <c r="V6" s="55" t="s">
        <v>166</v>
      </c>
      <c r="W6" s="20">
        <v>1.31</v>
      </c>
      <c r="X6" s="20">
        <v>1.361</v>
      </c>
      <c r="Y6" s="20" t="s">
        <v>60</v>
      </c>
      <c r="Z6" s="29" t="s">
        <v>69</v>
      </c>
      <c r="AA6" s="30" t="s">
        <v>106</v>
      </c>
      <c r="AB6" s="104">
        <v>56.45</v>
      </c>
      <c r="AC6" s="20" t="s">
        <v>60</v>
      </c>
      <c r="AD6" s="55" t="s">
        <v>171</v>
      </c>
      <c r="AE6" s="20">
        <v>4.6669999999999998</v>
      </c>
      <c r="AF6" s="20">
        <v>1</v>
      </c>
      <c r="AG6" s="33">
        <f t="shared" si="0"/>
        <v>15.277199999999993</v>
      </c>
      <c r="AH6" s="34">
        <f t="shared" si="1"/>
        <v>15.277199999999993</v>
      </c>
      <c r="AI6">
        <v>63.694800000000001</v>
      </c>
      <c r="AJ6" s="34">
        <f t="shared" si="2"/>
        <v>15.277200000000001</v>
      </c>
      <c r="AK6" s="34">
        <f t="shared" si="3"/>
        <v>15.277200000000001</v>
      </c>
      <c r="AL6" s="35">
        <f t="shared" si="5"/>
        <v>0</v>
      </c>
      <c r="AM6" s="35">
        <f t="shared" si="5"/>
        <v>0</v>
      </c>
      <c r="AN6" s="35">
        <f t="shared" si="4"/>
        <v>2.3663362935799626E-14</v>
      </c>
      <c r="AO6" s="58"/>
      <c r="AP6" s="58"/>
      <c r="AQ6" s="58"/>
      <c r="AR6" s="58"/>
    </row>
    <row r="7" spans="1:44" ht="17" x14ac:dyDescent="0.2">
      <c r="A7" s="20" t="s">
        <v>172</v>
      </c>
      <c r="B7" s="20" t="s">
        <v>173</v>
      </c>
      <c r="C7" s="20" t="s">
        <v>173</v>
      </c>
      <c r="D7" s="41" t="s">
        <v>159</v>
      </c>
      <c r="E7" s="20" t="s">
        <v>174</v>
      </c>
      <c r="F7" s="20" t="s">
        <v>55</v>
      </c>
      <c r="G7" s="20">
        <v>36.9</v>
      </c>
      <c r="H7" s="20">
        <v>115</v>
      </c>
      <c r="I7" s="23">
        <v>41183</v>
      </c>
      <c r="J7" s="23">
        <v>43617</v>
      </c>
      <c r="K7" s="20" t="s">
        <v>56</v>
      </c>
      <c r="L7" s="20">
        <v>7</v>
      </c>
      <c r="M7" s="20"/>
      <c r="N7" s="36"/>
      <c r="O7" s="36"/>
      <c r="P7" s="101">
        <v>36.5</v>
      </c>
      <c r="Q7" s="28"/>
      <c r="R7" s="36"/>
      <c r="S7" s="36"/>
      <c r="T7" s="101">
        <v>51.9</v>
      </c>
      <c r="U7" s="20">
        <v>0.2</v>
      </c>
      <c r="V7" s="20" t="s">
        <v>93</v>
      </c>
      <c r="W7" s="20">
        <v>1.37</v>
      </c>
      <c r="X7" s="20">
        <v>1.37</v>
      </c>
      <c r="Y7" s="20" t="s">
        <v>70</v>
      </c>
      <c r="Z7" s="29" t="s">
        <v>175</v>
      </c>
      <c r="AA7" s="30" t="s">
        <v>61</v>
      </c>
      <c r="AB7" s="102">
        <v>20.464583333333302</v>
      </c>
      <c r="AC7" s="20" t="s">
        <v>70</v>
      </c>
      <c r="AD7" s="55" t="s">
        <v>176</v>
      </c>
      <c r="AE7" s="20">
        <v>4.6669999999999998</v>
      </c>
      <c r="AF7" s="20">
        <v>1</v>
      </c>
      <c r="AG7" s="33">
        <f t="shared" si="0"/>
        <v>15.399999999999999</v>
      </c>
      <c r="AH7" s="34">
        <f t="shared" si="1"/>
        <v>2.1999999999999997</v>
      </c>
      <c r="AI7">
        <v>51.899999999999601</v>
      </c>
      <c r="AJ7" s="34">
        <f t="shared" si="2"/>
        <v>15.399999999999601</v>
      </c>
      <c r="AK7" s="34">
        <f t="shared" si="3"/>
        <v>2.1999999999999429</v>
      </c>
      <c r="AL7" s="35">
        <f t="shared" si="5"/>
        <v>-3.979039320256561E-13</v>
      </c>
      <c r="AM7" s="35">
        <f t="shared" si="5"/>
        <v>-5.6843418860808015E-14</v>
      </c>
      <c r="AN7" s="35">
        <f t="shared" si="4"/>
        <v>-3.3180055925008389E-14</v>
      </c>
      <c r="AO7" s="58"/>
      <c r="AP7" s="58"/>
      <c r="AQ7" s="58"/>
      <c r="AR7" s="58"/>
    </row>
    <row r="8" spans="1:44" ht="17" x14ac:dyDescent="0.2">
      <c r="A8" s="20" t="s">
        <v>50</v>
      </c>
      <c r="B8" s="20" t="s">
        <v>51</v>
      </c>
      <c r="C8" s="20" t="s">
        <v>177</v>
      </c>
      <c r="D8" s="41" t="s">
        <v>159</v>
      </c>
      <c r="E8" s="20" t="s">
        <v>54</v>
      </c>
      <c r="F8" s="20" t="s">
        <v>55</v>
      </c>
      <c r="G8" s="20">
        <v>31.215972000000001</v>
      </c>
      <c r="H8" s="20">
        <v>70.969943999999998</v>
      </c>
      <c r="I8" s="23">
        <v>38672</v>
      </c>
      <c r="J8" s="23">
        <v>39187</v>
      </c>
      <c r="K8" s="20" t="s">
        <v>56</v>
      </c>
      <c r="L8" s="20">
        <v>2</v>
      </c>
      <c r="M8" s="20" t="s">
        <v>178</v>
      </c>
      <c r="N8" s="105">
        <v>0.48</v>
      </c>
      <c r="O8" s="36">
        <f>N8/1.72</f>
        <v>0.27906976744186046</v>
      </c>
      <c r="P8" s="26">
        <f>10000*W8*U8*(O8/100)</f>
        <v>11.469767441860466</v>
      </c>
      <c r="Q8" s="20" t="s">
        <v>178</v>
      </c>
      <c r="R8" s="36">
        <v>0.56999999999999995</v>
      </c>
      <c r="S8" s="36">
        <f>R8/1.72</f>
        <v>0.33139534883720928</v>
      </c>
      <c r="T8" s="101">
        <f>10000*X8*U8*(S8/100)</f>
        <v>11.631976744186046</v>
      </c>
      <c r="U8" s="20">
        <v>0.3</v>
      </c>
      <c r="V8" s="55" t="s">
        <v>166</v>
      </c>
      <c r="W8" s="20">
        <v>1.37</v>
      </c>
      <c r="X8" s="20">
        <v>1.17</v>
      </c>
      <c r="Y8" s="20" t="s">
        <v>60</v>
      </c>
      <c r="Z8" s="29" t="s">
        <v>69</v>
      </c>
      <c r="AA8" s="30" t="s">
        <v>61</v>
      </c>
      <c r="AB8" s="102">
        <v>16</v>
      </c>
      <c r="AC8" s="20" t="s">
        <v>60</v>
      </c>
      <c r="AD8" s="55" t="s">
        <v>179</v>
      </c>
      <c r="AE8" s="20">
        <v>4.6669999999999998</v>
      </c>
      <c r="AF8" s="20">
        <v>3</v>
      </c>
      <c r="AG8" s="33">
        <f t="shared" si="0"/>
        <v>0.1622093023255804</v>
      </c>
      <c r="AH8" s="34">
        <f t="shared" si="1"/>
        <v>8.1104651162790198E-2</v>
      </c>
      <c r="AI8">
        <v>11.631976744186</v>
      </c>
      <c r="AJ8" s="34">
        <f t="shared" si="2"/>
        <v>0.16220930232553421</v>
      </c>
      <c r="AK8" s="34">
        <f t="shared" si="3"/>
        <v>8.1104651162767105E-2</v>
      </c>
      <c r="AL8" s="35">
        <f t="shared" si="5"/>
        <v>-4.6185277824406512E-14</v>
      </c>
      <c r="AM8" s="35">
        <f t="shared" si="5"/>
        <v>-2.3092638912203256E-14</v>
      </c>
      <c r="AN8" s="35">
        <f t="shared" si="4"/>
        <v>5.7072402359636953E-16</v>
      </c>
      <c r="AO8" s="58"/>
      <c r="AP8" s="58"/>
      <c r="AQ8" s="58"/>
      <c r="AR8" s="58"/>
    </row>
    <row r="9" spans="1:44" ht="17" x14ac:dyDescent="0.2">
      <c r="A9" s="20" t="s">
        <v>75</v>
      </c>
      <c r="B9" s="20" t="s">
        <v>76</v>
      </c>
      <c r="C9" s="20" t="s">
        <v>180</v>
      </c>
      <c r="D9" s="41" t="s">
        <v>159</v>
      </c>
      <c r="E9" s="20" t="s">
        <v>78</v>
      </c>
      <c r="F9" s="20" t="s">
        <v>79</v>
      </c>
      <c r="G9" s="20">
        <v>11.482675</v>
      </c>
      <c r="H9" s="20">
        <v>77.136517999999995</v>
      </c>
      <c r="I9" s="23">
        <v>40299</v>
      </c>
      <c r="J9" s="23">
        <v>41029</v>
      </c>
      <c r="K9" s="20" t="s">
        <v>80</v>
      </c>
      <c r="L9" s="20">
        <v>2</v>
      </c>
      <c r="M9" s="20"/>
      <c r="N9" s="36"/>
      <c r="O9" s="36">
        <v>0.51</v>
      </c>
      <c r="P9" s="26">
        <f>10000*W9*U9*(O9/100)</f>
        <v>13.770000000000001</v>
      </c>
      <c r="Q9" s="28"/>
      <c r="R9" s="36"/>
      <c r="S9" s="36">
        <v>0.94299999999999995</v>
      </c>
      <c r="T9" s="101">
        <f>10000*X9*U9*(S9/100)</f>
        <v>25.460999999999999</v>
      </c>
      <c r="U9" s="20">
        <v>0.2</v>
      </c>
      <c r="V9" s="20" t="s">
        <v>59</v>
      </c>
      <c r="W9" s="20">
        <v>1.35</v>
      </c>
      <c r="X9" s="20">
        <v>1.35</v>
      </c>
      <c r="Y9" s="20" t="s">
        <v>60</v>
      </c>
      <c r="Z9" s="29" t="s">
        <v>161</v>
      </c>
      <c r="AA9" s="30" t="s">
        <v>81</v>
      </c>
      <c r="AB9" s="102">
        <v>35.704999999999998</v>
      </c>
      <c r="AC9" s="20" t="s">
        <v>70</v>
      </c>
      <c r="AD9" s="55" t="s">
        <v>181</v>
      </c>
      <c r="AE9" s="20">
        <v>4.6669999999999998</v>
      </c>
      <c r="AF9" s="20">
        <v>1</v>
      </c>
      <c r="AG9" s="33">
        <f t="shared" si="0"/>
        <v>11.690999999999997</v>
      </c>
      <c r="AH9" s="34">
        <f t="shared" si="1"/>
        <v>5.8454999999999986</v>
      </c>
      <c r="AI9">
        <v>25.460999999999899</v>
      </c>
      <c r="AJ9" s="34">
        <f t="shared" si="2"/>
        <v>11.690999999999898</v>
      </c>
      <c r="AK9" s="34">
        <f t="shared" si="3"/>
        <v>5.8454999999999488</v>
      </c>
      <c r="AL9" s="35">
        <f t="shared" si="5"/>
        <v>-9.9475983006414026E-14</v>
      </c>
      <c r="AM9" s="35">
        <f t="shared" si="5"/>
        <v>-4.9737991503207013E-14</v>
      </c>
      <c r="AN9" s="35">
        <f t="shared" si="4"/>
        <v>-2.6074628567407387E-14</v>
      </c>
      <c r="AO9" s="58"/>
      <c r="AP9" s="58"/>
      <c r="AQ9" s="58"/>
      <c r="AR9" s="58"/>
    </row>
    <row r="10" spans="1:44" ht="17" x14ac:dyDescent="0.2">
      <c r="A10" s="20" t="s">
        <v>83</v>
      </c>
      <c r="B10" s="20" t="s">
        <v>182</v>
      </c>
      <c r="C10" s="20" t="s">
        <v>182</v>
      </c>
      <c r="D10" s="41" t="s">
        <v>159</v>
      </c>
      <c r="E10" s="20" t="s">
        <v>86</v>
      </c>
      <c r="F10" s="20" t="s">
        <v>67</v>
      </c>
      <c r="G10" s="20">
        <v>-1.086158</v>
      </c>
      <c r="H10" s="20">
        <v>37.007671000000002</v>
      </c>
      <c r="I10" s="23">
        <v>42309</v>
      </c>
      <c r="J10" s="23">
        <v>42917</v>
      </c>
      <c r="K10" s="20" t="s">
        <v>56</v>
      </c>
      <c r="L10" s="20">
        <v>2</v>
      </c>
      <c r="M10" s="20" t="s">
        <v>87</v>
      </c>
      <c r="N10" s="103">
        <v>14.45</v>
      </c>
      <c r="O10" s="36">
        <f>N10/10</f>
        <v>1.4449999999999998</v>
      </c>
      <c r="P10" s="26">
        <f>10000*W10*U10*(O10/100)</f>
        <v>62.857499999999987</v>
      </c>
      <c r="Q10" s="20" t="s">
        <v>87</v>
      </c>
      <c r="R10" s="36">
        <v>15.6</v>
      </c>
      <c r="S10" s="36">
        <f>R10/10</f>
        <v>1.56</v>
      </c>
      <c r="T10" s="101">
        <f>10000*X10*U10*(S10/100)</f>
        <v>65.52000000000001</v>
      </c>
      <c r="U10" s="20">
        <v>0.3</v>
      </c>
      <c r="V10" s="55" t="s">
        <v>166</v>
      </c>
      <c r="W10" s="20">
        <v>1.45</v>
      </c>
      <c r="X10" s="20">
        <v>1.4</v>
      </c>
      <c r="Y10" s="20" t="s">
        <v>60</v>
      </c>
      <c r="Z10" s="29" t="s">
        <v>69</v>
      </c>
      <c r="AA10" s="30" t="s">
        <v>71</v>
      </c>
      <c r="AB10" s="106">
        <v>58.3</v>
      </c>
      <c r="AC10" s="20" t="s">
        <v>60</v>
      </c>
      <c r="AD10" s="55" t="s">
        <v>183</v>
      </c>
      <c r="AE10" s="20">
        <v>4.6669999999999998</v>
      </c>
      <c r="AF10" s="20">
        <v>1</v>
      </c>
      <c r="AG10" s="33">
        <f t="shared" si="0"/>
        <v>2.6625000000000227</v>
      </c>
      <c r="AH10" s="34">
        <f t="shared" si="1"/>
        <v>1.3312500000000114</v>
      </c>
      <c r="AI10">
        <v>65.519999999999897</v>
      </c>
      <c r="AJ10" s="34">
        <f t="shared" si="2"/>
        <v>2.6624999999999091</v>
      </c>
      <c r="AK10" s="34">
        <f t="shared" si="3"/>
        <v>1.3312499999999545</v>
      </c>
      <c r="AL10" s="35">
        <f t="shared" si="5"/>
        <v>-1.1368683772161603E-13</v>
      </c>
      <c r="AM10" s="35">
        <f t="shared" si="5"/>
        <v>-5.6843418860808015E-14</v>
      </c>
      <c r="AN10" s="35">
        <f t="shared" si="4"/>
        <v>-3.3180055925008389E-14</v>
      </c>
      <c r="AO10" s="58"/>
      <c r="AP10" s="58"/>
      <c r="AQ10" s="58"/>
      <c r="AR10" s="58"/>
    </row>
    <row r="11" spans="1:44" ht="17" x14ac:dyDescent="0.2">
      <c r="A11" s="20" t="s">
        <v>184</v>
      </c>
      <c r="B11" s="20" t="s">
        <v>90</v>
      </c>
      <c r="C11" s="20" t="s">
        <v>185</v>
      </c>
      <c r="D11" s="41" t="s">
        <v>159</v>
      </c>
      <c r="E11" s="20" t="s">
        <v>92</v>
      </c>
      <c r="F11" s="20" t="s">
        <v>79</v>
      </c>
      <c r="G11" s="20">
        <v>28.5</v>
      </c>
      <c r="H11" s="20">
        <v>79.5</v>
      </c>
      <c r="I11" s="23">
        <v>40817</v>
      </c>
      <c r="J11" s="23">
        <v>41365</v>
      </c>
      <c r="K11" s="20" t="s">
        <v>56</v>
      </c>
      <c r="L11" s="20">
        <v>2</v>
      </c>
      <c r="M11" s="20"/>
      <c r="N11" s="36"/>
      <c r="O11" s="36">
        <v>0.73</v>
      </c>
      <c r="P11" s="26">
        <f>10000*W11*U11*(O11/100)</f>
        <v>15.439500000000001</v>
      </c>
      <c r="Q11" s="28"/>
      <c r="R11" s="36"/>
      <c r="S11" s="36">
        <v>0.76</v>
      </c>
      <c r="T11" s="101">
        <f>10000*X11*U11*(S11/100)</f>
        <v>16.302</v>
      </c>
      <c r="U11" s="20">
        <v>0.15</v>
      </c>
      <c r="V11" s="20" t="s">
        <v>93</v>
      </c>
      <c r="W11" s="20">
        <v>1.41</v>
      </c>
      <c r="X11" s="20">
        <v>1.43</v>
      </c>
      <c r="Y11" s="20" t="s">
        <v>60</v>
      </c>
      <c r="Z11" s="29" t="s">
        <v>94</v>
      </c>
      <c r="AA11" s="30" t="s">
        <v>81</v>
      </c>
      <c r="AB11" s="102">
        <v>28.4444444444444</v>
      </c>
      <c r="AC11" s="20" t="s">
        <v>70</v>
      </c>
      <c r="AD11" s="55" t="s">
        <v>186</v>
      </c>
      <c r="AE11" s="20">
        <v>4.6669999999999998</v>
      </c>
      <c r="AF11" s="20">
        <v>1</v>
      </c>
      <c r="AG11" s="33">
        <f t="shared" si="0"/>
        <v>0.86249999999999893</v>
      </c>
      <c r="AH11" s="34">
        <f t="shared" si="1"/>
        <v>0.43124999999999947</v>
      </c>
      <c r="AI11">
        <v>16.302</v>
      </c>
      <c r="AJ11" s="34">
        <f t="shared" si="2"/>
        <v>0.86249999999999893</v>
      </c>
      <c r="AK11" s="34">
        <f t="shared" si="3"/>
        <v>0.43124999999999947</v>
      </c>
      <c r="AL11" s="35">
        <f t="shared" si="5"/>
        <v>0</v>
      </c>
      <c r="AM11" s="35">
        <f t="shared" si="5"/>
        <v>0</v>
      </c>
      <c r="AN11" s="35">
        <f t="shared" si="4"/>
        <v>2.3663362935799626E-14</v>
      </c>
      <c r="AO11" s="58"/>
      <c r="AP11" s="58"/>
      <c r="AQ11" s="58"/>
      <c r="AR11" s="58"/>
    </row>
    <row r="12" spans="1:44" ht="17" x14ac:dyDescent="0.2">
      <c r="A12" s="20" t="s">
        <v>101</v>
      </c>
      <c r="B12" s="20" t="s">
        <v>102</v>
      </c>
      <c r="C12" s="20" t="s">
        <v>187</v>
      </c>
      <c r="D12" s="41" t="s">
        <v>159</v>
      </c>
      <c r="E12" s="20" t="s">
        <v>104</v>
      </c>
      <c r="F12" s="20" t="s">
        <v>67</v>
      </c>
      <c r="G12" s="20">
        <v>-17.607842999999999</v>
      </c>
      <c r="H12" s="20">
        <v>31.140328</v>
      </c>
      <c r="I12" s="23">
        <v>36831</v>
      </c>
      <c r="J12" s="23">
        <v>37376</v>
      </c>
      <c r="K12" s="20" t="s">
        <v>105</v>
      </c>
      <c r="L12" s="20">
        <v>2</v>
      </c>
      <c r="M12" s="20"/>
      <c r="N12" s="36"/>
      <c r="O12" s="36"/>
      <c r="P12" s="101">
        <v>6.32</v>
      </c>
      <c r="Q12" s="28"/>
      <c r="R12" s="36"/>
      <c r="S12" s="36"/>
      <c r="T12" s="101">
        <v>6.35</v>
      </c>
      <c r="U12" s="20">
        <v>0.2</v>
      </c>
      <c r="V12" s="55" t="s">
        <v>166</v>
      </c>
      <c r="W12" s="41">
        <v>1.5329999999999999</v>
      </c>
      <c r="X12" s="41">
        <v>1.5329999999999999</v>
      </c>
      <c r="Y12" s="20" t="s">
        <v>70</v>
      </c>
      <c r="Z12" s="29" t="s">
        <v>69</v>
      </c>
      <c r="AA12" s="30" t="s">
        <v>106</v>
      </c>
      <c r="AB12" s="106">
        <v>22</v>
      </c>
      <c r="AC12" s="20" t="s">
        <v>60</v>
      </c>
      <c r="AD12" s="55"/>
      <c r="AE12" s="20">
        <v>4.6669999999999998</v>
      </c>
      <c r="AF12" s="20">
        <v>1</v>
      </c>
      <c r="AG12" s="33">
        <f t="shared" si="0"/>
        <v>2.9999999999999361E-2</v>
      </c>
      <c r="AH12" s="34">
        <f t="shared" si="1"/>
        <v>1.499999999999968E-2</v>
      </c>
      <c r="AI12">
        <v>6.3499999999999499</v>
      </c>
      <c r="AJ12" s="34">
        <f t="shared" si="2"/>
        <v>2.9999999999949623E-2</v>
      </c>
      <c r="AK12" s="34">
        <f t="shared" si="3"/>
        <v>1.4999999999974811E-2</v>
      </c>
      <c r="AL12" s="35">
        <f t="shared" si="5"/>
        <v>-4.9737991503207013E-14</v>
      </c>
      <c r="AM12" s="35">
        <f t="shared" si="5"/>
        <v>-2.4868995751603507E-14</v>
      </c>
      <c r="AN12" s="35">
        <f t="shared" si="4"/>
        <v>-1.2056328158038809E-15</v>
      </c>
      <c r="AO12" s="58"/>
      <c r="AP12" s="58"/>
      <c r="AQ12" s="58"/>
      <c r="AR12" s="58"/>
    </row>
    <row r="13" spans="1:44" ht="17" x14ac:dyDescent="0.2">
      <c r="A13" s="20" t="s">
        <v>108</v>
      </c>
      <c r="B13" s="20" t="s">
        <v>188</v>
      </c>
      <c r="C13" s="20" t="s">
        <v>188</v>
      </c>
      <c r="D13" s="41" t="s">
        <v>159</v>
      </c>
      <c r="E13" s="20" t="s">
        <v>189</v>
      </c>
      <c r="F13" s="20" t="s">
        <v>79</v>
      </c>
      <c r="G13" s="20">
        <v>13.0785</v>
      </c>
      <c r="H13" s="20">
        <v>77.570115999999999</v>
      </c>
      <c r="I13" s="23">
        <v>39288</v>
      </c>
      <c r="J13" s="23">
        <v>39387</v>
      </c>
      <c r="K13" s="20" t="s">
        <v>68</v>
      </c>
      <c r="L13" s="20">
        <v>1</v>
      </c>
      <c r="M13" s="20"/>
      <c r="N13" s="36"/>
      <c r="O13" s="105">
        <v>0.56000000000000005</v>
      </c>
      <c r="P13" s="26">
        <f t="shared" ref="P13:P19" si="6">10000*W13*U13*(O13/100)</f>
        <v>11.491200000000001</v>
      </c>
      <c r="Q13" s="20"/>
      <c r="R13" s="36"/>
      <c r="S13" s="36">
        <v>0.67</v>
      </c>
      <c r="T13" s="101">
        <f t="shared" ref="T13:T19" si="7">10000*X13*U13*(S13/100)</f>
        <v>13.7484</v>
      </c>
      <c r="U13" s="20">
        <v>0.15</v>
      </c>
      <c r="V13" s="55" t="s">
        <v>166</v>
      </c>
      <c r="W13" s="55">
        <v>1.3680000000000001</v>
      </c>
      <c r="X13" s="55">
        <v>1.3680000000000001</v>
      </c>
      <c r="Y13" s="20" t="s">
        <v>70</v>
      </c>
      <c r="Z13" s="29" t="s">
        <v>69</v>
      </c>
      <c r="AA13" s="30" t="s">
        <v>106</v>
      </c>
      <c r="AB13" s="104">
        <v>17.399999999999999</v>
      </c>
      <c r="AC13" s="20" t="s">
        <v>60</v>
      </c>
      <c r="AD13" s="55" t="s">
        <v>190</v>
      </c>
      <c r="AE13" s="20">
        <v>4.6669999999999998</v>
      </c>
      <c r="AF13" s="20">
        <v>1</v>
      </c>
      <c r="AG13" s="33">
        <f t="shared" si="0"/>
        <v>2.2571999999999992</v>
      </c>
      <c r="AH13" s="34">
        <f t="shared" si="1"/>
        <v>2.2571999999999992</v>
      </c>
      <c r="AI13">
        <v>13.7484</v>
      </c>
      <c r="AJ13" s="34">
        <f t="shared" si="2"/>
        <v>2.2571999999999992</v>
      </c>
      <c r="AK13" s="34">
        <f t="shared" si="3"/>
        <v>2.2571999999999992</v>
      </c>
      <c r="AL13" s="35">
        <f t="shared" si="5"/>
        <v>0</v>
      </c>
      <c r="AM13" s="35">
        <f t="shared" si="5"/>
        <v>0</v>
      </c>
      <c r="AN13" s="35">
        <f t="shared" si="4"/>
        <v>2.3663362935799626E-14</v>
      </c>
      <c r="AO13" s="58"/>
      <c r="AP13" s="58"/>
      <c r="AQ13" s="58"/>
      <c r="AR13" s="58"/>
    </row>
    <row r="14" spans="1:44" ht="17" x14ac:dyDescent="0.2">
      <c r="A14" s="20" t="s">
        <v>191</v>
      </c>
      <c r="B14" s="20" t="s">
        <v>192</v>
      </c>
      <c r="C14" s="20" t="s">
        <v>193</v>
      </c>
      <c r="D14" s="41" t="s">
        <v>159</v>
      </c>
      <c r="E14" s="20" t="s">
        <v>194</v>
      </c>
      <c r="F14" s="20" t="s">
        <v>67</v>
      </c>
      <c r="G14" s="20">
        <v>-13.989777780000001</v>
      </c>
      <c r="H14" s="20">
        <v>33.643555560000003</v>
      </c>
      <c r="I14" s="23">
        <v>40848</v>
      </c>
      <c r="J14" s="23">
        <v>41365</v>
      </c>
      <c r="K14" s="20" t="s">
        <v>68</v>
      </c>
      <c r="L14" s="20">
        <v>2</v>
      </c>
      <c r="M14" s="20"/>
      <c r="N14" s="36"/>
      <c r="O14" s="36">
        <v>1.25</v>
      </c>
      <c r="P14" s="26">
        <f t="shared" si="6"/>
        <v>34.325000000000003</v>
      </c>
      <c r="Q14" s="28"/>
      <c r="R14" s="36"/>
      <c r="S14" s="36">
        <v>1.63</v>
      </c>
      <c r="T14" s="101">
        <f t="shared" si="7"/>
        <v>44.759799999999998</v>
      </c>
      <c r="U14" s="20">
        <v>0.2</v>
      </c>
      <c r="V14" s="20" t="s">
        <v>59</v>
      </c>
      <c r="W14" s="20">
        <v>1.373</v>
      </c>
      <c r="X14" s="20">
        <v>1.373</v>
      </c>
      <c r="Y14" s="20" t="s">
        <v>70</v>
      </c>
      <c r="Z14" s="29" t="s">
        <v>195</v>
      </c>
      <c r="AA14" s="30" t="s">
        <v>106</v>
      </c>
      <c r="AB14" s="102">
        <v>25.886111111111099</v>
      </c>
      <c r="AC14" s="20" t="s">
        <v>70</v>
      </c>
      <c r="AD14" s="55" t="s">
        <v>196</v>
      </c>
      <c r="AE14" s="20">
        <v>4.6669999999999998</v>
      </c>
      <c r="AF14" s="20">
        <v>1</v>
      </c>
      <c r="AG14" s="33">
        <f t="shared" si="0"/>
        <v>10.434799999999996</v>
      </c>
      <c r="AH14" s="34">
        <f t="shared" si="1"/>
        <v>5.2173999999999978</v>
      </c>
      <c r="AI14">
        <v>44.759799999999899</v>
      </c>
      <c r="AJ14" s="34">
        <f t="shared" si="2"/>
        <v>10.434799999999896</v>
      </c>
      <c r="AK14" s="34">
        <f t="shared" si="3"/>
        <v>5.2173999999999481</v>
      </c>
      <c r="AL14" s="35">
        <f t="shared" si="5"/>
        <v>-9.9475983006414026E-14</v>
      </c>
      <c r="AM14" s="35">
        <f t="shared" si="5"/>
        <v>-4.9737991503207013E-14</v>
      </c>
      <c r="AN14" s="35">
        <f t="shared" si="4"/>
        <v>-2.6074628567407387E-14</v>
      </c>
      <c r="AO14" s="58"/>
      <c r="AP14" s="58"/>
      <c r="AQ14" s="58"/>
      <c r="AR14" s="58"/>
    </row>
    <row r="15" spans="1:44" ht="17" x14ac:dyDescent="0.2">
      <c r="A15" s="20" t="s">
        <v>197</v>
      </c>
      <c r="B15" s="20" t="s">
        <v>198</v>
      </c>
      <c r="C15" s="20" t="s">
        <v>199</v>
      </c>
      <c r="D15" s="41" t="s">
        <v>159</v>
      </c>
      <c r="E15" s="20" t="s">
        <v>200</v>
      </c>
      <c r="F15" s="20" t="s">
        <v>79</v>
      </c>
      <c r="G15" s="20">
        <v>25.518119479999999</v>
      </c>
      <c r="H15" s="20">
        <v>68.669563289999999</v>
      </c>
      <c r="I15" s="23">
        <v>43862</v>
      </c>
      <c r="J15" s="23">
        <v>44255</v>
      </c>
      <c r="K15" s="20" t="s">
        <v>80</v>
      </c>
      <c r="L15" s="20">
        <v>1</v>
      </c>
      <c r="M15" s="20" t="s">
        <v>178</v>
      </c>
      <c r="N15" s="36">
        <v>0.6</v>
      </c>
      <c r="O15" s="36">
        <f>N15/1.72</f>
        <v>0.34883720930232559</v>
      </c>
      <c r="P15" s="26">
        <f t="shared" si="6"/>
        <v>15.572093023255814</v>
      </c>
      <c r="Q15" s="20" t="s">
        <v>178</v>
      </c>
      <c r="R15" s="101">
        <f>S15*1.72</f>
        <v>0.83419999999999994</v>
      </c>
      <c r="S15" s="36">
        <v>0.48499999999999999</v>
      </c>
      <c r="T15" s="101">
        <f t="shared" si="7"/>
        <v>21.650400000000001</v>
      </c>
      <c r="U15" s="20">
        <v>0.3</v>
      </c>
      <c r="V15" s="20" t="s">
        <v>59</v>
      </c>
      <c r="W15" s="20">
        <v>1.488</v>
      </c>
      <c r="X15" s="20">
        <v>1.488</v>
      </c>
      <c r="Y15" s="20" t="s">
        <v>70</v>
      </c>
      <c r="Z15" s="29" t="s">
        <v>94</v>
      </c>
      <c r="AA15" s="30" t="s">
        <v>81</v>
      </c>
      <c r="AB15" s="102">
        <v>39.927441077441003</v>
      </c>
      <c r="AC15" s="20" t="s">
        <v>70</v>
      </c>
      <c r="AD15" s="55" t="s">
        <v>201</v>
      </c>
      <c r="AE15" s="20">
        <v>4.6669999999999998</v>
      </c>
      <c r="AF15" s="20">
        <v>1</v>
      </c>
      <c r="AG15" s="33">
        <f t="shared" si="0"/>
        <v>6.0783069767441873</v>
      </c>
      <c r="AH15" s="34">
        <f t="shared" si="1"/>
        <v>6.0783069767441873</v>
      </c>
      <c r="AI15">
        <v>21.650399999999902</v>
      </c>
      <c r="AJ15" s="34">
        <f t="shared" si="2"/>
        <v>6.0783069767440878</v>
      </c>
      <c r="AK15" s="34">
        <f t="shared" si="3"/>
        <v>6.0783069767440878</v>
      </c>
      <c r="AL15" s="35">
        <f t="shared" si="5"/>
        <v>-9.9475983006414026E-14</v>
      </c>
      <c r="AM15" s="35">
        <f t="shared" si="5"/>
        <v>-9.9475983006414026E-14</v>
      </c>
      <c r="AN15" s="35">
        <f t="shared" si="4"/>
        <v>-7.58126200706144E-14</v>
      </c>
      <c r="AO15" s="58"/>
      <c r="AP15" s="58"/>
      <c r="AQ15" s="58"/>
      <c r="AR15" s="58"/>
    </row>
    <row r="16" spans="1:44" ht="17" x14ac:dyDescent="0.2">
      <c r="A16" s="20" t="s">
        <v>202</v>
      </c>
      <c r="B16" s="20" t="s">
        <v>203</v>
      </c>
      <c r="C16" s="20" t="s">
        <v>203</v>
      </c>
      <c r="D16" s="41" t="s">
        <v>159</v>
      </c>
      <c r="E16" s="20" t="s">
        <v>204</v>
      </c>
      <c r="F16" s="20" t="s">
        <v>55</v>
      </c>
      <c r="G16" s="20">
        <v>31.55</v>
      </c>
      <c r="H16" s="20">
        <v>73.116699999999994</v>
      </c>
      <c r="I16" s="23">
        <v>42095</v>
      </c>
      <c r="J16" s="23">
        <v>43008</v>
      </c>
      <c r="K16" s="20" t="s">
        <v>105</v>
      </c>
      <c r="L16" s="20">
        <v>2</v>
      </c>
      <c r="M16" s="20" t="s">
        <v>87</v>
      </c>
      <c r="N16" s="36">
        <v>5.8</v>
      </c>
      <c r="O16" s="36">
        <f>N16/10</f>
        <v>0.57999999999999996</v>
      </c>
      <c r="P16" s="26">
        <f t="shared" si="6"/>
        <v>17.747999999999998</v>
      </c>
      <c r="Q16" s="20" t="s">
        <v>87</v>
      </c>
      <c r="R16" s="36">
        <v>10.8</v>
      </c>
      <c r="S16" s="36">
        <f>R16/10</f>
        <v>1.08</v>
      </c>
      <c r="T16" s="101">
        <f t="shared" si="7"/>
        <v>32.832000000000001</v>
      </c>
      <c r="U16" s="20">
        <v>0.2</v>
      </c>
      <c r="V16" s="20" t="s">
        <v>59</v>
      </c>
      <c r="W16" s="20">
        <v>1.53</v>
      </c>
      <c r="X16" s="20">
        <v>1.52</v>
      </c>
      <c r="Y16" s="20" t="s">
        <v>60</v>
      </c>
      <c r="Z16" s="29" t="s">
        <v>94</v>
      </c>
      <c r="AA16" s="30" t="s">
        <v>61</v>
      </c>
      <c r="AB16" s="102">
        <v>21.2359649122807</v>
      </c>
      <c r="AC16" s="20" t="s">
        <v>70</v>
      </c>
      <c r="AD16" s="44" t="s">
        <v>205</v>
      </c>
      <c r="AE16" s="20">
        <v>4.6669999999999998</v>
      </c>
      <c r="AF16" s="20">
        <v>1</v>
      </c>
      <c r="AG16" s="33">
        <f t="shared" si="0"/>
        <v>15.084000000000003</v>
      </c>
      <c r="AH16" s="34">
        <f t="shared" si="1"/>
        <v>7.5420000000000016</v>
      </c>
      <c r="AI16">
        <v>32.831999999999901</v>
      </c>
      <c r="AJ16" s="34">
        <f t="shared" si="2"/>
        <v>15.083999999999904</v>
      </c>
      <c r="AK16" s="34">
        <f t="shared" si="3"/>
        <v>7.5419999999999519</v>
      </c>
      <c r="AL16" s="35">
        <f t="shared" si="5"/>
        <v>-9.9475983006414026E-14</v>
      </c>
      <c r="AM16" s="35">
        <f t="shared" si="5"/>
        <v>-4.9737991503207013E-14</v>
      </c>
      <c r="AN16" s="35">
        <f t="shared" si="4"/>
        <v>-2.6074628567407387E-14</v>
      </c>
      <c r="AO16" s="58"/>
      <c r="AP16" s="58"/>
      <c r="AQ16" s="58"/>
      <c r="AR16" s="58"/>
    </row>
    <row r="17" spans="1:44" ht="17" x14ac:dyDescent="0.2">
      <c r="A17" s="20" t="s">
        <v>206</v>
      </c>
      <c r="B17" s="20" t="s">
        <v>207</v>
      </c>
      <c r="C17" s="20" t="s">
        <v>208</v>
      </c>
      <c r="D17" s="41" t="s">
        <v>159</v>
      </c>
      <c r="E17" s="20" t="s">
        <v>209</v>
      </c>
      <c r="F17" s="20" t="s">
        <v>79</v>
      </c>
      <c r="G17" s="20">
        <v>14.62</v>
      </c>
      <c r="H17" s="20">
        <v>77.52</v>
      </c>
      <c r="I17" s="23">
        <v>31199</v>
      </c>
      <c r="J17" s="23">
        <v>41943</v>
      </c>
      <c r="K17" s="20" t="s">
        <v>68</v>
      </c>
      <c r="L17" s="20">
        <v>29</v>
      </c>
      <c r="M17" s="20"/>
      <c r="N17" s="36"/>
      <c r="O17" s="36">
        <v>0.5</v>
      </c>
      <c r="P17" s="26">
        <f t="shared" si="6"/>
        <v>15.31</v>
      </c>
      <c r="Q17" s="28"/>
      <c r="R17" s="36"/>
      <c r="S17" s="36">
        <v>0.67</v>
      </c>
      <c r="T17" s="101">
        <f t="shared" si="7"/>
        <v>20.5154</v>
      </c>
      <c r="U17" s="20">
        <v>0.2</v>
      </c>
      <c r="V17" s="20" t="s">
        <v>59</v>
      </c>
      <c r="W17" s="20">
        <v>1.5309999999999999</v>
      </c>
      <c r="X17" s="20">
        <v>1.5309999999999999</v>
      </c>
      <c r="Y17" s="20" t="s">
        <v>70</v>
      </c>
      <c r="Z17" s="29" t="s">
        <v>161</v>
      </c>
      <c r="AA17" s="30" t="s">
        <v>81</v>
      </c>
      <c r="AB17" s="102">
        <v>33.7424242424242</v>
      </c>
      <c r="AC17" s="20" t="s">
        <v>70</v>
      </c>
      <c r="AD17" s="55" t="s">
        <v>210</v>
      </c>
      <c r="AE17" s="20">
        <v>4.6669999999999998</v>
      </c>
      <c r="AF17" s="20">
        <v>1</v>
      </c>
      <c r="AG17" s="33">
        <f t="shared" si="0"/>
        <v>5.2053999999999991</v>
      </c>
      <c r="AH17" s="34">
        <f t="shared" si="1"/>
        <v>0.17949655172413789</v>
      </c>
      <c r="AI17">
        <v>20.5153999999993</v>
      </c>
      <c r="AJ17" s="34">
        <f t="shared" si="2"/>
        <v>5.2053999999992993</v>
      </c>
      <c r="AK17" s="34">
        <f t="shared" si="3"/>
        <v>0.17949655172411377</v>
      </c>
      <c r="AL17" s="35">
        <f t="shared" si="5"/>
        <v>-6.9988459472369868E-13</v>
      </c>
      <c r="AM17" s="35">
        <f t="shared" si="5"/>
        <v>-2.4119595209981526E-14</v>
      </c>
      <c r="AN17" s="35">
        <f t="shared" si="4"/>
        <v>-4.5623227418190027E-16</v>
      </c>
      <c r="AO17" s="58"/>
      <c r="AP17" s="58"/>
      <c r="AQ17" s="58"/>
      <c r="AR17" s="58"/>
    </row>
    <row r="18" spans="1:44" ht="17" x14ac:dyDescent="0.2">
      <c r="A18" s="20" t="s">
        <v>211</v>
      </c>
      <c r="B18" s="20" t="s">
        <v>119</v>
      </c>
      <c r="C18" s="20" t="s">
        <v>212</v>
      </c>
      <c r="D18" s="41" t="s">
        <v>159</v>
      </c>
      <c r="E18" s="20" t="s">
        <v>121</v>
      </c>
      <c r="F18" s="20" t="s">
        <v>55</v>
      </c>
      <c r="G18" s="20">
        <v>-26.495000000000001</v>
      </c>
      <c r="H18" s="20">
        <v>26.601944</v>
      </c>
      <c r="I18" s="23">
        <v>39753</v>
      </c>
      <c r="J18" s="23">
        <v>41759</v>
      </c>
      <c r="K18" s="20" t="s">
        <v>105</v>
      </c>
      <c r="L18" s="20">
        <v>6</v>
      </c>
      <c r="M18" s="20"/>
      <c r="N18" s="36"/>
      <c r="O18" s="103">
        <f>(0.45+0.41)/2</f>
        <v>0.43</v>
      </c>
      <c r="P18" s="26">
        <f t="shared" si="6"/>
        <v>20.64</v>
      </c>
      <c r="Q18" s="20"/>
      <c r="R18" s="36"/>
      <c r="S18" s="36">
        <v>0.41</v>
      </c>
      <c r="T18" s="101">
        <f t="shared" si="7"/>
        <v>19.679999999999996</v>
      </c>
      <c r="U18" s="20">
        <v>0.3</v>
      </c>
      <c r="V18" s="55" t="s">
        <v>166</v>
      </c>
      <c r="W18" s="20">
        <v>1.6</v>
      </c>
      <c r="X18" s="20">
        <v>1.6</v>
      </c>
      <c r="Y18" s="20" t="s">
        <v>60</v>
      </c>
      <c r="Z18" s="29" t="s">
        <v>69</v>
      </c>
      <c r="AA18" s="30" t="s">
        <v>106</v>
      </c>
      <c r="AB18" s="106">
        <f>(17+22)/2</f>
        <v>19.5</v>
      </c>
      <c r="AC18" s="20" t="s">
        <v>60</v>
      </c>
      <c r="AD18" s="55" t="s">
        <v>213</v>
      </c>
      <c r="AE18" s="20">
        <v>4.6669999999999998</v>
      </c>
      <c r="AF18" s="20">
        <v>1</v>
      </c>
      <c r="AG18" s="33">
        <f t="shared" si="0"/>
        <v>-0.96000000000000441</v>
      </c>
      <c r="AH18" s="34">
        <f t="shared" si="1"/>
        <v>-0.16000000000000072</v>
      </c>
      <c r="AI18">
        <v>19.6799999999999</v>
      </c>
      <c r="AJ18" s="34">
        <f t="shared" si="2"/>
        <v>-0.96000000000010033</v>
      </c>
      <c r="AK18" s="34">
        <f t="shared" si="3"/>
        <v>-0.16000000000001671</v>
      </c>
      <c r="AL18" s="35">
        <f t="shared" si="5"/>
        <v>-9.5923269327613525E-14</v>
      </c>
      <c r="AM18" s="35">
        <f t="shared" si="5"/>
        <v>-1.5987211554602254E-14</v>
      </c>
      <c r="AN18" s="35">
        <f t="shared" si="4"/>
        <v>7.6761513811973714E-15</v>
      </c>
      <c r="AO18" s="58"/>
      <c r="AP18" s="58"/>
      <c r="AQ18" s="58"/>
      <c r="AR18" s="58"/>
    </row>
    <row r="19" spans="1:44" ht="17" x14ac:dyDescent="0.2">
      <c r="A19" s="20" t="s">
        <v>211</v>
      </c>
      <c r="B19" s="20" t="s">
        <v>119</v>
      </c>
      <c r="C19" s="20" t="s">
        <v>214</v>
      </c>
      <c r="D19" s="41" t="s">
        <v>159</v>
      </c>
      <c r="E19" s="20" t="s">
        <v>124</v>
      </c>
      <c r="F19" s="20" t="s">
        <v>55</v>
      </c>
      <c r="G19" s="20">
        <v>-25.615278</v>
      </c>
      <c r="H19" s="20">
        <v>28.315556000000001</v>
      </c>
      <c r="I19" s="23">
        <v>39753</v>
      </c>
      <c r="J19" s="23">
        <v>41394</v>
      </c>
      <c r="K19" s="20" t="s">
        <v>105</v>
      </c>
      <c r="L19" s="20">
        <v>5</v>
      </c>
      <c r="M19" s="20"/>
      <c r="N19" s="36"/>
      <c r="O19" s="103">
        <f>(1.286+2*1.292)/3</f>
        <v>1.29</v>
      </c>
      <c r="P19" s="26">
        <f t="shared" si="6"/>
        <v>56.115000000000002</v>
      </c>
      <c r="Q19" s="20"/>
      <c r="R19" s="36"/>
      <c r="S19" s="36">
        <v>1.33</v>
      </c>
      <c r="T19" s="101">
        <f t="shared" si="7"/>
        <v>57.855000000000004</v>
      </c>
      <c r="U19" s="20">
        <v>0.3</v>
      </c>
      <c r="V19" s="55" t="s">
        <v>166</v>
      </c>
      <c r="W19" s="20">
        <f>(1.4+1.5)/2</f>
        <v>1.45</v>
      </c>
      <c r="X19" s="20">
        <f>(1.4+1.5)/2</f>
        <v>1.45</v>
      </c>
      <c r="Y19" s="20" t="s">
        <v>60</v>
      </c>
      <c r="Z19" s="29" t="s">
        <v>69</v>
      </c>
      <c r="AA19" s="30" t="s">
        <v>106</v>
      </c>
      <c r="AB19" s="106">
        <f>(44*2+45)/3</f>
        <v>44.333333333333336</v>
      </c>
      <c r="AC19" s="20" t="s">
        <v>60</v>
      </c>
      <c r="AD19" s="55" t="s">
        <v>213</v>
      </c>
      <c r="AE19" s="20">
        <v>4.6669999999999998</v>
      </c>
      <c r="AF19" s="20">
        <v>1</v>
      </c>
      <c r="AG19" s="33">
        <f t="shared" si="0"/>
        <v>1.740000000000002</v>
      </c>
      <c r="AH19" s="34">
        <f t="shared" si="1"/>
        <v>0.34800000000000042</v>
      </c>
      <c r="AI19">
        <v>57.855000000000203</v>
      </c>
      <c r="AJ19" s="34">
        <f t="shared" si="2"/>
        <v>1.7400000000002009</v>
      </c>
      <c r="AK19" s="34">
        <f t="shared" si="3"/>
        <v>0.34800000000004017</v>
      </c>
      <c r="AL19" s="35">
        <f t="shared" si="5"/>
        <v>1.9895196601282805E-13</v>
      </c>
      <c r="AM19" s="35">
        <f t="shared" si="5"/>
        <v>3.9745984281580604E-14</v>
      </c>
      <c r="AN19" s="35">
        <f t="shared" si="4"/>
        <v>6.340934721738023E-14</v>
      </c>
      <c r="AO19" s="58"/>
      <c r="AP19" s="58"/>
      <c r="AQ19" s="58"/>
      <c r="AR19" s="58"/>
    </row>
    <row r="20" spans="1:44" x14ac:dyDescent="0.2">
      <c r="A20" s="56"/>
      <c r="B20" s="56"/>
      <c r="C20" s="56"/>
      <c r="D20" s="56"/>
      <c r="E20" s="56"/>
      <c r="F20" s="91"/>
      <c r="G20" s="91"/>
      <c r="H20" s="92"/>
      <c r="I20" s="56"/>
      <c r="J20" s="56"/>
      <c r="K20" s="56"/>
      <c r="L20" s="91"/>
      <c r="M20" s="93"/>
      <c r="N20" s="93"/>
      <c r="O20" s="93"/>
      <c r="P20" s="56"/>
      <c r="Q20" s="56"/>
      <c r="R20" s="56"/>
      <c r="S20" s="91"/>
      <c r="T20" s="56"/>
      <c r="U20" s="56"/>
      <c r="V20" s="56"/>
      <c r="W20" s="56"/>
      <c r="X20" s="56"/>
      <c r="Y20" s="56"/>
      <c r="Z20" s="56"/>
      <c r="AA20" s="56"/>
      <c r="AB20" s="56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5"/>
      <c r="AO20" s="58"/>
      <c r="AP20" s="58"/>
      <c r="AQ20" s="58"/>
      <c r="AR20" s="58"/>
    </row>
    <row r="21" spans="1:44" s="56" customFormat="1" ht="29" customHeight="1" x14ac:dyDescent="0.25">
      <c r="A21" s="107" t="s">
        <v>132</v>
      </c>
      <c r="E21" s="59"/>
      <c r="F21" s="108"/>
      <c r="G21" s="109"/>
      <c r="H21" s="109"/>
      <c r="I21" s="109"/>
      <c r="K21" s="110"/>
      <c r="L21" s="110"/>
      <c r="M21" s="108"/>
      <c r="N21" s="108"/>
      <c r="O21" s="108"/>
      <c r="P21" s="108"/>
      <c r="Q21" s="108"/>
      <c r="R21" s="110"/>
      <c r="S21" s="110"/>
      <c r="T21" s="110"/>
      <c r="U21" s="110"/>
      <c r="W21" s="110"/>
      <c r="X21" s="110"/>
      <c r="Y21" s="110"/>
      <c r="Z21" s="110"/>
      <c r="AA21" s="110"/>
      <c r="AB21" s="110"/>
    </row>
    <row r="22" spans="1:44" s="56" customFormat="1" ht="74" customHeight="1" x14ac:dyDescent="0.2">
      <c r="A22" s="94" t="s">
        <v>11</v>
      </c>
      <c r="B22" s="111" t="s">
        <v>133</v>
      </c>
      <c r="C22" s="111" t="s">
        <v>134</v>
      </c>
      <c r="D22" s="111" t="s">
        <v>135</v>
      </c>
      <c r="E22" s="111" t="s">
        <v>136</v>
      </c>
      <c r="F22" s="111" t="s">
        <v>137</v>
      </c>
      <c r="G22" s="109"/>
      <c r="I22" s="110"/>
      <c r="J22" s="110"/>
      <c r="K22" s="108"/>
      <c r="L22" s="110"/>
      <c r="M22" s="110"/>
      <c r="N22" s="110"/>
      <c r="O22" s="110"/>
      <c r="P22" s="110"/>
      <c r="Q22" s="110"/>
      <c r="V22" s="110"/>
      <c r="W22" s="110"/>
      <c r="X22" s="110"/>
      <c r="Y22" s="110"/>
      <c r="Z22" s="110"/>
      <c r="AA22" s="110"/>
    </row>
    <row r="23" spans="1:44" s="56" customFormat="1" ht="15.75" customHeight="1" x14ac:dyDescent="0.2">
      <c r="A23" s="20" t="s">
        <v>157</v>
      </c>
      <c r="B23" s="20">
        <v>1</v>
      </c>
      <c r="C23" s="20" t="s">
        <v>79</v>
      </c>
      <c r="D23" s="22">
        <v>4.6669999999999998</v>
      </c>
      <c r="E23" s="20">
        <v>28</v>
      </c>
      <c r="F23" s="112">
        <f>D23/E23</f>
        <v>0.16667857142857143</v>
      </c>
      <c r="G23" s="109"/>
      <c r="I23" s="110"/>
      <c r="J23" s="110"/>
      <c r="K23" s="113"/>
      <c r="L23" s="110"/>
      <c r="M23" s="113"/>
      <c r="N23" s="113"/>
      <c r="O23" s="113"/>
      <c r="P23" s="113"/>
      <c r="Q23" s="113"/>
      <c r="V23" s="110"/>
      <c r="W23" s="110"/>
      <c r="X23" s="110"/>
      <c r="Y23" s="110"/>
      <c r="Z23" s="110"/>
      <c r="AA23" s="110"/>
    </row>
    <row r="24" spans="1:44" s="56" customFormat="1" ht="15.75" customHeight="1" x14ac:dyDescent="0.2">
      <c r="A24" s="20" t="s">
        <v>164</v>
      </c>
      <c r="B24" s="20">
        <v>1</v>
      </c>
      <c r="C24" s="20" t="s">
        <v>79</v>
      </c>
      <c r="D24" s="22">
        <v>4.6669999999999998</v>
      </c>
      <c r="E24" s="20">
        <v>3</v>
      </c>
      <c r="F24" s="112">
        <f t="shared" ref="F24:F36" si="8">D24/E24</f>
        <v>1.5556666666666665</v>
      </c>
      <c r="G24" s="109"/>
      <c r="I24" s="110"/>
      <c r="J24" s="110"/>
      <c r="K24" s="113"/>
      <c r="L24" s="110"/>
      <c r="M24" s="113"/>
      <c r="N24" s="113"/>
      <c r="O24" s="113"/>
      <c r="P24" s="113"/>
      <c r="Q24" s="113"/>
      <c r="V24" s="110"/>
      <c r="W24" s="110"/>
      <c r="X24" s="110"/>
      <c r="Y24" s="110"/>
      <c r="Z24" s="110"/>
      <c r="AA24" s="110"/>
    </row>
    <row r="25" spans="1:44" s="56" customFormat="1" ht="15.75" customHeight="1" x14ac:dyDescent="0.2">
      <c r="A25" s="20" t="s">
        <v>169</v>
      </c>
      <c r="B25" s="20">
        <v>1</v>
      </c>
      <c r="C25" s="20" t="s">
        <v>55</v>
      </c>
      <c r="D25" s="22">
        <v>4.6669999999999998</v>
      </c>
      <c r="E25" s="20">
        <v>1</v>
      </c>
      <c r="F25" s="112">
        <f t="shared" si="8"/>
        <v>4.6669999999999998</v>
      </c>
      <c r="G25" s="109"/>
      <c r="I25" s="110"/>
      <c r="J25" s="110"/>
      <c r="K25" s="113"/>
      <c r="L25" s="110"/>
      <c r="M25" s="113"/>
      <c r="N25" s="113"/>
      <c r="O25" s="113"/>
      <c r="P25" s="113"/>
      <c r="Q25" s="113"/>
      <c r="V25" s="110"/>
      <c r="W25" s="110"/>
      <c r="X25" s="110"/>
      <c r="Y25" s="110"/>
      <c r="Z25" s="110"/>
      <c r="AA25" s="110"/>
    </row>
    <row r="26" spans="1:44" s="56" customFormat="1" ht="15.75" customHeight="1" x14ac:dyDescent="0.2">
      <c r="A26" s="20" t="s">
        <v>173</v>
      </c>
      <c r="B26" s="20">
        <v>1</v>
      </c>
      <c r="C26" s="20" t="s">
        <v>55</v>
      </c>
      <c r="D26" s="22">
        <v>4.6669999999999998</v>
      </c>
      <c r="E26" s="20">
        <v>7</v>
      </c>
      <c r="F26" s="112">
        <f t="shared" si="8"/>
        <v>0.6667142857142857</v>
      </c>
      <c r="G26" s="109"/>
      <c r="I26" s="110"/>
      <c r="J26" s="110"/>
      <c r="K26" s="113"/>
      <c r="L26" s="110"/>
      <c r="M26" s="113"/>
      <c r="N26" s="113"/>
      <c r="O26" s="113"/>
      <c r="P26" s="113"/>
      <c r="Q26" s="113"/>
      <c r="V26" s="110"/>
      <c r="W26" s="110"/>
      <c r="X26" s="110"/>
      <c r="Y26" s="110"/>
      <c r="Z26" s="110"/>
      <c r="AA26" s="110"/>
    </row>
    <row r="27" spans="1:44" s="56" customFormat="1" ht="15.75" customHeight="1" x14ac:dyDescent="0.2">
      <c r="A27" s="20" t="s">
        <v>51</v>
      </c>
      <c r="B27" s="20">
        <v>3</v>
      </c>
      <c r="C27" s="20" t="s">
        <v>55</v>
      </c>
      <c r="D27" s="22">
        <v>4.6669999999999998</v>
      </c>
      <c r="E27" s="20">
        <v>2</v>
      </c>
      <c r="F27" s="112">
        <f t="shared" si="8"/>
        <v>2.3334999999999999</v>
      </c>
      <c r="G27" s="109"/>
      <c r="I27" s="110"/>
      <c r="J27" s="110"/>
      <c r="K27" s="114"/>
      <c r="L27" s="110"/>
      <c r="M27" s="113"/>
      <c r="N27" s="113"/>
      <c r="O27" s="113"/>
      <c r="P27" s="113"/>
      <c r="Q27" s="113"/>
      <c r="V27" s="110"/>
      <c r="W27" s="110"/>
      <c r="X27" s="110"/>
      <c r="Y27" s="110"/>
      <c r="Z27" s="110"/>
      <c r="AA27" s="110"/>
    </row>
    <row r="28" spans="1:44" s="56" customFormat="1" ht="15.75" customHeight="1" x14ac:dyDescent="0.2">
      <c r="A28" s="20" t="s">
        <v>76</v>
      </c>
      <c r="B28" s="20">
        <v>1</v>
      </c>
      <c r="C28" s="20" t="s">
        <v>79</v>
      </c>
      <c r="D28" s="22">
        <v>4.6669999999999998</v>
      </c>
      <c r="E28" s="20">
        <v>2</v>
      </c>
      <c r="F28" s="112">
        <f t="shared" si="8"/>
        <v>2.3334999999999999</v>
      </c>
      <c r="G28" s="109"/>
      <c r="I28" s="110"/>
      <c r="J28" s="110"/>
      <c r="K28" s="113"/>
      <c r="L28" s="110"/>
      <c r="M28" s="113"/>
      <c r="N28" s="113"/>
      <c r="O28" s="113"/>
      <c r="P28" s="113"/>
      <c r="Q28" s="113"/>
      <c r="V28" s="110"/>
      <c r="W28" s="110"/>
      <c r="X28" s="110"/>
      <c r="Y28" s="110"/>
      <c r="Z28" s="110"/>
      <c r="AA28" s="110"/>
    </row>
    <row r="29" spans="1:44" s="56" customFormat="1" ht="15.75" customHeight="1" x14ac:dyDescent="0.2">
      <c r="A29" s="20" t="s">
        <v>182</v>
      </c>
      <c r="B29" s="20">
        <v>1</v>
      </c>
      <c r="C29" s="20" t="s">
        <v>67</v>
      </c>
      <c r="D29" s="22">
        <v>4.6669999999999998</v>
      </c>
      <c r="E29" s="20">
        <v>2</v>
      </c>
      <c r="F29" s="112">
        <f t="shared" si="8"/>
        <v>2.3334999999999999</v>
      </c>
      <c r="G29" s="109"/>
      <c r="I29" s="110"/>
      <c r="J29" s="110"/>
      <c r="K29" s="114"/>
      <c r="L29" s="110"/>
      <c r="M29" s="113"/>
      <c r="N29" s="113"/>
      <c r="O29" s="113"/>
      <c r="P29" s="113"/>
      <c r="Q29" s="113"/>
      <c r="V29" s="110"/>
      <c r="W29" s="110"/>
      <c r="X29" s="110"/>
      <c r="Y29" s="110"/>
      <c r="Z29" s="110"/>
      <c r="AA29" s="110"/>
    </row>
    <row r="30" spans="1:44" s="56" customFormat="1" ht="15.75" customHeight="1" x14ac:dyDescent="0.2">
      <c r="A30" s="20" t="s">
        <v>90</v>
      </c>
      <c r="B30" s="20">
        <v>1</v>
      </c>
      <c r="C30" s="20" t="s">
        <v>79</v>
      </c>
      <c r="D30" s="22">
        <v>4.6669999999999998</v>
      </c>
      <c r="E30" s="20">
        <v>2</v>
      </c>
      <c r="F30" s="112">
        <f t="shared" si="8"/>
        <v>2.3334999999999999</v>
      </c>
      <c r="G30" s="109"/>
      <c r="I30" s="110"/>
      <c r="J30" s="110"/>
      <c r="K30" s="115"/>
      <c r="L30" s="110"/>
      <c r="M30" s="113"/>
      <c r="N30" s="113"/>
      <c r="O30" s="113"/>
      <c r="P30" s="113"/>
      <c r="Q30" s="113"/>
      <c r="V30" s="110"/>
      <c r="W30" s="110"/>
      <c r="X30" s="110"/>
      <c r="Y30" s="110"/>
      <c r="Z30" s="110"/>
      <c r="AA30" s="110"/>
    </row>
    <row r="31" spans="1:44" s="56" customFormat="1" ht="15.75" customHeight="1" x14ac:dyDescent="0.2">
      <c r="A31" s="20" t="s">
        <v>187</v>
      </c>
      <c r="B31" s="20">
        <v>1</v>
      </c>
      <c r="C31" s="20" t="s">
        <v>67</v>
      </c>
      <c r="D31" s="22">
        <v>4.6669999999999998</v>
      </c>
      <c r="E31" s="20">
        <v>2</v>
      </c>
      <c r="F31" s="112">
        <f t="shared" si="8"/>
        <v>2.3334999999999999</v>
      </c>
      <c r="G31" s="109"/>
      <c r="I31" s="110"/>
      <c r="J31" s="110"/>
      <c r="K31" s="114"/>
      <c r="L31" s="110"/>
      <c r="M31" s="114"/>
      <c r="N31" s="114"/>
      <c r="O31" s="114"/>
      <c r="P31" s="114"/>
      <c r="Q31" s="114"/>
      <c r="V31" s="110"/>
      <c r="W31" s="110"/>
      <c r="X31" s="110"/>
      <c r="Y31" s="110"/>
      <c r="Z31" s="110"/>
      <c r="AA31" s="110"/>
    </row>
    <row r="32" spans="1:44" s="56" customFormat="1" ht="15.75" customHeight="1" x14ac:dyDescent="0.2">
      <c r="A32" s="20" t="s">
        <v>188</v>
      </c>
      <c r="B32" s="20">
        <v>1</v>
      </c>
      <c r="C32" s="20" t="s">
        <v>79</v>
      </c>
      <c r="D32" s="22">
        <v>4.6669999999999998</v>
      </c>
      <c r="E32" s="20">
        <v>1</v>
      </c>
      <c r="F32" s="112">
        <f t="shared" si="8"/>
        <v>4.6669999999999998</v>
      </c>
      <c r="G32" s="109"/>
      <c r="I32" s="110"/>
      <c r="J32" s="110"/>
      <c r="K32" s="114"/>
      <c r="L32" s="110"/>
      <c r="M32" s="114"/>
      <c r="N32" s="114"/>
      <c r="O32" s="114"/>
      <c r="P32" s="114"/>
      <c r="Q32" s="114"/>
      <c r="V32" s="110"/>
      <c r="W32" s="110"/>
      <c r="X32" s="110"/>
      <c r="Y32" s="110"/>
      <c r="Z32" s="110"/>
      <c r="AA32" s="110"/>
    </row>
    <row r="33" spans="1:44" s="56" customFormat="1" ht="15.75" customHeight="1" x14ac:dyDescent="0.2">
      <c r="A33" s="20" t="s">
        <v>192</v>
      </c>
      <c r="B33" s="20">
        <v>1</v>
      </c>
      <c r="C33" s="20" t="s">
        <v>67</v>
      </c>
      <c r="D33" s="22">
        <v>4.6669999999999998</v>
      </c>
      <c r="E33" s="20">
        <v>2</v>
      </c>
      <c r="F33" s="112">
        <f t="shared" si="8"/>
        <v>2.3334999999999999</v>
      </c>
      <c r="G33" s="109"/>
      <c r="I33" s="110"/>
      <c r="J33" s="110"/>
      <c r="K33" s="114"/>
      <c r="L33" s="110"/>
      <c r="M33" s="114"/>
      <c r="N33" s="114"/>
      <c r="O33" s="114"/>
      <c r="P33" s="114"/>
      <c r="Q33" s="114"/>
      <c r="V33" s="110"/>
      <c r="W33" s="110"/>
      <c r="X33" s="110"/>
      <c r="Y33" s="110"/>
      <c r="Z33" s="110"/>
      <c r="AA33" s="110"/>
    </row>
    <row r="34" spans="1:44" s="56" customFormat="1" ht="15.75" customHeight="1" x14ac:dyDescent="0.2">
      <c r="A34" s="20" t="s">
        <v>198</v>
      </c>
      <c r="B34" s="20">
        <v>1</v>
      </c>
      <c r="C34" s="20" t="s">
        <v>79</v>
      </c>
      <c r="D34" s="22">
        <v>4.6669999999999998</v>
      </c>
      <c r="E34" s="20">
        <v>1</v>
      </c>
      <c r="F34" s="112">
        <f t="shared" si="8"/>
        <v>4.6669999999999998</v>
      </c>
      <c r="G34" s="109"/>
      <c r="I34" s="110"/>
      <c r="J34" s="110"/>
      <c r="K34" s="114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0"/>
      <c r="Y34" s="110"/>
      <c r="Z34" s="110"/>
      <c r="AA34" s="110"/>
    </row>
    <row r="35" spans="1:44" s="56" customFormat="1" ht="15.75" customHeight="1" x14ac:dyDescent="0.2">
      <c r="A35" s="20" t="s">
        <v>203</v>
      </c>
      <c r="B35" s="20">
        <v>1</v>
      </c>
      <c r="C35" s="20" t="s">
        <v>55</v>
      </c>
      <c r="D35" s="22">
        <v>4.6669999999999998</v>
      </c>
      <c r="E35" s="20">
        <v>2</v>
      </c>
      <c r="F35" s="112">
        <f t="shared" si="8"/>
        <v>2.3334999999999999</v>
      </c>
      <c r="G35" s="109"/>
      <c r="I35" s="110"/>
      <c r="J35" s="110"/>
      <c r="K35" s="116"/>
      <c r="L35" s="110"/>
      <c r="M35" s="113"/>
      <c r="N35" s="113"/>
      <c r="O35" s="113"/>
      <c r="P35" s="113"/>
      <c r="Q35" s="113"/>
      <c r="R35" s="110"/>
      <c r="S35" s="110"/>
      <c r="T35" s="110"/>
      <c r="U35" s="110"/>
      <c r="V35" s="110"/>
      <c r="W35" s="110"/>
      <c r="X35" s="110"/>
      <c r="Y35" s="110"/>
      <c r="Z35" s="110"/>
      <c r="AA35" s="110"/>
    </row>
    <row r="36" spans="1:44" s="56" customFormat="1" ht="15.75" customHeight="1" x14ac:dyDescent="0.2">
      <c r="A36" s="20" t="s">
        <v>207</v>
      </c>
      <c r="B36" s="20">
        <v>1</v>
      </c>
      <c r="C36" s="20" t="s">
        <v>79</v>
      </c>
      <c r="D36" s="22">
        <v>4.6669999999999998</v>
      </c>
      <c r="E36" s="20">
        <v>29</v>
      </c>
      <c r="F36" s="112">
        <f t="shared" si="8"/>
        <v>0.16093103448275861</v>
      </c>
      <c r="G36" s="109"/>
      <c r="I36" s="110"/>
      <c r="J36" s="110"/>
      <c r="K36" s="113"/>
      <c r="L36" s="110"/>
      <c r="M36" s="113"/>
      <c r="N36" s="113"/>
      <c r="O36" s="113"/>
      <c r="P36" s="113"/>
      <c r="Q36" s="113"/>
      <c r="R36" s="110"/>
      <c r="S36" s="110"/>
      <c r="T36" s="110"/>
      <c r="U36" s="110"/>
      <c r="V36" s="110"/>
      <c r="W36" s="110"/>
      <c r="X36" s="110"/>
      <c r="Y36" s="110"/>
      <c r="Z36" s="110"/>
      <c r="AA36" s="110"/>
    </row>
    <row r="37" spans="1:44" s="56" customFormat="1" ht="15.75" customHeight="1" x14ac:dyDescent="0.2">
      <c r="A37" s="20" t="s">
        <v>119</v>
      </c>
      <c r="B37" s="22">
        <v>2</v>
      </c>
      <c r="C37" s="20" t="s">
        <v>55</v>
      </c>
      <c r="D37" s="22">
        <v>4.6669999999999998</v>
      </c>
      <c r="E37" s="20">
        <f>AVERAGE(L16:L17)</f>
        <v>15.5</v>
      </c>
      <c r="F37" s="112">
        <f>SQRT(AVERAGE(((AE18/L18)^2),((AE19/L19)^2)))</f>
        <v>0.85914499778688236</v>
      </c>
      <c r="G37" s="109"/>
      <c r="I37" s="110"/>
      <c r="J37" s="110"/>
      <c r="K37" s="113"/>
      <c r="L37" s="110"/>
      <c r="M37" s="113"/>
      <c r="N37" s="113"/>
      <c r="O37" s="113"/>
      <c r="P37" s="113"/>
      <c r="Q37" s="113"/>
      <c r="R37" s="110"/>
      <c r="S37" s="110"/>
      <c r="T37" s="110"/>
      <c r="U37" s="110"/>
      <c r="V37" s="110"/>
      <c r="W37" s="110"/>
      <c r="X37" s="110"/>
      <c r="Y37" s="110"/>
      <c r="Z37" s="110"/>
      <c r="AA37" s="110"/>
    </row>
    <row r="38" spans="1:44" x14ac:dyDescent="0.2">
      <c r="A38" s="76"/>
      <c r="B38" s="76"/>
      <c r="C38" s="76"/>
      <c r="D38" s="76"/>
      <c r="E38" s="76"/>
      <c r="F38" s="117"/>
      <c r="G38" s="76"/>
      <c r="H38" s="76"/>
      <c r="I38" s="93"/>
      <c r="J38" s="56"/>
      <c r="K38" s="56"/>
      <c r="L38" s="56"/>
      <c r="M38" s="91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58"/>
      <c r="AP38" s="58"/>
      <c r="AQ38" s="58"/>
      <c r="AR38" s="58"/>
    </row>
    <row r="39" spans="1:44" x14ac:dyDescent="0.2">
      <c r="A39" s="56"/>
      <c r="B39" s="56"/>
      <c r="C39" s="56"/>
      <c r="D39" s="56"/>
      <c r="E39" s="56"/>
      <c r="F39" s="91"/>
      <c r="G39" s="93"/>
      <c r="H39" s="93"/>
      <c r="I39" s="93"/>
      <c r="J39" s="56"/>
      <c r="K39" s="56"/>
      <c r="L39" s="56"/>
      <c r="M39" s="91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58"/>
      <c r="AP39" s="58"/>
      <c r="AQ39" s="58"/>
      <c r="AR39" s="58"/>
    </row>
    <row r="40" spans="1:44" ht="22" x14ac:dyDescent="0.3">
      <c r="A40" s="118" t="s">
        <v>138</v>
      </c>
      <c r="B40" s="56"/>
      <c r="C40" s="56"/>
      <c r="D40" s="56"/>
      <c r="E40" s="91"/>
      <c r="F40" s="91"/>
      <c r="G40" s="92"/>
      <c r="H40" s="56"/>
      <c r="I40" s="56"/>
      <c r="J40" s="56"/>
      <c r="K40" s="91"/>
      <c r="L40" s="93"/>
      <c r="M40" s="93"/>
      <c r="N40" s="93"/>
      <c r="O40" s="56"/>
      <c r="P40" s="56"/>
      <c r="Q40" s="56"/>
      <c r="R40" s="91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58"/>
      <c r="AP40" s="58"/>
      <c r="AQ40" s="58"/>
      <c r="AR40" s="58"/>
    </row>
    <row r="41" spans="1:44" ht="34" x14ac:dyDescent="0.2">
      <c r="A41" s="74" t="s">
        <v>139</v>
      </c>
      <c r="B41" s="56"/>
      <c r="C41" s="56"/>
      <c r="D41" s="91"/>
      <c r="E41" s="91"/>
      <c r="F41" s="92"/>
      <c r="G41" s="56"/>
      <c r="H41" s="56"/>
      <c r="I41" s="56"/>
      <c r="J41" s="91"/>
      <c r="K41" s="93"/>
      <c r="L41" s="93"/>
      <c r="M41" s="93"/>
      <c r="N41" s="56"/>
      <c r="O41" s="56"/>
      <c r="P41" s="56"/>
      <c r="Q41" s="91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58"/>
      <c r="AO41" s="58"/>
      <c r="AP41" s="58"/>
      <c r="AQ41" s="58"/>
    </row>
    <row r="42" spans="1:44" x14ac:dyDescent="0.2">
      <c r="A42" s="65" cm="1">
        <f t="array" ref="A42">SQRT(SUM((F23:F37)^2 *( B23:B37 -1)) / (SUM(B23:B37 -1)))</f>
        <v>1.9688045973146768</v>
      </c>
      <c r="B42" s="56"/>
      <c r="C42" s="56"/>
      <c r="D42" s="91"/>
      <c r="E42" s="91"/>
      <c r="F42" s="92"/>
      <c r="G42" s="56"/>
      <c r="H42" s="56"/>
      <c r="I42" s="56"/>
      <c r="J42" s="91"/>
      <c r="K42" s="93"/>
      <c r="L42" s="93"/>
      <c r="M42" s="93"/>
      <c r="N42" s="56"/>
      <c r="O42" s="56"/>
      <c r="P42" s="56"/>
      <c r="Q42" s="91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58"/>
      <c r="AO42" s="58"/>
      <c r="AP42" s="58"/>
      <c r="AQ42" s="58"/>
    </row>
    <row r="43" spans="1:44" ht="15.75" customHeight="1" x14ac:dyDescent="0.2">
      <c r="B43" s="8"/>
      <c r="AO43" s="58"/>
      <c r="AP43" s="58"/>
      <c r="AQ43" s="58"/>
      <c r="AR43" s="58"/>
    </row>
    <row r="44" spans="1:44" ht="22" x14ac:dyDescent="0.3">
      <c r="A44" s="9" t="s">
        <v>140</v>
      </c>
      <c r="I44"/>
      <c r="J44"/>
      <c r="K44"/>
      <c r="O44"/>
      <c r="P44"/>
      <c r="Q44"/>
      <c r="R44"/>
    </row>
    <row r="45" spans="1:44" ht="46" customHeight="1" x14ac:dyDescent="0.2">
      <c r="A45" s="119" t="s">
        <v>11</v>
      </c>
      <c r="B45" s="79" t="s">
        <v>141</v>
      </c>
      <c r="C45" s="79" t="s">
        <v>142</v>
      </c>
      <c r="I45"/>
      <c r="J45"/>
      <c r="K45"/>
      <c r="O45"/>
      <c r="P45"/>
      <c r="Q45"/>
      <c r="R45"/>
    </row>
    <row r="46" spans="1:44" x14ac:dyDescent="0.2">
      <c r="A46" s="38" t="s">
        <v>157</v>
      </c>
      <c r="B46" s="120">
        <f t="shared" ref="B46:B59" si="9">AVERAGE(AM4)</f>
        <v>3.2085445411667024E-14</v>
      </c>
      <c r="C46" t="str">
        <f xml:space="preserve"> IF(ABS(B46)&lt;$A$42, "PASS", "FAIL")</f>
        <v>PASS</v>
      </c>
      <c r="I46"/>
      <c r="J46"/>
      <c r="K46"/>
      <c r="O46"/>
      <c r="P46"/>
      <c r="Q46"/>
      <c r="R46"/>
    </row>
    <row r="47" spans="1:44" x14ac:dyDescent="0.2">
      <c r="A47" s="38" t="s">
        <v>164</v>
      </c>
      <c r="B47" s="120">
        <f t="shared" si="9"/>
        <v>0</v>
      </c>
      <c r="C47" t="str">
        <f t="shared" ref="C47:C59" si="10" xml:space="preserve"> IF(ABS(B47)&lt;$A$42, "PASS", "FAIL")</f>
        <v>PASS</v>
      </c>
      <c r="I47"/>
      <c r="J47"/>
      <c r="K47"/>
      <c r="O47"/>
      <c r="P47"/>
      <c r="Q47"/>
      <c r="R47"/>
    </row>
    <row r="48" spans="1:44" x14ac:dyDescent="0.2">
      <c r="A48" s="38" t="s">
        <v>169</v>
      </c>
      <c r="B48" s="120">
        <f t="shared" si="9"/>
        <v>0</v>
      </c>
      <c r="C48" t="str">
        <f t="shared" si="10"/>
        <v>PASS</v>
      </c>
      <c r="I48"/>
      <c r="J48"/>
      <c r="K48"/>
      <c r="O48"/>
      <c r="P48"/>
      <c r="Q48"/>
      <c r="R48"/>
    </row>
    <row r="49" spans="1:44" x14ac:dyDescent="0.2">
      <c r="A49" s="38" t="s">
        <v>173</v>
      </c>
      <c r="B49" s="120">
        <f t="shared" si="9"/>
        <v>-5.6843418860808015E-14</v>
      </c>
      <c r="C49" t="str">
        <f t="shared" si="10"/>
        <v>PASS</v>
      </c>
      <c r="I49"/>
      <c r="J49"/>
      <c r="K49"/>
      <c r="O49"/>
      <c r="P49"/>
      <c r="Q49"/>
      <c r="R49"/>
    </row>
    <row r="50" spans="1:44" x14ac:dyDescent="0.2">
      <c r="A50" s="38" t="s">
        <v>51</v>
      </c>
      <c r="B50" s="120">
        <f t="shared" si="9"/>
        <v>-2.3092638912203256E-14</v>
      </c>
      <c r="C50" t="str">
        <f t="shared" si="10"/>
        <v>PASS</v>
      </c>
      <c r="I50"/>
      <c r="J50"/>
      <c r="K50"/>
      <c r="O50"/>
      <c r="P50"/>
      <c r="Q50"/>
      <c r="R50"/>
    </row>
    <row r="51" spans="1:44" x14ac:dyDescent="0.2">
      <c r="A51" s="38" t="s">
        <v>76</v>
      </c>
      <c r="B51" s="120">
        <f t="shared" si="9"/>
        <v>-4.9737991503207013E-14</v>
      </c>
      <c r="C51" t="str">
        <f t="shared" si="10"/>
        <v>PASS</v>
      </c>
      <c r="I51"/>
      <c r="J51"/>
      <c r="K51"/>
      <c r="O51"/>
      <c r="P51"/>
      <c r="Q51"/>
      <c r="R51"/>
    </row>
    <row r="52" spans="1:44" x14ac:dyDescent="0.2">
      <c r="A52" s="38" t="s">
        <v>182</v>
      </c>
      <c r="B52" s="120">
        <f t="shared" si="9"/>
        <v>-5.6843418860808015E-14</v>
      </c>
      <c r="C52" t="str">
        <f t="shared" si="10"/>
        <v>PASS</v>
      </c>
      <c r="I52"/>
      <c r="J52"/>
      <c r="K52"/>
      <c r="O52"/>
      <c r="P52"/>
      <c r="Q52"/>
      <c r="R52"/>
    </row>
    <row r="53" spans="1:44" x14ac:dyDescent="0.2">
      <c r="A53" s="38" t="s">
        <v>90</v>
      </c>
      <c r="B53" s="120">
        <f t="shared" si="9"/>
        <v>0</v>
      </c>
      <c r="C53" t="str">
        <f t="shared" si="10"/>
        <v>PASS</v>
      </c>
      <c r="I53"/>
      <c r="J53"/>
      <c r="K53"/>
      <c r="O53"/>
      <c r="P53"/>
      <c r="Q53"/>
      <c r="R53"/>
    </row>
    <row r="54" spans="1:44" x14ac:dyDescent="0.2">
      <c r="A54" s="38" t="s">
        <v>187</v>
      </c>
      <c r="B54" s="120">
        <f t="shared" si="9"/>
        <v>-2.4868995751603507E-14</v>
      </c>
      <c r="C54" t="str">
        <f t="shared" si="10"/>
        <v>PASS</v>
      </c>
      <c r="I54"/>
      <c r="J54"/>
      <c r="K54"/>
      <c r="O54"/>
      <c r="P54"/>
      <c r="Q54"/>
      <c r="R54"/>
    </row>
    <row r="55" spans="1:44" x14ac:dyDescent="0.2">
      <c r="A55" s="38" t="s">
        <v>188</v>
      </c>
      <c r="B55" s="120">
        <f t="shared" si="9"/>
        <v>0</v>
      </c>
      <c r="C55" t="str">
        <f t="shared" si="10"/>
        <v>PASS</v>
      </c>
      <c r="I55"/>
      <c r="J55"/>
      <c r="K55"/>
      <c r="O55"/>
      <c r="P55"/>
      <c r="Q55"/>
      <c r="R55"/>
    </row>
    <row r="56" spans="1:44" x14ac:dyDescent="0.2">
      <c r="A56" s="38" t="s">
        <v>192</v>
      </c>
      <c r="B56" s="120">
        <f t="shared" si="9"/>
        <v>-4.9737991503207013E-14</v>
      </c>
      <c r="C56" t="str">
        <f t="shared" si="10"/>
        <v>PASS</v>
      </c>
      <c r="I56"/>
      <c r="J56"/>
      <c r="K56"/>
      <c r="O56"/>
      <c r="P56"/>
      <c r="Q56"/>
      <c r="R56"/>
    </row>
    <row r="57" spans="1:44" x14ac:dyDescent="0.2">
      <c r="A57" s="38" t="s">
        <v>198</v>
      </c>
      <c r="B57" s="120">
        <f t="shared" si="9"/>
        <v>-9.9475983006414026E-14</v>
      </c>
      <c r="C57" t="str">
        <f t="shared" si="10"/>
        <v>PASS</v>
      </c>
      <c r="I57"/>
      <c r="J57"/>
      <c r="K57"/>
      <c r="O57"/>
      <c r="P57"/>
      <c r="Q57"/>
      <c r="R57"/>
    </row>
    <row r="58" spans="1:44" x14ac:dyDescent="0.2">
      <c r="A58" s="38" t="s">
        <v>203</v>
      </c>
      <c r="B58" s="120">
        <f t="shared" si="9"/>
        <v>-4.9737991503207013E-14</v>
      </c>
      <c r="C58" t="str">
        <f t="shared" si="10"/>
        <v>PASS</v>
      </c>
      <c r="I58"/>
      <c r="J58"/>
      <c r="K58"/>
      <c r="O58"/>
      <c r="P58"/>
      <c r="Q58"/>
      <c r="R58"/>
    </row>
    <row r="59" spans="1:44" x14ac:dyDescent="0.2">
      <c r="A59" s="38" t="s">
        <v>207</v>
      </c>
      <c r="B59" s="120">
        <f t="shared" si="9"/>
        <v>-2.4119595209981526E-14</v>
      </c>
      <c r="C59" t="str">
        <f t="shared" si="10"/>
        <v>PASS</v>
      </c>
      <c r="I59"/>
      <c r="J59"/>
      <c r="K59"/>
      <c r="O59"/>
      <c r="P59"/>
      <c r="Q59"/>
      <c r="R59"/>
    </row>
    <row r="60" spans="1:44" x14ac:dyDescent="0.2">
      <c r="A60" s="38" t="s">
        <v>119</v>
      </c>
      <c r="B60" s="120">
        <f>AVERAGE(AM18:AM19)</f>
        <v>1.1879386363489175E-14</v>
      </c>
      <c r="C60" t="str">
        <f xml:space="preserve"> IF(ABS(B60)&lt;$A$42, "PASS", "FAIL")</f>
        <v>PASS</v>
      </c>
      <c r="I60"/>
      <c r="J60"/>
      <c r="K60"/>
      <c r="O60"/>
      <c r="P60"/>
      <c r="Q60"/>
      <c r="R60"/>
    </row>
    <row r="61" spans="1:44" ht="15.75" customHeight="1" x14ac:dyDescent="0.2">
      <c r="B61" s="8"/>
      <c r="AO61" s="58"/>
      <c r="AP61" s="58"/>
      <c r="AQ61" s="58"/>
      <c r="AR61" s="58"/>
    </row>
    <row r="62" spans="1:44" x14ac:dyDescent="0.2">
      <c r="A62" s="58"/>
      <c r="B62" s="58"/>
      <c r="C62" s="58"/>
      <c r="D62" s="58"/>
      <c r="E62" s="58"/>
      <c r="F62" s="58"/>
      <c r="G62" s="58"/>
      <c r="H62" s="58"/>
      <c r="I62" s="58"/>
      <c r="J62" s="58"/>
      <c r="K62" s="58"/>
      <c r="AO62" s="58"/>
      <c r="AP62" s="58"/>
      <c r="AQ62" s="58"/>
      <c r="AR62" s="58"/>
    </row>
    <row r="63" spans="1:44" ht="22" x14ac:dyDescent="0.3">
      <c r="A63" s="9" t="s">
        <v>144</v>
      </c>
      <c r="I63"/>
      <c r="J63"/>
      <c r="K63"/>
      <c r="O63"/>
      <c r="P63"/>
      <c r="Q63"/>
      <c r="R63"/>
    </row>
    <row r="64" spans="1:44" ht="34" x14ac:dyDescent="0.2">
      <c r="A64" s="80" t="s">
        <v>145</v>
      </c>
      <c r="I64"/>
      <c r="J64"/>
      <c r="K64"/>
      <c r="O64"/>
      <c r="P64"/>
      <c r="Q64"/>
      <c r="R64"/>
    </row>
    <row r="65" spans="1:18" x14ac:dyDescent="0.2">
      <c r="A65" s="19">
        <f>STDEVP(AM4:AM19)</f>
        <v>3.4837523772744437E-14</v>
      </c>
      <c r="I65"/>
      <c r="J65"/>
      <c r="K65"/>
      <c r="O65"/>
      <c r="P65"/>
      <c r="Q65"/>
      <c r="R65"/>
    </row>
    <row r="66" spans="1:18" x14ac:dyDescent="0.2">
      <c r="I66"/>
      <c r="J66"/>
      <c r="K66"/>
      <c r="O66"/>
      <c r="P66"/>
      <c r="Q66"/>
      <c r="R66"/>
    </row>
    <row r="67" spans="1:18" ht="85" x14ac:dyDescent="0.2">
      <c r="A67" s="79" t="s">
        <v>215</v>
      </c>
      <c r="B67" s="79" t="s">
        <v>216</v>
      </c>
      <c r="C67" s="79" t="s">
        <v>217</v>
      </c>
      <c r="D67" s="79" t="s">
        <v>148</v>
      </c>
      <c r="E67" s="80" t="s">
        <v>149</v>
      </c>
      <c r="I67"/>
      <c r="J67"/>
      <c r="K67"/>
      <c r="O67"/>
      <c r="P67"/>
      <c r="Q67"/>
      <c r="R67"/>
    </row>
    <row r="68" spans="1:18" x14ac:dyDescent="0.2">
      <c r="A68" s="38" t="s">
        <v>157</v>
      </c>
      <c r="B68">
        <f t="shared" ref="B68:B81" si="11">AVERAGE(AH4) - $A$65*1.64</f>
        <v>0.25357142857137149</v>
      </c>
      <c r="C68">
        <f t="shared" ref="C68:C81" si="12">AVERAGE(AH4) + $A$65*1.64</f>
        <v>0.25357142857148574</v>
      </c>
      <c r="D68">
        <f t="shared" ref="D68:D81" si="13">SUM(_xlfn.BITAND(AK4&gt;=B68, AK4&lt;=C68))</f>
        <v>1</v>
      </c>
      <c r="E68">
        <f t="shared" ref="E68:E81" si="14">SUM(_xlfn.BITOR(AK4&lt;B68, AK4&gt;C68))</f>
        <v>0</v>
      </c>
      <c r="I68"/>
      <c r="J68"/>
      <c r="K68"/>
      <c r="O68"/>
      <c r="P68"/>
      <c r="Q68"/>
      <c r="R68"/>
    </row>
    <row r="69" spans="1:18" x14ac:dyDescent="0.2">
      <c r="A69" s="38" t="s">
        <v>164</v>
      </c>
      <c r="B69">
        <f t="shared" si="11"/>
        <v>3.3305999999999418</v>
      </c>
      <c r="C69">
        <f t="shared" si="12"/>
        <v>3.3306000000000564</v>
      </c>
      <c r="D69">
        <f t="shared" si="13"/>
        <v>1</v>
      </c>
      <c r="E69">
        <f t="shared" si="14"/>
        <v>0</v>
      </c>
      <c r="I69"/>
      <c r="J69"/>
      <c r="K69"/>
      <c r="O69"/>
      <c r="P69"/>
      <c r="Q69"/>
      <c r="R69"/>
    </row>
    <row r="70" spans="1:18" x14ac:dyDescent="0.2">
      <c r="A70" s="38" t="s">
        <v>169</v>
      </c>
      <c r="B70">
        <f t="shared" si="11"/>
        <v>15.277199999999937</v>
      </c>
      <c r="C70">
        <f t="shared" si="12"/>
        <v>15.27720000000005</v>
      </c>
      <c r="D70">
        <f t="shared" si="13"/>
        <v>1</v>
      </c>
      <c r="E70">
        <f t="shared" si="14"/>
        <v>0</v>
      </c>
      <c r="I70"/>
      <c r="J70"/>
      <c r="K70"/>
      <c r="O70"/>
      <c r="P70"/>
      <c r="Q70"/>
      <c r="R70"/>
    </row>
    <row r="71" spans="1:18" x14ac:dyDescent="0.2">
      <c r="A71" s="38" t="s">
        <v>173</v>
      </c>
      <c r="B71">
        <f t="shared" si="11"/>
        <v>2.1999999999999424</v>
      </c>
      <c r="C71">
        <f t="shared" si="12"/>
        <v>2.200000000000057</v>
      </c>
      <c r="D71">
        <f t="shared" si="13"/>
        <v>1</v>
      </c>
      <c r="E71">
        <f t="shared" si="14"/>
        <v>0</v>
      </c>
      <c r="I71"/>
      <c r="J71"/>
      <c r="K71"/>
      <c r="O71"/>
      <c r="P71"/>
      <c r="Q71"/>
      <c r="R71"/>
    </row>
    <row r="72" spans="1:18" x14ac:dyDescent="0.2">
      <c r="A72" s="38" t="s">
        <v>51</v>
      </c>
      <c r="B72">
        <f t="shared" si="11"/>
        <v>8.1104651162733063E-2</v>
      </c>
      <c r="C72">
        <f t="shared" si="12"/>
        <v>8.1104651162847333E-2</v>
      </c>
      <c r="D72">
        <f t="shared" si="13"/>
        <v>1</v>
      </c>
      <c r="E72">
        <f t="shared" si="14"/>
        <v>0</v>
      </c>
      <c r="I72"/>
      <c r="J72"/>
      <c r="K72"/>
      <c r="O72"/>
      <c r="P72"/>
      <c r="Q72"/>
      <c r="R72"/>
    </row>
    <row r="73" spans="1:18" x14ac:dyDescent="0.2">
      <c r="A73" s="38" t="s">
        <v>76</v>
      </c>
      <c r="B73">
        <f t="shared" si="11"/>
        <v>5.8454999999999417</v>
      </c>
      <c r="C73">
        <f t="shared" si="12"/>
        <v>5.8455000000000554</v>
      </c>
      <c r="D73">
        <f t="shared" si="13"/>
        <v>1</v>
      </c>
      <c r="E73">
        <f t="shared" si="14"/>
        <v>0</v>
      </c>
      <c r="I73"/>
      <c r="J73"/>
      <c r="K73"/>
      <c r="O73"/>
      <c r="P73"/>
      <c r="Q73"/>
      <c r="R73"/>
    </row>
    <row r="74" spans="1:18" x14ac:dyDescent="0.2">
      <c r="A74" s="38" t="s">
        <v>182</v>
      </c>
      <c r="B74">
        <f t="shared" si="11"/>
        <v>1.3312499999999543</v>
      </c>
      <c r="C74">
        <f t="shared" si="12"/>
        <v>1.3312500000000684</v>
      </c>
      <c r="D74">
        <f t="shared" si="13"/>
        <v>1</v>
      </c>
      <c r="E74">
        <f t="shared" si="14"/>
        <v>0</v>
      </c>
      <c r="I74"/>
      <c r="J74"/>
      <c r="K74"/>
      <c r="O74"/>
      <c r="P74"/>
      <c r="Q74"/>
      <c r="R74"/>
    </row>
    <row r="75" spans="1:18" x14ac:dyDescent="0.2">
      <c r="A75" s="38" t="s">
        <v>90</v>
      </c>
      <c r="B75">
        <f t="shared" si="11"/>
        <v>0.43124999999994235</v>
      </c>
      <c r="C75">
        <f t="shared" si="12"/>
        <v>0.43125000000005659</v>
      </c>
      <c r="D75">
        <f t="shared" si="13"/>
        <v>1</v>
      </c>
      <c r="E75">
        <f t="shared" si="14"/>
        <v>0</v>
      </c>
      <c r="I75"/>
      <c r="J75"/>
      <c r="K75"/>
      <c r="O75"/>
      <c r="P75"/>
      <c r="Q75"/>
      <c r="R75"/>
    </row>
    <row r="76" spans="1:18" x14ac:dyDescent="0.2">
      <c r="A76" s="38" t="s">
        <v>187</v>
      </c>
      <c r="B76">
        <f t="shared" si="11"/>
        <v>1.4999999999942547E-2</v>
      </c>
      <c r="C76">
        <f t="shared" si="12"/>
        <v>1.5000000000056813E-2</v>
      </c>
      <c r="D76">
        <f t="shared" si="13"/>
        <v>1</v>
      </c>
      <c r="E76">
        <f t="shared" si="14"/>
        <v>0</v>
      </c>
      <c r="I76"/>
      <c r="J76"/>
      <c r="K76"/>
      <c r="O76"/>
      <c r="P76"/>
      <c r="Q76"/>
      <c r="R76"/>
    </row>
    <row r="77" spans="1:18" x14ac:dyDescent="0.2">
      <c r="A77" s="38" t="s">
        <v>188</v>
      </c>
      <c r="B77">
        <f t="shared" si="11"/>
        <v>2.2571999999999419</v>
      </c>
      <c r="C77">
        <f t="shared" si="12"/>
        <v>2.2572000000000565</v>
      </c>
      <c r="D77">
        <f t="shared" si="13"/>
        <v>1</v>
      </c>
      <c r="E77">
        <f t="shared" si="14"/>
        <v>0</v>
      </c>
      <c r="I77"/>
      <c r="J77"/>
      <c r="K77"/>
      <c r="O77"/>
      <c r="P77"/>
      <c r="Q77"/>
      <c r="R77"/>
    </row>
    <row r="78" spans="1:18" x14ac:dyDescent="0.2">
      <c r="A78" s="38" t="s">
        <v>192</v>
      </c>
      <c r="B78">
        <f t="shared" si="11"/>
        <v>5.217399999999941</v>
      </c>
      <c r="C78">
        <f t="shared" si="12"/>
        <v>5.2174000000000547</v>
      </c>
      <c r="D78">
        <f t="shared" si="13"/>
        <v>1</v>
      </c>
      <c r="E78">
        <f t="shared" si="14"/>
        <v>0</v>
      </c>
      <c r="I78"/>
      <c r="J78"/>
      <c r="K78"/>
      <c r="O78"/>
      <c r="P78"/>
      <c r="Q78"/>
      <c r="R78"/>
    </row>
    <row r="79" spans="1:18" x14ac:dyDescent="0.2">
      <c r="A79" s="38" t="s">
        <v>198</v>
      </c>
      <c r="B79">
        <f t="shared" si="11"/>
        <v>6.0783069767441305</v>
      </c>
      <c r="C79">
        <f t="shared" si="12"/>
        <v>6.0783069767442441</v>
      </c>
      <c r="D79">
        <f t="shared" si="13"/>
        <v>0</v>
      </c>
      <c r="E79">
        <f t="shared" si="14"/>
        <v>1</v>
      </c>
      <c r="I79"/>
      <c r="J79"/>
      <c r="K79"/>
      <c r="O79"/>
      <c r="P79"/>
      <c r="Q79"/>
      <c r="R79"/>
    </row>
    <row r="80" spans="1:18" x14ac:dyDescent="0.2">
      <c r="A80" s="38" t="s">
        <v>203</v>
      </c>
      <c r="B80">
        <f t="shared" si="11"/>
        <v>7.5419999999999447</v>
      </c>
      <c r="C80">
        <f t="shared" si="12"/>
        <v>7.5420000000000584</v>
      </c>
      <c r="D80">
        <f t="shared" si="13"/>
        <v>1</v>
      </c>
      <c r="E80">
        <f t="shared" si="14"/>
        <v>0</v>
      </c>
      <c r="I80"/>
      <c r="J80"/>
      <c r="K80"/>
      <c r="O80"/>
      <c r="P80"/>
      <c r="Q80"/>
      <c r="R80"/>
    </row>
    <row r="81" spans="1:44" x14ac:dyDescent="0.2">
      <c r="A81" s="38" t="s">
        <v>207</v>
      </c>
      <c r="B81">
        <f t="shared" si="11"/>
        <v>0.17949655172408077</v>
      </c>
      <c r="C81">
        <f t="shared" si="12"/>
        <v>0.17949655172419501</v>
      </c>
      <c r="D81">
        <f t="shared" si="13"/>
        <v>1</v>
      </c>
      <c r="E81">
        <f t="shared" si="14"/>
        <v>0</v>
      </c>
      <c r="I81"/>
      <c r="J81"/>
      <c r="K81"/>
      <c r="O81"/>
      <c r="P81"/>
      <c r="Q81"/>
      <c r="R81"/>
    </row>
    <row r="82" spans="1:44" ht="17" thickBot="1" x14ac:dyDescent="0.25">
      <c r="A82" s="38" t="s">
        <v>119</v>
      </c>
      <c r="B82">
        <f>AVERAGE(AH18:AH19) - $A$65*1.64</f>
        <v>9.3999999999942713E-2</v>
      </c>
      <c r="C82">
        <f>AVERAGE(AH18:AH19) + $A$65*1.64</f>
        <v>9.4000000000056982E-2</v>
      </c>
      <c r="D82" cm="1">
        <f t="array" ref="D82">SUM(_xlfn.BITAND(AK18:AK19&gt;=B82, AK18:AK19&lt;=C82))</f>
        <v>0</v>
      </c>
      <c r="E82" cm="1">
        <f t="array" ref="E82">SUM(_xlfn.BITOR(AK18:AK19&lt;B82, AK18:AK19&gt;C82))</f>
        <v>2</v>
      </c>
      <c r="I82"/>
      <c r="J82"/>
      <c r="K82"/>
      <c r="O82"/>
      <c r="P82"/>
      <c r="Q82"/>
      <c r="R82"/>
    </row>
    <row r="83" spans="1:44" ht="17" thickBot="1" x14ac:dyDescent="0.25">
      <c r="C83" s="86" t="s">
        <v>143</v>
      </c>
      <c r="D83" s="87">
        <f>SUM(D68:D82)</f>
        <v>13</v>
      </c>
      <c r="E83" s="87">
        <f>SUM(E68:E82)</f>
        <v>3</v>
      </c>
      <c r="I83"/>
      <c r="J83"/>
      <c r="K83"/>
      <c r="O83"/>
      <c r="P83"/>
      <c r="Q83"/>
      <c r="R83"/>
    </row>
    <row r="84" spans="1:44" ht="17" thickBot="1" x14ac:dyDescent="0.25">
      <c r="C84" s="86" t="s">
        <v>150</v>
      </c>
      <c r="D84" s="88">
        <f>SUM(D68:D82)/SUM(D68:E82)</f>
        <v>0.8125</v>
      </c>
      <c r="E84" s="89">
        <f>SUM(E68:E82)/SUM(D68:E82)</f>
        <v>0.1875</v>
      </c>
      <c r="I84"/>
      <c r="J84"/>
      <c r="K84"/>
      <c r="O84"/>
      <c r="P84"/>
      <c r="Q84"/>
      <c r="R84"/>
    </row>
    <row r="85" spans="1:44" x14ac:dyDescent="0.2">
      <c r="I85"/>
      <c r="J85"/>
      <c r="K85"/>
      <c r="O85"/>
      <c r="P85"/>
      <c r="Q85"/>
      <c r="R85"/>
    </row>
    <row r="86" spans="1:44" ht="97" customHeight="1" x14ac:dyDescent="0.2">
      <c r="B86" s="125" t="s">
        <v>218</v>
      </c>
      <c r="C86" s="125"/>
      <c r="D86" s="125"/>
      <c r="E86" s="125"/>
      <c r="F86" s="121"/>
      <c r="G86" s="121"/>
      <c r="H86" s="121"/>
      <c r="I86" s="121"/>
      <c r="J86"/>
      <c r="K86"/>
      <c r="O86"/>
      <c r="P86"/>
      <c r="Q86"/>
      <c r="R86"/>
    </row>
    <row r="87" spans="1:44" x14ac:dyDescent="0.2">
      <c r="A87" s="58"/>
      <c r="B87" s="58"/>
      <c r="C87" s="58"/>
      <c r="D87" s="58"/>
      <c r="I87" s="58"/>
      <c r="J87" s="58"/>
      <c r="K87" s="58"/>
      <c r="AC87" s="58"/>
      <c r="AD87" s="58"/>
      <c r="AE87" s="58"/>
      <c r="AF87" s="58"/>
      <c r="AG87" s="58"/>
      <c r="AH87" s="58"/>
      <c r="AI87" s="58"/>
      <c r="AJ87" s="58"/>
      <c r="AK87" s="58"/>
      <c r="AL87" s="58"/>
      <c r="AM87" s="58"/>
      <c r="AN87" s="58"/>
      <c r="AO87" s="58"/>
      <c r="AP87" s="58"/>
      <c r="AQ87" s="58"/>
      <c r="AR87" s="58"/>
    </row>
    <row r="88" spans="1:44" ht="21" customHeight="1" x14ac:dyDescent="0.25">
      <c r="A88" s="84" t="s">
        <v>151</v>
      </c>
      <c r="B88" s="84"/>
      <c r="C88" s="58"/>
      <c r="D88" s="58"/>
      <c r="E88" s="58"/>
      <c r="F88" s="58"/>
      <c r="G88" s="58"/>
      <c r="H88" s="58"/>
      <c r="I88" s="58"/>
      <c r="J88" s="58"/>
      <c r="K88" s="58"/>
      <c r="AC88" s="58"/>
      <c r="AD88" s="58"/>
      <c r="AE88" s="58"/>
      <c r="AF88" s="58"/>
      <c r="AG88" s="58"/>
      <c r="AH88" s="58"/>
      <c r="AI88" s="58"/>
      <c r="AJ88" s="58"/>
      <c r="AK88" s="58"/>
      <c r="AL88" s="58"/>
      <c r="AM88" s="58"/>
      <c r="AN88" s="58"/>
      <c r="AO88" s="58"/>
      <c r="AP88" s="58"/>
      <c r="AQ88" s="58"/>
      <c r="AR88" s="58"/>
    </row>
    <row r="89" spans="1:44" ht="16" customHeight="1" x14ac:dyDescent="0.2">
      <c r="A89" s="58" t="s">
        <v>219</v>
      </c>
      <c r="B89" s="90" cm="1">
        <f t="array" ref="B89">SQRT(AVERAGE((AN4:AN19)^2))</f>
        <v>3.4837523772744437E-14</v>
      </c>
      <c r="C89" s="58"/>
      <c r="D89" s="58"/>
      <c r="E89" s="58"/>
      <c r="F89" s="58"/>
      <c r="G89" s="58"/>
      <c r="H89" s="58"/>
      <c r="I89" s="58"/>
      <c r="J89" s="58"/>
      <c r="K89" s="58"/>
      <c r="AC89" s="58"/>
      <c r="AD89" s="58"/>
      <c r="AE89" s="58"/>
      <c r="AF89" s="58"/>
      <c r="AG89" s="58"/>
      <c r="AH89" s="58"/>
      <c r="AI89" s="58"/>
      <c r="AJ89" s="58"/>
      <c r="AK89" s="58"/>
      <c r="AL89" s="58"/>
      <c r="AM89" s="58"/>
      <c r="AN89" s="58"/>
      <c r="AO89" s="58"/>
      <c r="AP89" s="58"/>
      <c r="AQ89" s="58"/>
      <c r="AR89" s="58"/>
    </row>
    <row r="90" spans="1:44" x14ac:dyDescent="0.2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AC90" s="58"/>
      <c r="AD90" s="58"/>
      <c r="AE90" s="58"/>
      <c r="AF90" s="58"/>
      <c r="AG90" s="58"/>
      <c r="AH90" s="58"/>
      <c r="AI90" s="58"/>
      <c r="AJ90" s="58"/>
      <c r="AK90" s="58"/>
      <c r="AL90" s="58"/>
      <c r="AM90" s="58"/>
      <c r="AN90" s="58"/>
      <c r="AO90" s="58"/>
      <c r="AP90" s="58"/>
      <c r="AQ90" s="58"/>
      <c r="AR90" s="58"/>
    </row>
    <row r="91" spans="1:44" x14ac:dyDescent="0.2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AC91" s="58"/>
      <c r="AD91" s="58"/>
      <c r="AE91" s="58"/>
      <c r="AF91" s="58"/>
      <c r="AG91" s="58"/>
      <c r="AH91" s="58"/>
      <c r="AI91" s="58"/>
      <c r="AJ91" s="58"/>
      <c r="AK91" s="58"/>
      <c r="AL91" s="58"/>
      <c r="AM91" s="58"/>
      <c r="AN91" s="58"/>
      <c r="AO91" s="58"/>
      <c r="AP91" s="58"/>
      <c r="AQ91" s="58"/>
      <c r="AR91" s="58"/>
    </row>
    <row r="92" spans="1:44" x14ac:dyDescent="0.2">
      <c r="C92" s="58"/>
      <c r="D92" s="58"/>
      <c r="E92" s="58"/>
      <c r="F92" s="58"/>
      <c r="G92" s="58"/>
      <c r="H92" s="58"/>
      <c r="I92" s="58"/>
      <c r="J92" s="58"/>
      <c r="K92" s="58"/>
      <c r="AC92" s="58"/>
      <c r="AD92" s="58"/>
      <c r="AE92" s="58"/>
      <c r="AF92" s="58"/>
      <c r="AG92" s="58"/>
      <c r="AH92" s="58"/>
      <c r="AI92" s="58"/>
      <c r="AJ92" s="58"/>
      <c r="AK92" s="58"/>
      <c r="AL92" s="58"/>
      <c r="AM92" s="58"/>
      <c r="AN92" s="58"/>
      <c r="AO92" s="58"/>
      <c r="AP92" s="58"/>
      <c r="AQ92" s="58"/>
      <c r="AR92" s="58"/>
    </row>
    <row r="93" spans="1:44" x14ac:dyDescent="0.2">
      <c r="A93" s="58"/>
      <c r="B93" s="58"/>
      <c r="C93" s="58"/>
      <c r="D93" s="58"/>
      <c r="E93" s="58"/>
      <c r="F93" s="58"/>
      <c r="G93" s="58"/>
      <c r="H93" s="58"/>
      <c r="I93" s="58"/>
      <c r="J93" s="58"/>
      <c r="K93" s="58"/>
      <c r="AC93" s="58"/>
      <c r="AD93" s="58"/>
      <c r="AE93" s="58"/>
      <c r="AF93" s="58"/>
      <c r="AG93" s="58"/>
      <c r="AH93" s="58"/>
      <c r="AI93" s="58"/>
      <c r="AJ93" s="58"/>
      <c r="AK93" s="58"/>
      <c r="AL93" s="58"/>
      <c r="AM93" s="58"/>
      <c r="AN93" s="58"/>
      <c r="AO93" s="58"/>
      <c r="AP93" s="58"/>
      <c r="AQ93" s="58"/>
      <c r="AR93" s="58"/>
    </row>
    <row r="94" spans="1:44" x14ac:dyDescent="0.2">
      <c r="A94" s="58"/>
      <c r="B94" s="58"/>
      <c r="C94" s="58"/>
      <c r="D94" s="58"/>
      <c r="E94" s="58"/>
      <c r="F94" s="58"/>
      <c r="G94" s="58"/>
      <c r="H94" s="58"/>
      <c r="I94" s="58"/>
      <c r="J94" s="58"/>
      <c r="K94" s="58"/>
      <c r="AC94" s="58"/>
      <c r="AD94" s="58"/>
      <c r="AE94" s="58"/>
      <c r="AF94" s="58"/>
      <c r="AG94" s="58"/>
      <c r="AH94" s="58"/>
      <c r="AI94" s="58"/>
      <c r="AJ94" s="58"/>
      <c r="AK94" s="58"/>
      <c r="AL94" s="58"/>
      <c r="AM94" s="58"/>
      <c r="AN94" s="58"/>
      <c r="AO94" s="58"/>
      <c r="AP94" s="58"/>
      <c r="AQ94" s="58"/>
      <c r="AR94" s="58"/>
    </row>
    <row r="95" spans="1:44" x14ac:dyDescent="0.2">
      <c r="A95" s="58"/>
      <c r="B95" s="58"/>
      <c r="C95" s="58"/>
      <c r="D95" s="58"/>
      <c r="E95" s="58"/>
      <c r="F95" s="58"/>
      <c r="G95" s="58"/>
      <c r="H95" s="58"/>
      <c r="I95" s="58"/>
      <c r="J95" s="58"/>
      <c r="K95" s="58"/>
      <c r="AC95" s="58"/>
      <c r="AD95" s="58"/>
      <c r="AE95" s="58"/>
      <c r="AF95" s="58"/>
      <c r="AG95" s="58"/>
      <c r="AH95" s="58"/>
      <c r="AI95" s="58"/>
      <c r="AJ95" s="58"/>
      <c r="AK95" s="58"/>
      <c r="AL95" s="58"/>
      <c r="AM95" s="58"/>
      <c r="AN95" s="58"/>
      <c r="AO95" s="58"/>
      <c r="AP95" s="58"/>
      <c r="AQ95" s="58"/>
      <c r="AR95" s="58"/>
    </row>
    <row r="96" spans="1:44" x14ac:dyDescent="0.2">
      <c r="AC96" s="58"/>
      <c r="AD96" s="58"/>
      <c r="AE96" s="58"/>
      <c r="AF96" s="58"/>
      <c r="AG96" s="58"/>
      <c r="AH96" s="58"/>
      <c r="AI96" s="58"/>
      <c r="AJ96" s="58"/>
      <c r="AK96" s="58"/>
      <c r="AL96" s="58"/>
      <c r="AM96" s="58"/>
      <c r="AN96" s="58"/>
      <c r="AO96" s="58"/>
      <c r="AP96" s="58"/>
      <c r="AQ96" s="58"/>
      <c r="AR96" s="58"/>
    </row>
    <row r="97" spans="29:44" x14ac:dyDescent="0.2">
      <c r="AC97" s="58"/>
      <c r="AD97" s="58"/>
      <c r="AE97" s="58"/>
      <c r="AF97" s="58"/>
      <c r="AG97" s="58"/>
      <c r="AH97" s="58"/>
      <c r="AI97" s="58"/>
      <c r="AJ97" s="58"/>
      <c r="AK97" s="58"/>
      <c r="AL97" s="58"/>
      <c r="AM97" s="58"/>
      <c r="AN97" s="58"/>
      <c r="AO97" s="58"/>
      <c r="AP97" s="58"/>
      <c r="AQ97" s="58"/>
      <c r="AR97" s="58"/>
    </row>
    <row r="98" spans="29:44" x14ac:dyDescent="0.2">
      <c r="AC98" s="58"/>
      <c r="AD98" s="58"/>
      <c r="AE98" s="58"/>
      <c r="AF98" s="58"/>
      <c r="AG98" s="58"/>
      <c r="AH98" s="58"/>
      <c r="AI98" s="58"/>
      <c r="AJ98" s="58"/>
      <c r="AK98" s="58"/>
      <c r="AL98" s="58"/>
      <c r="AM98" s="58"/>
      <c r="AN98" s="58"/>
      <c r="AO98" s="58"/>
      <c r="AP98" s="58"/>
      <c r="AQ98" s="58"/>
      <c r="AR98" s="58"/>
    </row>
    <row r="99" spans="29:44" x14ac:dyDescent="0.2">
      <c r="AC99" s="58"/>
      <c r="AD99" s="58"/>
      <c r="AE99" s="58"/>
      <c r="AF99" s="58"/>
      <c r="AG99" s="58"/>
      <c r="AH99" s="58"/>
      <c r="AI99" s="58"/>
      <c r="AJ99" s="58"/>
      <c r="AK99" s="58"/>
      <c r="AL99" s="58"/>
      <c r="AM99" s="58"/>
      <c r="AN99" s="58"/>
      <c r="AO99" s="58"/>
      <c r="AP99" s="58"/>
      <c r="AQ99" s="58"/>
      <c r="AR99" s="58"/>
    </row>
    <row r="100" spans="29:44" x14ac:dyDescent="0.2">
      <c r="AC100" s="58"/>
      <c r="AD100" s="58"/>
      <c r="AE100" s="58"/>
      <c r="AF100" s="58"/>
      <c r="AG100" s="58"/>
      <c r="AH100" s="58"/>
      <c r="AI100" s="58"/>
      <c r="AJ100" s="58"/>
      <c r="AK100" s="58"/>
      <c r="AL100" s="58"/>
      <c r="AM100" s="58"/>
      <c r="AN100" s="58"/>
      <c r="AO100" s="58"/>
      <c r="AP100" s="58"/>
      <c r="AQ100" s="58"/>
      <c r="AR100" s="58"/>
    </row>
    <row r="101" spans="29:44" x14ac:dyDescent="0.2">
      <c r="AC101" s="58"/>
      <c r="AD101" s="58"/>
      <c r="AE101" s="58"/>
      <c r="AF101" s="58"/>
      <c r="AG101" s="58"/>
      <c r="AH101" s="58"/>
      <c r="AI101" s="58"/>
      <c r="AJ101" s="58"/>
      <c r="AK101" s="58"/>
      <c r="AL101" s="58"/>
      <c r="AM101" s="58"/>
      <c r="AN101" s="58"/>
      <c r="AO101" s="58"/>
      <c r="AP101" s="58"/>
      <c r="AQ101" s="58"/>
      <c r="AR101" s="58"/>
    </row>
    <row r="102" spans="29:44" x14ac:dyDescent="0.2">
      <c r="AC102" s="58"/>
      <c r="AD102" s="58"/>
      <c r="AE102" s="58"/>
      <c r="AF102" s="58"/>
      <c r="AG102" s="58"/>
      <c r="AH102" s="58"/>
      <c r="AI102" s="58"/>
      <c r="AJ102" s="58"/>
      <c r="AK102" s="58"/>
      <c r="AL102" s="58"/>
      <c r="AM102" s="58"/>
      <c r="AN102" s="58"/>
      <c r="AO102" s="58"/>
      <c r="AP102" s="58"/>
      <c r="AQ102" s="58"/>
      <c r="AR102" s="58"/>
    </row>
    <row r="103" spans="29:44" x14ac:dyDescent="0.2">
      <c r="AC103" s="58"/>
      <c r="AD103" s="58"/>
      <c r="AE103" s="58"/>
      <c r="AF103" s="58"/>
      <c r="AG103" s="58"/>
      <c r="AH103" s="58"/>
      <c r="AI103" s="58"/>
      <c r="AJ103" s="58"/>
      <c r="AK103" s="58"/>
      <c r="AL103" s="58"/>
      <c r="AM103" s="58"/>
      <c r="AN103" s="58"/>
      <c r="AO103" s="58"/>
      <c r="AP103" s="58"/>
      <c r="AQ103" s="58"/>
      <c r="AR103" s="58"/>
    </row>
    <row r="104" spans="29:44" x14ac:dyDescent="0.2">
      <c r="AC104" s="58"/>
      <c r="AD104" s="58"/>
      <c r="AE104" s="58"/>
      <c r="AF104" s="58"/>
      <c r="AG104" s="58"/>
      <c r="AH104" s="58"/>
      <c r="AI104" s="58"/>
      <c r="AJ104" s="58"/>
      <c r="AK104" s="58"/>
      <c r="AL104" s="58"/>
      <c r="AM104" s="58"/>
      <c r="AN104" s="58"/>
      <c r="AO104" s="58"/>
      <c r="AP104" s="58"/>
      <c r="AQ104" s="58"/>
      <c r="AR104" s="58"/>
    </row>
    <row r="105" spans="29:44" x14ac:dyDescent="0.2">
      <c r="AC105" s="58"/>
      <c r="AD105" s="58"/>
      <c r="AE105" s="58"/>
      <c r="AF105" s="58"/>
      <c r="AG105" s="58"/>
      <c r="AH105" s="58"/>
      <c r="AI105" s="58"/>
      <c r="AJ105" s="58"/>
      <c r="AK105" s="58"/>
      <c r="AL105" s="58"/>
      <c r="AM105" s="58"/>
      <c r="AN105" s="58"/>
      <c r="AO105" s="58"/>
      <c r="AP105" s="58"/>
      <c r="AQ105" s="58"/>
      <c r="AR105" s="58"/>
    </row>
    <row r="106" spans="29:44" x14ac:dyDescent="0.2">
      <c r="AC106" s="58"/>
      <c r="AD106" s="58"/>
      <c r="AE106" s="58"/>
      <c r="AF106" s="58"/>
      <c r="AG106" s="58"/>
      <c r="AH106" s="58"/>
      <c r="AI106" s="58"/>
      <c r="AJ106" s="58"/>
      <c r="AK106" s="58"/>
      <c r="AL106" s="58"/>
      <c r="AM106" s="58"/>
      <c r="AN106" s="58"/>
      <c r="AO106" s="58"/>
      <c r="AP106" s="58"/>
      <c r="AQ106" s="58"/>
      <c r="AR106" s="58"/>
    </row>
    <row r="107" spans="29:44" x14ac:dyDescent="0.2">
      <c r="AC107" s="58"/>
      <c r="AD107" s="58"/>
      <c r="AE107" s="58"/>
      <c r="AF107" s="58"/>
      <c r="AG107" s="58"/>
      <c r="AH107" s="58"/>
      <c r="AI107" s="58"/>
      <c r="AJ107" s="58"/>
      <c r="AK107" s="58"/>
      <c r="AL107" s="58"/>
      <c r="AM107" s="58"/>
      <c r="AN107" s="58"/>
      <c r="AO107" s="58"/>
      <c r="AP107" s="58"/>
      <c r="AQ107" s="58"/>
      <c r="AR107" s="58"/>
    </row>
    <row r="108" spans="29:44" x14ac:dyDescent="0.2">
      <c r="AC108" s="58"/>
      <c r="AD108" s="58"/>
      <c r="AE108" s="58"/>
      <c r="AF108" s="58"/>
      <c r="AG108" s="58"/>
      <c r="AH108" s="58"/>
      <c r="AI108" s="58"/>
      <c r="AJ108" s="58"/>
      <c r="AK108" s="58"/>
      <c r="AL108" s="58"/>
      <c r="AM108" s="58"/>
      <c r="AN108" s="58"/>
      <c r="AO108" s="58"/>
      <c r="AP108" s="58"/>
      <c r="AQ108" s="58"/>
      <c r="AR108" s="58"/>
    </row>
    <row r="109" spans="29:44" x14ac:dyDescent="0.2">
      <c r="AC109" s="58"/>
      <c r="AD109" s="58"/>
      <c r="AE109" s="58"/>
      <c r="AF109" s="58"/>
      <c r="AG109" s="58"/>
      <c r="AH109" s="58"/>
      <c r="AI109" s="58"/>
      <c r="AJ109" s="58"/>
      <c r="AK109" s="58"/>
      <c r="AL109" s="58"/>
      <c r="AM109" s="58"/>
      <c r="AN109" s="58"/>
      <c r="AO109" s="58"/>
      <c r="AP109" s="58"/>
      <c r="AQ109" s="58"/>
      <c r="AR109" s="58"/>
    </row>
    <row r="110" spans="29:44" x14ac:dyDescent="0.2">
      <c r="AC110" s="58"/>
      <c r="AD110" s="58"/>
      <c r="AE110" s="58"/>
      <c r="AF110" s="58"/>
      <c r="AG110" s="58"/>
      <c r="AH110" s="58"/>
      <c r="AI110" s="58"/>
      <c r="AJ110" s="58"/>
      <c r="AK110" s="58"/>
      <c r="AL110" s="58"/>
      <c r="AM110" s="58"/>
      <c r="AN110" s="58"/>
      <c r="AO110" s="58"/>
      <c r="AP110" s="58"/>
      <c r="AQ110" s="58"/>
      <c r="AR110" s="58"/>
    </row>
    <row r="111" spans="29:44" x14ac:dyDescent="0.2">
      <c r="AC111" s="58"/>
      <c r="AD111" s="58"/>
      <c r="AE111" s="58"/>
      <c r="AF111" s="58"/>
      <c r="AG111" s="58"/>
      <c r="AH111" s="58"/>
      <c r="AI111" s="58"/>
      <c r="AJ111" s="58"/>
      <c r="AK111" s="58"/>
      <c r="AL111" s="58"/>
      <c r="AM111" s="58"/>
      <c r="AN111" s="58"/>
      <c r="AO111" s="58"/>
      <c r="AP111" s="58"/>
      <c r="AQ111" s="58"/>
      <c r="AR111" s="58"/>
    </row>
    <row r="112" spans="29:44" x14ac:dyDescent="0.2">
      <c r="AC112" s="58"/>
      <c r="AD112" s="58"/>
      <c r="AE112" s="58"/>
      <c r="AF112" s="58"/>
      <c r="AG112" s="58"/>
      <c r="AH112" s="58"/>
      <c r="AI112" s="58"/>
      <c r="AJ112" s="58"/>
      <c r="AK112" s="58"/>
      <c r="AL112" s="58"/>
      <c r="AM112" s="58"/>
      <c r="AN112" s="58"/>
      <c r="AO112" s="58"/>
      <c r="AP112" s="58"/>
      <c r="AQ112" s="58"/>
      <c r="AR112" s="58"/>
    </row>
    <row r="113" spans="29:44" x14ac:dyDescent="0.2">
      <c r="AC113" s="58"/>
      <c r="AD113" s="58"/>
      <c r="AE113" s="58"/>
      <c r="AF113" s="58"/>
      <c r="AG113" s="58"/>
      <c r="AH113" s="58"/>
      <c r="AI113" s="58"/>
      <c r="AJ113" s="58"/>
      <c r="AK113" s="58"/>
      <c r="AL113" s="58"/>
      <c r="AM113" s="58"/>
      <c r="AN113" s="58"/>
      <c r="AO113" s="58"/>
      <c r="AP113" s="58"/>
      <c r="AQ113" s="58"/>
      <c r="AR113" s="58"/>
    </row>
    <row r="114" spans="29:44" x14ac:dyDescent="0.2">
      <c r="AC114" s="58"/>
      <c r="AD114" s="58"/>
      <c r="AE114" s="58"/>
      <c r="AF114" s="58"/>
      <c r="AG114" s="58"/>
      <c r="AH114" s="58"/>
      <c r="AI114" s="58"/>
      <c r="AJ114" s="58"/>
      <c r="AK114" s="58"/>
      <c r="AL114" s="58"/>
      <c r="AM114" s="58"/>
      <c r="AN114" s="58"/>
      <c r="AO114" s="58"/>
      <c r="AP114" s="58"/>
      <c r="AQ114" s="58"/>
      <c r="AR114" s="58"/>
    </row>
    <row r="115" spans="29:44" x14ac:dyDescent="0.2">
      <c r="AC115" s="58"/>
      <c r="AD115" s="58"/>
      <c r="AE115" s="58"/>
      <c r="AF115" s="58"/>
      <c r="AG115" s="58"/>
      <c r="AH115" s="58"/>
      <c r="AI115" s="58"/>
      <c r="AJ115" s="58"/>
      <c r="AK115" s="58"/>
      <c r="AL115" s="58"/>
      <c r="AM115" s="58"/>
      <c r="AN115" s="58"/>
      <c r="AO115" s="58"/>
      <c r="AP115" s="58"/>
      <c r="AQ115" s="58"/>
      <c r="AR115" s="58"/>
    </row>
    <row r="116" spans="29:44" x14ac:dyDescent="0.2">
      <c r="AC116" s="58"/>
      <c r="AD116" s="58"/>
      <c r="AE116" s="58"/>
      <c r="AF116" s="58"/>
      <c r="AG116" s="58"/>
      <c r="AH116" s="58"/>
      <c r="AI116" s="58"/>
      <c r="AJ116" s="58"/>
      <c r="AK116" s="58"/>
      <c r="AL116" s="58"/>
      <c r="AM116" s="58"/>
      <c r="AN116" s="58"/>
      <c r="AO116" s="58"/>
      <c r="AP116" s="58"/>
      <c r="AQ116" s="58"/>
      <c r="AR116" s="58"/>
    </row>
    <row r="117" spans="29:44" x14ac:dyDescent="0.2">
      <c r="AC117" s="58"/>
      <c r="AD117" s="58"/>
      <c r="AE117" s="58"/>
      <c r="AF117" s="58"/>
      <c r="AG117" s="58"/>
      <c r="AH117" s="58"/>
      <c r="AI117" s="58"/>
      <c r="AJ117" s="58"/>
      <c r="AK117" s="58"/>
      <c r="AL117" s="58"/>
      <c r="AM117" s="58"/>
      <c r="AN117" s="58"/>
      <c r="AO117" s="58"/>
      <c r="AP117" s="58"/>
      <c r="AQ117" s="58"/>
      <c r="AR117" s="58"/>
    </row>
    <row r="118" spans="29:44" x14ac:dyDescent="0.2">
      <c r="AC118" s="58"/>
      <c r="AD118" s="58"/>
      <c r="AE118" s="58"/>
      <c r="AF118" s="58"/>
      <c r="AG118" s="58"/>
      <c r="AH118" s="58"/>
      <c r="AI118" s="58"/>
      <c r="AJ118" s="58"/>
      <c r="AK118" s="58"/>
      <c r="AL118" s="58"/>
      <c r="AM118" s="58"/>
      <c r="AN118" s="58"/>
      <c r="AO118" s="58"/>
      <c r="AP118" s="58"/>
      <c r="AQ118" s="58"/>
      <c r="AR118" s="58"/>
    </row>
    <row r="119" spans="29:44" x14ac:dyDescent="0.2">
      <c r="AC119" s="58"/>
      <c r="AD119" s="58"/>
      <c r="AE119" s="58"/>
      <c r="AF119" s="58"/>
      <c r="AG119" s="58"/>
      <c r="AH119" s="58"/>
      <c r="AI119" s="58"/>
      <c r="AJ119" s="58"/>
      <c r="AK119" s="58"/>
      <c r="AL119" s="58"/>
      <c r="AM119" s="58"/>
      <c r="AN119" s="58"/>
      <c r="AO119" s="58"/>
      <c r="AP119" s="58"/>
      <c r="AQ119" s="58"/>
      <c r="AR119" s="58"/>
    </row>
    <row r="120" spans="29:44" x14ac:dyDescent="0.2">
      <c r="AC120" s="58"/>
      <c r="AD120" s="58"/>
      <c r="AE120" s="58"/>
      <c r="AF120" s="58"/>
      <c r="AG120" s="58"/>
      <c r="AH120" s="58"/>
      <c r="AI120" s="58"/>
      <c r="AJ120" s="58"/>
      <c r="AK120" s="58"/>
      <c r="AL120" s="58"/>
      <c r="AM120" s="58"/>
      <c r="AN120" s="58"/>
      <c r="AO120" s="58"/>
      <c r="AP120" s="58"/>
      <c r="AQ120" s="58"/>
      <c r="AR120" s="58"/>
    </row>
    <row r="121" spans="29:44" x14ac:dyDescent="0.2">
      <c r="AC121" s="58"/>
      <c r="AD121" s="58"/>
      <c r="AE121" s="58"/>
      <c r="AF121" s="58"/>
      <c r="AG121" s="58"/>
      <c r="AH121" s="58"/>
      <c r="AI121" s="58"/>
      <c r="AJ121" s="58"/>
      <c r="AK121" s="58"/>
      <c r="AL121" s="58"/>
      <c r="AM121" s="58"/>
      <c r="AN121" s="58"/>
      <c r="AO121" s="58"/>
      <c r="AP121" s="58"/>
      <c r="AQ121" s="58"/>
      <c r="AR121" s="58"/>
    </row>
    <row r="122" spans="29:44" x14ac:dyDescent="0.2">
      <c r="AC122" s="58"/>
      <c r="AD122" s="58"/>
      <c r="AE122" s="58"/>
      <c r="AF122" s="58"/>
      <c r="AG122" s="58"/>
      <c r="AH122" s="58"/>
      <c r="AI122" s="58"/>
      <c r="AJ122" s="58"/>
      <c r="AK122" s="58"/>
      <c r="AL122" s="58"/>
      <c r="AM122" s="58"/>
      <c r="AN122" s="58"/>
      <c r="AO122" s="58"/>
      <c r="AP122" s="58"/>
      <c r="AQ122" s="58"/>
      <c r="AR122" s="58"/>
    </row>
    <row r="123" spans="29:44" x14ac:dyDescent="0.2">
      <c r="AC123" s="58"/>
      <c r="AD123" s="58"/>
      <c r="AE123" s="58"/>
      <c r="AF123" s="58"/>
      <c r="AG123" s="58"/>
      <c r="AH123" s="58"/>
      <c r="AI123" s="58"/>
      <c r="AJ123" s="58"/>
      <c r="AK123" s="58"/>
      <c r="AL123" s="58"/>
      <c r="AM123" s="58"/>
      <c r="AN123" s="58"/>
      <c r="AO123" s="58"/>
      <c r="AP123" s="58"/>
      <c r="AQ123" s="58"/>
      <c r="AR123" s="58"/>
    </row>
    <row r="124" spans="29:44" x14ac:dyDescent="0.2">
      <c r="AC124" s="58"/>
      <c r="AD124" s="58"/>
      <c r="AE124" s="58"/>
      <c r="AF124" s="58"/>
      <c r="AG124" s="58"/>
      <c r="AH124" s="58"/>
      <c r="AI124" s="58"/>
      <c r="AJ124" s="58"/>
      <c r="AK124" s="58"/>
      <c r="AL124" s="58"/>
      <c r="AM124" s="58"/>
      <c r="AN124" s="58"/>
      <c r="AO124" s="58"/>
      <c r="AP124" s="58"/>
      <c r="AQ124" s="58"/>
      <c r="AR124" s="58"/>
    </row>
    <row r="125" spans="29:44" x14ac:dyDescent="0.2">
      <c r="AC125" s="58"/>
      <c r="AD125" s="58"/>
      <c r="AE125" s="58"/>
      <c r="AF125" s="58"/>
      <c r="AG125" s="58"/>
      <c r="AH125" s="58"/>
      <c r="AI125" s="58"/>
      <c r="AJ125" s="58"/>
      <c r="AK125" s="58"/>
      <c r="AL125" s="58"/>
      <c r="AM125" s="58"/>
      <c r="AN125" s="58"/>
      <c r="AO125" s="58"/>
      <c r="AP125" s="58"/>
      <c r="AQ125" s="58"/>
      <c r="AR125" s="58"/>
    </row>
    <row r="126" spans="29:44" x14ac:dyDescent="0.2">
      <c r="AC126" s="58"/>
      <c r="AD126" s="58"/>
      <c r="AE126" s="58"/>
      <c r="AF126" s="58"/>
      <c r="AG126" s="58"/>
      <c r="AH126" s="58"/>
      <c r="AI126" s="58"/>
      <c r="AJ126" s="58"/>
      <c r="AK126" s="58"/>
      <c r="AL126" s="58"/>
      <c r="AM126" s="58"/>
      <c r="AN126" s="58"/>
      <c r="AO126" s="58"/>
      <c r="AP126" s="58"/>
      <c r="AQ126" s="58"/>
      <c r="AR126" s="58"/>
    </row>
    <row r="127" spans="29:44" x14ac:dyDescent="0.2">
      <c r="AC127" s="58"/>
      <c r="AD127" s="58"/>
      <c r="AE127" s="58"/>
      <c r="AF127" s="58"/>
      <c r="AG127" s="58"/>
      <c r="AH127" s="58"/>
      <c r="AI127" s="58"/>
      <c r="AJ127" s="58"/>
      <c r="AK127" s="58"/>
      <c r="AL127" s="58"/>
      <c r="AM127" s="58"/>
      <c r="AN127" s="58"/>
      <c r="AO127" s="58"/>
      <c r="AP127" s="58"/>
      <c r="AQ127" s="58"/>
      <c r="AR127" s="58"/>
    </row>
    <row r="128" spans="29:44" x14ac:dyDescent="0.2">
      <c r="AC128" s="58"/>
      <c r="AD128" s="58"/>
      <c r="AE128" s="58"/>
      <c r="AF128" s="58"/>
      <c r="AG128" s="58"/>
      <c r="AH128" s="58"/>
      <c r="AI128" s="58"/>
      <c r="AJ128" s="58"/>
      <c r="AK128" s="58"/>
      <c r="AL128" s="58"/>
      <c r="AM128" s="58"/>
      <c r="AN128" s="58"/>
      <c r="AO128" s="58"/>
      <c r="AP128" s="58"/>
      <c r="AQ128" s="58"/>
      <c r="AR128" s="58"/>
    </row>
    <row r="129" spans="29:44" x14ac:dyDescent="0.2">
      <c r="AC129" s="58"/>
      <c r="AD129" s="58"/>
      <c r="AE129" s="58"/>
      <c r="AF129" s="58"/>
      <c r="AG129" s="58"/>
      <c r="AH129" s="58"/>
      <c r="AI129" s="58"/>
      <c r="AJ129" s="58"/>
      <c r="AK129" s="58"/>
      <c r="AL129" s="58"/>
      <c r="AM129" s="58"/>
      <c r="AN129" s="58"/>
      <c r="AO129" s="58"/>
      <c r="AP129" s="58"/>
      <c r="AQ129" s="58"/>
      <c r="AR129" s="58"/>
    </row>
    <row r="130" spans="29:44" x14ac:dyDescent="0.2">
      <c r="AC130" s="58"/>
      <c r="AD130" s="58"/>
      <c r="AE130" s="58"/>
      <c r="AF130" s="58"/>
      <c r="AG130" s="58"/>
      <c r="AH130" s="58"/>
      <c r="AI130" s="58"/>
      <c r="AJ130" s="58"/>
      <c r="AK130" s="58"/>
      <c r="AL130" s="58"/>
      <c r="AM130" s="58"/>
      <c r="AN130" s="58"/>
      <c r="AO130" s="58"/>
      <c r="AP130" s="58"/>
      <c r="AQ130" s="58"/>
      <c r="AR130" s="58"/>
    </row>
    <row r="131" spans="29:44" x14ac:dyDescent="0.2">
      <c r="AC131" s="58"/>
      <c r="AD131" s="58"/>
      <c r="AE131" s="58"/>
      <c r="AF131" s="58"/>
      <c r="AG131" s="58"/>
      <c r="AH131" s="58"/>
      <c r="AI131" s="58"/>
      <c r="AJ131" s="58"/>
      <c r="AK131" s="58"/>
      <c r="AL131" s="58"/>
      <c r="AM131" s="58"/>
      <c r="AN131" s="58"/>
      <c r="AO131" s="58"/>
      <c r="AP131" s="58"/>
      <c r="AQ131" s="58"/>
      <c r="AR131" s="58"/>
    </row>
    <row r="132" spans="29:44" x14ac:dyDescent="0.2">
      <c r="AC132" s="58"/>
      <c r="AD132" s="58"/>
      <c r="AE132" s="58"/>
      <c r="AF132" s="58"/>
      <c r="AG132" s="58"/>
      <c r="AH132" s="58"/>
      <c r="AI132" s="58"/>
      <c r="AJ132" s="58"/>
      <c r="AK132" s="58"/>
      <c r="AL132" s="58"/>
      <c r="AM132" s="58"/>
      <c r="AN132" s="58"/>
      <c r="AO132" s="58"/>
      <c r="AP132" s="58"/>
      <c r="AQ132" s="58"/>
      <c r="AR132" s="58"/>
    </row>
    <row r="133" spans="29:44" x14ac:dyDescent="0.2">
      <c r="AC133" s="58"/>
      <c r="AD133" s="58"/>
      <c r="AE133" s="58"/>
      <c r="AF133" s="58"/>
      <c r="AG133" s="58"/>
      <c r="AH133" s="58"/>
      <c r="AI133" s="58"/>
      <c r="AJ133" s="58"/>
      <c r="AK133" s="58"/>
      <c r="AL133" s="58"/>
      <c r="AM133" s="58"/>
      <c r="AN133" s="58"/>
      <c r="AO133" s="58"/>
      <c r="AP133" s="58"/>
      <c r="AQ133" s="58"/>
      <c r="AR133" s="58"/>
    </row>
    <row r="134" spans="29:44" x14ac:dyDescent="0.2">
      <c r="AC134" s="58"/>
      <c r="AD134" s="58"/>
      <c r="AE134" s="58"/>
      <c r="AF134" s="58"/>
      <c r="AG134" s="58"/>
      <c r="AH134" s="58"/>
      <c r="AI134" s="58"/>
      <c r="AJ134" s="58"/>
      <c r="AK134" s="58"/>
      <c r="AL134" s="58"/>
      <c r="AM134" s="58"/>
      <c r="AN134" s="58"/>
      <c r="AO134" s="58"/>
      <c r="AP134" s="58"/>
      <c r="AQ134" s="58"/>
      <c r="AR134" s="58"/>
    </row>
    <row r="135" spans="29:44" x14ac:dyDescent="0.2">
      <c r="AC135" s="58"/>
      <c r="AD135" s="58"/>
      <c r="AE135" s="58"/>
      <c r="AF135" s="58"/>
      <c r="AG135" s="58"/>
      <c r="AH135" s="58"/>
      <c r="AI135" s="58"/>
      <c r="AJ135" s="58"/>
      <c r="AK135" s="58"/>
      <c r="AL135" s="58"/>
      <c r="AM135" s="58"/>
      <c r="AN135" s="58"/>
      <c r="AO135" s="58"/>
      <c r="AP135" s="58"/>
      <c r="AQ135" s="58"/>
      <c r="AR135" s="58"/>
    </row>
    <row r="136" spans="29:44" x14ac:dyDescent="0.2">
      <c r="AC136" s="58"/>
      <c r="AD136" s="58"/>
      <c r="AE136" s="58"/>
      <c r="AF136" s="58"/>
      <c r="AG136" s="58"/>
      <c r="AH136" s="58"/>
      <c r="AI136" s="58"/>
      <c r="AJ136" s="58"/>
      <c r="AK136" s="58"/>
      <c r="AL136" s="58"/>
      <c r="AM136" s="58"/>
      <c r="AN136" s="58"/>
      <c r="AO136" s="58"/>
      <c r="AP136" s="58"/>
      <c r="AQ136" s="58"/>
      <c r="AR136" s="58"/>
    </row>
    <row r="137" spans="29:44" x14ac:dyDescent="0.2">
      <c r="AC137" s="58"/>
      <c r="AD137" s="58"/>
      <c r="AE137" s="58"/>
      <c r="AF137" s="58"/>
      <c r="AG137" s="58"/>
      <c r="AH137" s="58"/>
      <c r="AI137" s="58"/>
      <c r="AJ137" s="58"/>
      <c r="AK137" s="58"/>
      <c r="AL137" s="58"/>
      <c r="AM137" s="58"/>
      <c r="AN137" s="58"/>
      <c r="AO137" s="58"/>
      <c r="AP137" s="58"/>
      <c r="AQ137" s="58"/>
      <c r="AR137" s="58"/>
    </row>
    <row r="138" spans="29:44" x14ac:dyDescent="0.2">
      <c r="AC138" s="58"/>
      <c r="AD138" s="58"/>
      <c r="AE138" s="58"/>
      <c r="AF138" s="58"/>
      <c r="AG138" s="58"/>
      <c r="AH138" s="58"/>
      <c r="AI138" s="58"/>
      <c r="AJ138" s="58"/>
      <c r="AK138" s="58"/>
      <c r="AL138" s="58"/>
      <c r="AM138" s="58"/>
      <c r="AN138" s="58"/>
      <c r="AO138" s="58"/>
      <c r="AP138" s="58"/>
      <c r="AQ138" s="58"/>
      <c r="AR138" s="58"/>
    </row>
    <row r="139" spans="29:44" x14ac:dyDescent="0.2">
      <c r="AC139" s="58"/>
      <c r="AD139" s="58"/>
      <c r="AE139" s="58"/>
      <c r="AF139" s="58"/>
      <c r="AG139" s="58"/>
      <c r="AH139" s="58"/>
      <c r="AI139" s="58"/>
      <c r="AJ139" s="58"/>
      <c r="AK139" s="58"/>
      <c r="AL139" s="58"/>
      <c r="AM139" s="58"/>
      <c r="AN139" s="58"/>
      <c r="AO139" s="58"/>
      <c r="AP139" s="58"/>
      <c r="AQ139" s="58"/>
      <c r="AR139" s="58"/>
    </row>
    <row r="140" spans="29:44" x14ac:dyDescent="0.2">
      <c r="AC140" s="58"/>
      <c r="AD140" s="58"/>
      <c r="AE140" s="58"/>
      <c r="AF140" s="58"/>
      <c r="AG140" s="58"/>
      <c r="AH140" s="58"/>
      <c r="AI140" s="58"/>
      <c r="AJ140" s="58"/>
      <c r="AK140" s="58"/>
      <c r="AL140" s="58"/>
      <c r="AM140" s="58"/>
      <c r="AN140" s="58"/>
      <c r="AO140" s="58"/>
      <c r="AP140" s="58"/>
      <c r="AQ140" s="58"/>
      <c r="AR140" s="58"/>
    </row>
    <row r="141" spans="29:44" x14ac:dyDescent="0.2">
      <c r="AC141" s="58"/>
      <c r="AD141" s="58"/>
      <c r="AE141" s="58"/>
      <c r="AF141" s="58"/>
      <c r="AG141" s="58"/>
      <c r="AH141" s="58"/>
      <c r="AI141" s="58"/>
      <c r="AJ141" s="58"/>
      <c r="AK141" s="58"/>
      <c r="AL141" s="58"/>
      <c r="AM141" s="58"/>
      <c r="AN141" s="58"/>
      <c r="AO141" s="58"/>
      <c r="AP141" s="58"/>
      <c r="AQ141" s="58"/>
      <c r="AR141" s="58"/>
    </row>
    <row r="142" spans="29:44" x14ac:dyDescent="0.2">
      <c r="AC142" s="58"/>
      <c r="AD142" s="58"/>
      <c r="AE142" s="58"/>
      <c r="AF142" s="58"/>
      <c r="AG142" s="58"/>
      <c r="AH142" s="58"/>
      <c r="AI142" s="58"/>
      <c r="AJ142" s="58"/>
      <c r="AK142" s="58"/>
      <c r="AL142" s="58"/>
      <c r="AM142" s="58"/>
      <c r="AN142" s="58"/>
      <c r="AO142" s="58"/>
      <c r="AP142" s="58"/>
      <c r="AQ142" s="58"/>
      <c r="AR142" s="58"/>
    </row>
    <row r="143" spans="29:44" x14ac:dyDescent="0.2">
      <c r="AC143" s="58"/>
      <c r="AD143" s="58"/>
      <c r="AE143" s="58"/>
      <c r="AF143" s="58"/>
      <c r="AG143" s="58"/>
      <c r="AH143" s="58"/>
      <c r="AI143" s="58"/>
      <c r="AJ143" s="58"/>
      <c r="AK143" s="58"/>
      <c r="AL143" s="58"/>
      <c r="AM143" s="58"/>
      <c r="AN143" s="58"/>
      <c r="AO143" s="58"/>
      <c r="AP143" s="58"/>
      <c r="AQ143" s="58"/>
      <c r="AR143" s="58"/>
    </row>
    <row r="144" spans="29:44" x14ac:dyDescent="0.2">
      <c r="AC144" s="58"/>
      <c r="AD144" s="58"/>
      <c r="AE144" s="58"/>
      <c r="AF144" s="58"/>
      <c r="AG144" s="58"/>
      <c r="AH144" s="58"/>
      <c r="AI144" s="58"/>
      <c r="AJ144" s="58"/>
      <c r="AK144" s="58"/>
      <c r="AL144" s="58"/>
      <c r="AM144" s="58"/>
      <c r="AN144" s="58"/>
      <c r="AO144" s="58"/>
      <c r="AP144" s="58"/>
      <c r="AQ144" s="58"/>
      <c r="AR144" s="58"/>
    </row>
    <row r="145" spans="29:44" x14ac:dyDescent="0.2">
      <c r="AC145" s="58"/>
      <c r="AD145" s="58"/>
      <c r="AE145" s="58"/>
      <c r="AF145" s="58"/>
      <c r="AG145" s="58"/>
      <c r="AH145" s="58"/>
      <c r="AI145" s="58"/>
      <c r="AJ145" s="58"/>
      <c r="AK145" s="58"/>
      <c r="AL145" s="58"/>
      <c r="AM145" s="58"/>
      <c r="AN145" s="58"/>
      <c r="AO145" s="58"/>
      <c r="AP145" s="58"/>
      <c r="AQ145" s="58"/>
      <c r="AR145" s="58"/>
    </row>
    <row r="146" spans="29:44" x14ac:dyDescent="0.2">
      <c r="AC146" s="58"/>
      <c r="AD146" s="58"/>
      <c r="AE146" s="58"/>
      <c r="AF146" s="58"/>
      <c r="AG146" s="58"/>
      <c r="AH146" s="58"/>
      <c r="AI146" s="58"/>
      <c r="AJ146" s="58"/>
      <c r="AK146" s="58"/>
      <c r="AL146" s="58"/>
      <c r="AM146" s="58"/>
      <c r="AN146" s="58"/>
      <c r="AO146" s="58"/>
      <c r="AP146" s="58"/>
      <c r="AQ146" s="58"/>
      <c r="AR146" s="58"/>
    </row>
    <row r="147" spans="29:44" x14ac:dyDescent="0.2">
      <c r="AC147" s="58"/>
      <c r="AD147" s="58"/>
      <c r="AE147" s="58"/>
      <c r="AF147" s="58"/>
      <c r="AG147" s="58"/>
      <c r="AH147" s="58"/>
      <c r="AI147" s="58"/>
      <c r="AJ147" s="58"/>
      <c r="AK147" s="58"/>
      <c r="AL147" s="58"/>
      <c r="AM147" s="58"/>
      <c r="AN147" s="58"/>
      <c r="AO147" s="58"/>
      <c r="AP147" s="58"/>
      <c r="AQ147" s="58"/>
      <c r="AR147" s="58"/>
    </row>
    <row r="148" spans="29:44" x14ac:dyDescent="0.2">
      <c r="AC148" s="58"/>
      <c r="AD148" s="58"/>
      <c r="AE148" s="58"/>
      <c r="AF148" s="58"/>
      <c r="AG148" s="58"/>
      <c r="AH148" s="58"/>
      <c r="AI148" s="58"/>
      <c r="AJ148" s="58"/>
      <c r="AK148" s="58"/>
      <c r="AL148" s="58"/>
      <c r="AM148" s="58"/>
      <c r="AN148" s="58"/>
      <c r="AO148" s="58"/>
      <c r="AP148" s="58"/>
      <c r="AQ148" s="58"/>
      <c r="AR148" s="58"/>
    </row>
    <row r="149" spans="29:44" x14ac:dyDescent="0.2">
      <c r="AC149" s="58"/>
      <c r="AD149" s="58"/>
      <c r="AE149" s="58"/>
      <c r="AF149" s="58"/>
      <c r="AG149" s="58"/>
      <c r="AH149" s="58"/>
      <c r="AI149" s="58"/>
      <c r="AJ149" s="58"/>
      <c r="AK149" s="58"/>
      <c r="AL149" s="58"/>
      <c r="AM149" s="58"/>
      <c r="AN149" s="58"/>
      <c r="AO149" s="58"/>
      <c r="AP149" s="58"/>
      <c r="AQ149" s="58"/>
      <c r="AR149" s="58"/>
    </row>
    <row r="150" spans="29:44" x14ac:dyDescent="0.2">
      <c r="AC150" s="58"/>
      <c r="AD150" s="58"/>
      <c r="AE150" s="58"/>
      <c r="AF150" s="58"/>
      <c r="AG150" s="58"/>
      <c r="AH150" s="58"/>
      <c r="AI150" s="58"/>
      <c r="AJ150" s="58"/>
      <c r="AK150" s="58"/>
      <c r="AL150" s="58"/>
      <c r="AM150" s="58"/>
      <c r="AN150" s="58"/>
      <c r="AO150" s="58"/>
      <c r="AP150" s="58"/>
      <c r="AQ150" s="58"/>
      <c r="AR150" s="58"/>
    </row>
    <row r="151" spans="29:44" x14ac:dyDescent="0.2">
      <c r="AC151" s="58"/>
      <c r="AD151" s="58"/>
      <c r="AE151" s="58"/>
      <c r="AF151" s="58"/>
      <c r="AG151" s="58"/>
      <c r="AH151" s="58"/>
      <c r="AI151" s="58"/>
      <c r="AJ151" s="58"/>
      <c r="AK151" s="58"/>
      <c r="AL151" s="58"/>
      <c r="AM151" s="58"/>
      <c r="AN151" s="58"/>
      <c r="AO151" s="58"/>
      <c r="AP151" s="58"/>
      <c r="AQ151" s="58"/>
      <c r="AR151" s="58"/>
    </row>
    <row r="152" spans="29:44" x14ac:dyDescent="0.2">
      <c r="AC152" s="58"/>
      <c r="AD152" s="58"/>
      <c r="AE152" s="58"/>
      <c r="AF152" s="58"/>
      <c r="AG152" s="58"/>
      <c r="AH152" s="58"/>
      <c r="AI152" s="58"/>
      <c r="AJ152" s="58"/>
      <c r="AK152" s="58"/>
      <c r="AL152" s="58"/>
      <c r="AM152" s="58"/>
      <c r="AN152" s="58"/>
      <c r="AO152" s="58"/>
      <c r="AP152" s="58"/>
      <c r="AQ152" s="58"/>
      <c r="AR152" s="58"/>
    </row>
    <row r="153" spans="29:44" x14ac:dyDescent="0.2">
      <c r="AC153" s="58"/>
      <c r="AD153" s="58"/>
      <c r="AE153" s="58"/>
      <c r="AF153" s="58"/>
      <c r="AG153" s="58"/>
      <c r="AH153" s="58"/>
      <c r="AI153" s="58"/>
      <c r="AJ153" s="58"/>
      <c r="AK153" s="58"/>
      <c r="AL153" s="58"/>
      <c r="AM153" s="58"/>
      <c r="AN153" s="58"/>
      <c r="AO153" s="58"/>
      <c r="AP153" s="58"/>
      <c r="AQ153" s="58"/>
      <c r="AR153" s="58"/>
    </row>
    <row r="154" spans="29:44" x14ac:dyDescent="0.2">
      <c r="AC154" s="58"/>
      <c r="AD154" s="58"/>
      <c r="AE154" s="58"/>
      <c r="AF154" s="58"/>
      <c r="AG154" s="58"/>
      <c r="AH154" s="58"/>
      <c r="AI154" s="58"/>
      <c r="AJ154" s="58"/>
      <c r="AK154" s="58"/>
      <c r="AL154" s="58"/>
      <c r="AM154" s="58"/>
      <c r="AN154" s="58"/>
      <c r="AO154" s="58"/>
      <c r="AP154" s="58"/>
      <c r="AQ154" s="58"/>
      <c r="AR154" s="58"/>
    </row>
    <row r="155" spans="29:44" x14ac:dyDescent="0.2">
      <c r="AC155" s="58"/>
      <c r="AD155" s="58"/>
      <c r="AE155" s="58"/>
      <c r="AF155" s="58"/>
      <c r="AG155" s="58"/>
      <c r="AH155" s="58"/>
      <c r="AI155" s="58"/>
      <c r="AJ155" s="58"/>
      <c r="AK155" s="58"/>
      <c r="AL155" s="58"/>
      <c r="AM155" s="58"/>
      <c r="AN155" s="58"/>
      <c r="AO155" s="58"/>
      <c r="AP155" s="58"/>
      <c r="AQ155" s="58"/>
      <c r="AR155" s="58"/>
    </row>
    <row r="156" spans="29:44" x14ac:dyDescent="0.2">
      <c r="AC156" s="58"/>
      <c r="AD156" s="58"/>
      <c r="AE156" s="58"/>
      <c r="AF156" s="58"/>
      <c r="AG156" s="58"/>
      <c r="AH156" s="58"/>
      <c r="AI156" s="58"/>
      <c r="AJ156" s="58"/>
      <c r="AK156" s="58"/>
      <c r="AL156" s="58"/>
      <c r="AM156" s="58"/>
      <c r="AN156" s="58"/>
      <c r="AO156" s="58"/>
      <c r="AP156" s="58"/>
      <c r="AQ156" s="58"/>
      <c r="AR156" s="58"/>
    </row>
    <row r="157" spans="29:44" x14ac:dyDescent="0.2">
      <c r="AC157" s="58"/>
      <c r="AD157" s="58"/>
      <c r="AE157" s="58"/>
      <c r="AF157" s="58"/>
      <c r="AG157" s="58"/>
      <c r="AH157" s="58"/>
      <c r="AI157" s="58"/>
      <c r="AJ157" s="58"/>
      <c r="AK157" s="58"/>
      <c r="AL157" s="58"/>
      <c r="AM157" s="58"/>
      <c r="AN157" s="58"/>
      <c r="AO157" s="58"/>
      <c r="AP157" s="58"/>
      <c r="AQ157" s="58"/>
      <c r="AR157" s="58"/>
    </row>
    <row r="158" spans="29:44" x14ac:dyDescent="0.2">
      <c r="AC158" s="58"/>
      <c r="AD158" s="58"/>
      <c r="AE158" s="58"/>
      <c r="AF158" s="58"/>
      <c r="AG158" s="58"/>
      <c r="AH158" s="58"/>
      <c r="AI158" s="58"/>
      <c r="AJ158" s="58"/>
      <c r="AK158" s="58"/>
      <c r="AL158" s="58"/>
      <c r="AM158" s="58"/>
      <c r="AN158" s="58"/>
      <c r="AO158" s="58"/>
      <c r="AP158" s="58"/>
      <c r="AQ158" s="58"/>
      <c r="AR158" s="58"/>
    </row>
    <row r="159" spans="29:44" x14ac:dyDescent="0.2">
      <c r="AC159" s="58"/>
      <c r="AD159" s="58"/>
      <c r="AE159" s="58"/>
      <c r="AF159" s="58"/>
      <c r="AG159" s="58"/>
      <c r="AH159" s="58"/>
      <c r="AI159" s="58"/>
      <c r="AJ159" s="58"/>
      <c r="AK159" s="58"/>
      <c r="AL159" s="58"/>
      <c r="AM159" s="58"/>
      <c r="AN159" s="58"/>
      <c r="AO159" s="58"/>
      <c r="AP159" s="58"/>
      <c r="AQ159" s="58"/>
      <c r="AR159" s="58"/>
    </row>
    <row r="160" spans="29:44" x14ac:dyDescent="0.2">
      <c r="AC160" s="58"/>
      <c r="AD160" s="58"/>
      <c r="AE160" s="58"/>
      <c r="AF160" s="58"/>
      <c r="AG160" s="58"/>
      <c r="AH160" s="58"/>
      <c r="AI160" s="58"/>
      <c r="AJ160" s="58"/>
      <c r="AK160" s="58"/>
      <c r="AL160" s="58"/>
      <c r="AM160" s="58"/>
      <c r="AN160" s="58"/>
      <c r="AO160" s="58"/>
      <c r="AP160" s="58"/>
      <c r="AQ160" s="58"/>
      <c r="AR160" s="58"/>
    </row>
    <row r="161" spans="29:44" x14ac:dyDescent="0.2">
      <c r="AC161" s="58"/>
      <c r="AD161" s="58"/>
      <c r="AE161" s="58"/>
      <c r="AF161" s="58"/>
      <c r="AG161" s="58"/>
      <c r="AH161" s="58"/>
      <c r="AI161" s="58"/>
      <c r="AJ161" s="58"/>
      <c r="AK161" s="58"/>
      <c r="AL161" s="58"/>
      <c r="AM161" s="58"/>
      <c r="AN161" s="58"/>
      <c r="AO161" s="58"/>
      <c r="AP161" s="58"/>
      <c r="AQ161" s="58"/>
      <c r="AR161" s="58"/>
    </row>
    <row r="162" spans="29:44" x14ac:dyDescent="0.2">
      <c r="AC162" s="58"/>
      <c r="AD162" s="58"/>
      <c r="AE162" s="58"/>
      <c r="AF162" s="58"/>
      <c r="AG162" s="58"/>
      <c r="AH162" s="58"/>
      <c r="AI162" s="58"/>
      <c r="AJ162" s="58"/>
      <c r="AK162" s="58"/>
      <c r="AL162" s="58"/>
      <c r="AM162" s="58"/>
      <c r="AN162" s="58"/>
      <c r="AO162" s="58"/>
      <c r="AP162" s="58"/>
      <c r="AQ162" s="58"/>
      <c r="AR162" s="58"/>
    </row>
    <row r="163" spans="29:44" x14ac:dyDescent="0.2">
      <c r="AC163" s="58"/>
      <c r="AD163" s="58"/>
      <c r="AE163" s="58"/>
      <c r="AF163" s="58"/>
      <c r="AG163" s="58"/>
      <c r="AH163" s="58"/>
      <c r="AI163" s="58"/>
      <c r="AJ163" s="58"/>
      <c r="AK163" s="58"/>
      <c r="AL163" s="58"/>
      <c r="AM163" s="58"/>
      <c r="AN163" s="58"/>
      <c r="AO163" s="58"/>
      <c r="AP163" s="58"/>
      <c r="AQ163" s="58"/>
      <c r="AR163" s="58"/>
    </row>
    <row r="164" spans="29:44" x14ac:dyDescent="0.2">
      <c r="AC164" s="58"/>
      <c r="AD164" s="58"/>
      <c r="AE164" s="58"/>
      <c r="AF164" s="58"/>
      <c r="AG164" s="58"/>
      <c r="AH164" s="58"/>
      <c r="AI164" s="58"/>
      <c r="AJ164" s="58"/>
      <c r="AK164" s="58"/>
      <c r="AL164" s="58"/>
      <c r="AM164" s="58"/>
      <c r="AN164" s="58"/>
      <c r="AO164" s="58"/>
      <c r="AP164" s="58"/>
      <c r="AQ164" s="58"/>
      <c r="AR164" s="58"/>
    </row>
    <row r="165" spans="29:44" x14ac:dyDescent="0.2">
      <c r="AC165" s="58"/>
      <c r="AD165" s="58"/>
      <c r="AE165" s="58"/>
      <c r="AF165" s="58"/>
      <c r="AG165" s="58"/>
      <c r="AH165" s="58"/>
      <c r="AI165" s="58"/>
      <c r="AJ165" s="58"/>
      <c r="AK165" s="58"/>
      <c r="AL165" s="58"/>
      <c r="AM165" s="58"/>
      <c r="AN165" s="58"/>
      <c r="AO165" s="58"/>
      <c r="AP165" s="58"/>
      <c r="AQ165" s="58"/>
      <c r="AR165" s="58"/>
    </row>
    <row r="166" spans="29:44" x14ac:dyDescent="0.2">
      <c r="AC166" s="58"/>
      <c r="AD166" s="58"/>
      <c r="AE166" s="58"/>
      <c r="AF166" s="58"/>
      <c r="AG166" s="58"/>
      <c r="AH166" s="58"/>
      <c r="AI166" s="58"/>
      <c r="AJ166" s="58"/>
      <c r="AK166" s="58"/>
      <c r="AL166" s="58"/>
      <c r="AM166" s="58"/>
      <c r="AN166" s="58"/>
      <c r="AO166" s="58"/>
      <c r="AP166" s="58"/>
      <c r="AQ166" s="58"/>
      <c r="AR166" s="58"/>
    </row>
    <row r="167" spans="29:44" x14ac:dyDescent="0.2">
      <c r="AC167" s="58"/>
      <c r="AD167" s="58"/>
      <c r="AE167" s="58"/>
      <c r="AF167" s="58"/>
      <c r="AG167" s="58"/>
      <c r="AH167" s="58"/>
      <c r="AI167" s="58"/>
      <c r="AJ167" s="58"/>
      <c r="AK167" s="58"/>
      <c r="AL167" s="58"/>
      <c r="AM167" s="58"/>
      <c r="AN167" s="58"/>
      <c r="AO167" s="58"/>
      <c r="AP167" s="58"/>
      <c r="AQ167" s="58"/>
      <c r="AR167" s="58"/>
    </row>
    <row r="168" spans="29:44" x14ac:dyDescent="0.2">
      <c r="AC168" s="58"/>
      <c r="AD168" s="58"/>
      <c r="AE168" s="58"/>
      <c r="AF168" s="58"/>
      <c r="AG168" s="58"/>
      <c r="AH168" s="58"/>
      <c r="AI168" s="58"/>
      <c r="AJ168" s="58"/>
      <c r="AK168" s="58"/>
      <c r="AL168" s="58"/>
      <c r="AM168" s="58"/>
      <c r="AN168" s="58"/>
      <c r="AO168" s="58"/>
      <c r="AP168" s="58"/>
      <c r="AQ168" s="58"/>
      <c r="AR168" s="58"/>
    </row>
    <row r="169" spans="29:44" x14ac:dyDescent="0.2">
      <c r="AC169" s="58"/>
      <c r="AD169" s="58"/>
      <c r="AE169" s="58"/>
      <c r="AF169" s="58"/>
      <c r="AG169" s="58"/>
      <c r="AH169" s="58"/>
      <c r="AI169" s="58"/>
      <c r="AJ169" s="58"/>
      <c r="AK169" s="58"/>
      <c r="AL169" s="58"/>
      <c r="AM169" s="58"/>
      <c r="AN169" s="58"/>
      <c r="AO169" s="58"/>
      <c r="AP169" s="58"/>
      <c r="AQ169" s="58"/>
      <c r="AR169" s="58"/>
    </row>
    <row r="170" spans="29:44" x14ac:dyDescent="0.2">
      <c r="AC170" s="58"/>
      <c r="AD170" s="58"/>
      <c r="AE170" s="58"/>
      <c r="AF170" s="58"/>
      <c r="AG170" s="58"/>
      <c r="AH170" s="58"/>
      <c r="AI170" s="58"/>
      <c r="AJ170" s="58"/>
      <c r="AK170" s="58"/>
      <c r="AL170" s="58"/>
      <c r="AM170" s="58"/>
      <c r="AN170" s="58"/>
      <c r="AO170" s="58"/>
      <c r="AP170" s="58"/>
      <c r="AQ170" s="58"/>
      <c r="AR170" s="58"/>
    </row>
    <row r="171" spans="29:44" x14ac:dyDescent="0.2">
      <c r="AC171" s="58"/>
      <c r="AD171" s="58"/>
      <c r="AE171" s="58"/>
      <c r="AF171" s="58"/>
      <c r="AG171" s="58"/>
      <c r="AH171" s="58"/>
      <c r="AI171" s="58"/>
      <c r="AJ171" s="58"/>
      <c r="AK171" s="58"/>
      <c r="AL171" s="58"/>
      <c r="AM171" s="58"/>
      <c r="AN171" s="58"/>
      <c r="AO171" s="58"/>
      <c r="AP171" s="58"/>
      <c r="AQ171" s="58"/>
      <c r="AR171" s="58"/>
    </row>
    <row r="172" spans="29:44" x14ac:dyDescent="0.2">
      <c r="AC172" s="58"/>
      <c r="AD172" s="58"/>
      <c r="AE172" s="58"/>
      <c r="AF172" s="58"/>
      <c r="AG172" s="58"/>
      <c r="AH172" s="58"/>
      <c r="AI172" s="58"/>
      <c r="AJ172" s="58"/>
      <c r="AK172" s="58"/>
      <c r="AL172" s="58"/>
      <c r="AM172" s="58"/>
      <c r="AN172" s="58"/>
      <c r="AO172" s="58"/>
      <c r="AP172" s="58"/>
      <c r="AQ172" s="58"/>
      <c r="AR172" s="58"/>
    </row>
    <row r="173" spans="29:44" x14ac:dyDescent="0.2">
      <c r="AC173" s="58"/>
      <c r="AD173" s="58"/>
      <c r="AE173" s="58"/>
      <c r="AF173" s="58"/>
      <c r="AG173" s="58"/>
      <c r="AH173" s="58"/>
      <c r="AI173" s="58"/>
      <c r="AJ173" s="58"/>
      <c r="AK173" s="58"/>
      <c r="AL173" s="58"/>
      <c r="AM173" s="58"/>
      <c r="AN173" s="58"/>
      <c r="AO173" s="58"/>
      <c r="AP173" s="58"/>
      <c r="AQ173" s="58"/>
      <c r="AR173" s="58"/>
    </row>
    <row r="174" spans="29:44" x14ac:dyDescent="0.2">
      <c r="AC174" s="58"/>
      <c r="AD174" s="58"/>
      <c r="AE174" s="58"/>
      <c r="AF174" s="58"/>
      <c r="AG174" s="58"/>
      <c r="AH174" s="58"/>
      <c r="AI174" s="58"/>
      <c r="AJ174" s="58"/>
      <c r="AK174" s="58"/>
      <c r="AL174" s="58"/>
      <c r="AM174" s="58"/>
      <c r="AN174" s="58"/>
      <c r="AO174" s="58"/>
      <c r="AP174" s="58"/>
      <c r="AQ174" s="58"/>
      <c r="AR174" s="58"/>
    </row>
    <row r="175" spans="29:44" x14ac:dyDescent="0.2">
      <c r="AC175" s="58"/>
      <c r="AD175" s="58"/>
      <c r="AE175" s="58"/>
      <c r="AF175" s="58"/>
      <c r="AG175" s="58"/>
      <c r="AH175" s="58"/>
      <c r="AI175" s="58"/>
      <c r="AJ175" s="58"/>
      <c r="AK175" s="58"/>
      <c r="AL175" s="58"/>
      <c r="AM175" s="58"/>
      <c r="AN175" s="58"/>
      <c r="AO175" s="58"/>
      <c r="AP175" s="58"/>
      <c r="AQ175" s="58"/>
      <c r="AR175" s="58"/>
    </row>
    <row r="176" spans="29:44" x14ac:dyDescent="0.2">
      <c r="AC176" s="58"/>
      <c r="AD176" s="58"/>
      <c r="AE176" s="58"/>
      <c r="AF176" s="58"/>
      <c r="AG176" s="58"/>
      <c r="AH176" s="58"/>
      <c r="AI176" s="58"/>
      <c r="AJ176" s="58"/>
      <c r="AK176" s="58"/>
      <c r="AL176" s="58"/>
      <c r="AM176" s="58"/>
      <c r="AN176" s="58"/>
      <c r="AO176" s="58"/>
      <c r="AP176" s="58"/>
      <c r="AQ176" s="58"/>
      <c r="AR176" s="58"/>
    </row>
    <row r="177" spans="29:44" x14ac:dyDescent="0.2">
      <c r="AC177" s="58"/>
      <c r="AD177" s="58"/>
      <c r="AE177" s="58"/>
      <c r="AF177" s="58"/>
      <c r="AG177" s="58"/>
      <c r="AH177" s="58"/>
      <c r="AI177" s="58"/>
      <c r="AJ177" s="58"/>
      <c r="AK177" s="58"/>
      <c r="AL177" s="58"/>
      <c r="AM177" s="58"/>
      <c r="AN177" s="58"/>
      <c r="AO177" s="58"/>
      <c r="AP177" s="58"/>
      <c r="AQ177" s="58"/>
      <c r="AR177" s="58"/>
    </row>
    <row r="178" spans="29:44" x14ac:dyDescent="0.2">
      <c r="AC178" s="58"/>
      <c r="AD178" s="58"/>
      <c r="AE178" s="58"/>
      <c r="AF178" s="58"/>
      <c r="AG178" s="58"/>
      <c r="AH178" s="58"/>
      <c r="AI178" s="58"/>
      <c r="AJ178" s="58"/>
      <c r="AK178" s="58"/>
      <c r="AL178" s="58"/>
      <c r="AM178" s="58"/>
      <c r="AN178" s="58"/>
      <c r="AO178" s="58"/>
      <c r="AP178" s="58"/>
      <c r="AQ178" s="58"/>
      <c r="AR178" s="58"/>
    </row>
    <row r="179" spans="29:44" x14ac:dyDescent="0.2">
      <c r="AC179" s="58"/>
      <c r="AD179" s="58"/>
      <c r="AE179" s="58"/>
      <c r="AF179" s="58"/>
      <c r="AG179" s="58"/>
      <c r="AH179" s="58"/>
      <c r="AI179" s="58"/>
      <c r="AJ179" s="58"/>
      <c r="AK179" s="58"/>
      <c r="AL179" s="58"/>
      <c r="AM179" s="58"/>
      <c r="AN179" s="58"/>
      <c r="AO179" s="58"/>
      <c r="AP179" s="58"/>
      <c r="AQ179" s="58"/>
      <c r="AR179" s="58"/>
    </row>
    <row r="180" spans="29:44" x14ac:dyDescent="0.2">
      <c r="AC180" s="58"/>
      <c r="AD180" s="58"/>
      <c r="AE180" s="58"/>
      <c r="AF180" s="58"/>
      <c r="AG180" s="58"/>
      <c r="AH180" s="58"/>
      <c r="AI180" s="58"/>
      <c r="AJ180" s="58"/>
      <c r="AK180" s="58"/>
      <c r="AL180" s="58"/>
      <c r="AM180" s="58"/>
      <c r="AN180" s="58"/>
      <c r="AO180" s="58"/>
      <c r="AP180" s="58"/>
      <c r="AQ180" s="58"/>
      <c r="AR180" s="58"/>
    </row>
    <row r="181" spans="29:44" x14ac:dyDescent="0.2">
      <c r="AC181" s="58"/>
      <c r="AD181" s="58"/>
      <c r="AE181" s="58"/>
      <c r="AF181" s="58"/>
      <c r="AG181" s="58"/>
      <c r="AH181" s="58"/>
      <c r="AI181" s="58"/>
      <c r="AJ181" s="58"/>
      <c r="AK181" s="58"/>
      <c r="AL181" s="58"/>
      <c r="AM181" s="58"/>
      <c r="AN181" s="58"/>
      <c r="AO181" s="58"/>
      <c r="AP181" s="58"/>
      <c r="AQ181" s="58"/>
      <c r="AR181" s="58"/>
    </row>
    <row r="182" spans="29:44" x14ac:dyDescent="0.2">
      <c r="AC182" s="58"/>
      <c r="AD182" s="58"/>
      <c r="AE182" s="58"/>
      <c r="AF182" s="58"/>
      <c r="AG182" s="58"/>
      <c r="AH182" s="58"/>
      <c r="AI182" s="58"/>
      <c r="AJ182" s="58"/>
      <c r="AK182" s="58"/>
      <c r="AL182" s="58"/>
      <c r="AM182" s="58"/>
      <c r="AN182" s="58"/>
      <c r="AO182" s="58"/>
      <c r="AP182" s="58"/>
      <c r="AQ182" s="58"/>
      <c r="AR182" s="58"/>
    </row>
    <row r="183" spans="29:44" x14ac:dyDescent="0.2">
      <c r="AC183" s="58"/>
      <c r="AD183" s="58"/>
      <c r="AE183" s="58"/>
      <c r="AF183" s="58"/>
      <c r="AG183" s="58"/>
      <c r="AH183" s="58"/>
      <c r="AI183" s="58"/>
      <c r="AJ183" s="58"/>
      <c r="AK183" s="58"/>
      <c r="AL183" s="58"/>
      <c r="AM183" s="58"/>
      <c r="AN183" s="58"/>
      <c r="AO183" s="58"/>
      <c r="AP183" s="58"/>
      <c r="AQ183" s="58"/>
      <c r="AR183" s="58"/>
    </row>
    <row r="184" spans="29:44" x14ac:dyDescent="0.2">
      <c r="AC184" s="58"/>
      <c r="AD184" s="58"/>
      <c r="AE184" s="58"/>
      <c r="AF184" s="58"/>
      <c r="AG184" s="58"/>
      <c r="AH184" s="58"/>
      <c r="AI184" s="58"/>
      <c r="AJ184" s="58"/>
      <c r="AK184" s="58"/>
      <c r="AL184" s="58"/>
      <c r="AM184" s="58"/>
      <c r="AN184" s="58"/>
      <c r="AO184" s="58"/>
      <c r="AP184" s="58"/>
      <c r="AQ184" s="58"/>
      <c r="AR184" s="58"/>
    </row>
    <row r="185" spans="29:44" x14ac:dyDescent="0.2">
      <c r="AC185" s="58"/>
      <c r="AD185" s="58"/>
      <c r="AE185" s="58"/>
      <c r="AF185" s="58"/>
      <c r="AG185" s="58"/>
      <c r="AH185" s="58"/>
      <c r="AI185" s="58"/>
      <c r="AJ185" s="58"/>
      <c r="AK185" s="58"/>
      <c r="AL185" s="58"/>
      <c r="AM185" s="58"/>
      <c r="AN185" s="58"/>
      <c r="AO185" s="58"/>
      <c r="AP185" s="58"/>
      <c r="AQ185" s="58"/>
      <c r="AR185" s="58"/>
    </row>
    <row r="186" spans="29:44" x14ac:dyDescent="0.2">
      <c r="AC186" s="58"/>
      <c r="AD186" s="58"/>
      <c r="AE186" s="58"/>
      <c r="AF186" s="58"/>
      <c r="AG186" s="58"/>
      <c r="AH186" s="58"/>
      <c r="AI186" s="58"/>
      <c r="AJ186" s="58"/>
      <c r="AK186" s="58"/>
      <c r="AL186" s="58"/>
      <c r="AM186" s="58"/>
      <c r="AN186" s="58"/>
      <c r="AO186" s="58"/>
      <c r="AP186" s="58"/>
      <c r="AQ186" s="58"/>
      <c r="AR186" s="58"/>
    </row>
    <row r="187" spans="29:44" x14ac:dyDescent="0.2">
      <c r="AC187" s="58"/>
      <c r="AD187" s="58"/>
      <c r="AE187" s="58"/>
      <c r="AF187" s="58"/>
      <c r="AG187" s="58"/>
      <c r="AH187" s="58"/>
      <c r="AI187" s="58"/>
      <c r="AJ187" s="58"/>
      <c r="AK187" s="58"/>
      <c r="AL187" s="58"/>
      <c r="AM187" s="58"/>
      <c r="AN187" s="58"/>
      <c r="AO187" s="58"/>
      <c r="AP187" s="58"/>
      <c r="AQ187" s="58"/>
      <c r="AR187" s="58"/>
    </row>
    <row r="188" spans="29:44" x14ac:dyDescent="0.2">
      <c r="AC188" s="58"/>
      <c r="AD188" s="58"/>
      <c r="AE188" s="58"/>
      <c r="AF188" s="58"/>
      <c r="AG188" s="58"/>
      <c r="AH188" s="58"/>
      <c r="AI188" s="58"/>
      <c r="AJ188" s="58"/>
      <c r="AK188" s="58"/>
      <c r="AL188" s="58"/>
      <c r="AM188" s="58"/>
      <c r="AN188" s="58"/>
      <c r="AO188" s="58"/>
      <c r="AP188" s="58"/>
      <c r="AQ188" s="58"/>
      <c r="AR188" s="58"/>
    </row>
    <row r="189" spans="29:44" x14ac:dyDescent="0.2">
      <c r="AC189" s="58"/>
      <c r="AD189" s="58"/>
      <c r="AE189" s="58"/>
      <c r="AF189" s="58"/>
      <c r="AG189" s="58"/>
      <c r="AH189" s="58"/>
      <c r="AI189" s="58"/>
      <c r="AJ189" s="58"/>
      <c r="AK189" s="58"/>
      <c r="AL189" s="58"/>
      <c r="AM189" s="58"/>
      <c r="AN189" s="58"/>
      <c r="AO189" s="58"/>
      <c r="AP189" s="58"/>
      <c r="AQ189" s="58"/>
      <c r="AR189" s="58"/>
    </row>
    <row r="190" spans="29:44" x14ac:dyDescent="0.2">
      <c r="AC190" s="58"/>
      <c r="AD190" s="58"/>
      <c r="AE190" s="58"/>
      <c r="AF190" s="58"/>
      <c r="AG190" s="58"/>
      <c r="AH190" s="58"/>
      <c r="AI190" s="58"/>
      <c r="AJ190" s="58"/>
      <c r="AK190" s="58"/>
      <c r="AL190" s="58"/>
      <c r="AM190" s="58"/>
      <c r="AN190" s="58"/>
      <c r="AO190" s="58"/>
      <c r="AP190" s="58"/>
      <c r="AQ190" s="58"/>
      <c r="AR190" s="58"/>
    </row>
    <row r="191" spans="29:44" x14ac:dyDescent="0.2">
      <c r="AC191" s="58"/>
      <c r="AD191" s="58"/>
      <c r="AE191" s="58"/>
      <c r="AF191" s="58"/>
      <c r="AG191" s="58"/>
      <c r="AH191" s="58"/>
      <c r="AI191" s="58"/>
      <c r="AJ191" s="58"/>
      <c r="AK191" s="58"/>
      <c r="AL191" s="58"/>
      <c r="AM191" s="58"/>
      <c r="AN191" s="58"/>
      <c r="AO191" s="58"/>
      <c r="AP191" s="58"/>
      <c r="AQ191" s="58"/>
      <c r="AR191" s="58"/>
    </row>
    <row r="192" spans="29:44" x14ac:dyDescent="0.2">
      <c r="AC192" s="58"/>
      <c r="AD192" s="58"/>
      <c r="AE192" s="58"/>
      <c r="AF192" s="58"/>
      <c r="AG192" s="58"/>
      <c r="AH192" s="58"/>
      <c r="AI192" s="58"/>
      <c r="AJ192" s="58"/>
      <c r="AK192" s="58"/>
      <c r="AL192" s="58"/>
      <c r="AM192" s="58"/>
      <c r="AN192" s="58"/>
      <c r="AO192" s="58"/>
      <c r="AP192" s="58"/>
      <c r="AQ192" s="58"/>
      <c r="AR192" s="58"/>
    </row>
    <row r="193" spans="29:44" x14ac:dyDescent="0.2">
      <c r="AC193" s="58"/>
      <c r="AD193" s="58"/>
      <c r="AE193" s="58"/>
      <c r="AF193" s="58"/>
      <c r="AG193" s="58"/>
      <c r="AH193" s="58"/>
      <c r="AI193" s="58"/>
      <c r="AJ193" s="58"/>
      <c r="AK193" s="58"/>
      <c r="AL193" s="58"/>
      <c r="AM193" s="58"/>
      <c r="AN193" s="58"/>
      <c r="AO193" s="58"/>
      <c r="AP193" s="58"/>
      <c r="AQ193" s="58"/>
      <c r="AR193" s="58"/>
    </row>
    <row r="194" spans="29:44" x14ac:dyDescent="0.2">
      <c r="AC194" s="58"/>
      <c r="AD194" s="58"/>
      <c r="AE194" s="58"/>
      <c r="AF194" s="58"/>
      <c r="AG194" s="58"/>
      <c r="AH194" s="58"/>
      <c r="AI194" s="58"/>
      <c r="AJ194" s="58"/>
      <c r="AK194" s="58"/>
      <c r="AL194" s="58"/>
      <c r="AM194" s="58"/>
      <c r="AN194" s="58"/>
      <c r="AO194" s="58"/>
      <c r="AP194" s="58"/>
      <c r="AQ194" s="58"/>
      <c r="AR194" s="58"/>
    </row>
    <row r="195" spans="29:44" x14ac:dyDescent="0.2">
      <c r="AC195" s="58"/>
      <c r="AD195" s="58"/>
      <c r="AE195" s="58"/>
      <c r="AF195" s="58"/>
      <c r="AG195" s="58"/>
      <c r="AH195" s="58"/>
      <c r="AI195" s="58"/>
      <c r="AJ195" s="58"/>
      <c r="AK195" s="58"/>
      <c r="AL195" s="58"/>
      <c r="AM195" s="58"/>
      <c r="AN195" s="58"/>
      <c r="AO195" s="58"/>
      <c r="AP195" s="58"/>
      <c r="AQ195" s="58"/>
      <c r="AR195" s="58"/>
    </row>
    <row r="196" spans="29:44" x14ac:dyDescent="0.2">
      <c r="AC196" s="58"/>
      <c r="AD196" s="58"/>
      <c r="AE196" s="58"/>
      <c r="AF196" s="58"/>
      <c r="AG196" s="58"/>
      <c r="AH196" s="58"/>
      <c r="AI196" s="58"/>
      <c r="AJ196" s="58"/>
      <c r="AK196" s="58"/>
      <c r="AL196" s="58"/>
      <c r="AM196" s="58"/>
      <c r="AN196" s="58"/>
      <c r="AO196" s="58"/>
      <c r="AP196" s="58"/>
      <c r="AQ196" s="58"/>
      <c r="AR196" s="58"/>
    </row>
    <row r="197" spans="29:44" x14ac:dyDescent="0.2">
      <c r="AC197" s="58"/>
      <c r="AD197" s="58"/>
      <c r="AE197" s="58"/>
      <c r="AF197" s="58"/>
      <c r="AG197" s="58"/>
      <c r="AH197" s="58"/>
      <c r="AI197" s="58"/>
      <c r="AJ197" s="58"/>
      <c r="AK197" s="58"/>
      <c r="AL197" s="58"/>
      <c r="AM197" s="58"/>
      <c r="AN197" s="58"/>
      <c r="AO197" s="58"/>
      <c r="AP197" s="58"/>
      <c r="AQ197" s="58"/>
      <c r="AR197" s="58"/>
    </row>
    <row r="198" spans="29:44" x14ac:dyDescent="0.2">
      <c r="AC198" s="58"/>
      <c r="AD198" s="58"/>
      <c r="AE198" s="58"/>
      <c r="AF198" s="58"/>
      <c r="AG198" s="58"/>
      <c r="AH198" s="58"/>
      <c r="AI198" s="58"/>
      <c r="AJ198" s="58"/>
      <c r="AK198" s="58"/>
      <c r="AL198" s="58"/>
      <c r="AM198" s="58"/>
      <c r="AN198" s="58"/>
      <c r="AO198" s="58"/>
      <c r="AP198" s="58"/>
      <c r="AQ198" s="58"/>
      <c r="AR198" s="58"/>
    </row>
    <row r="199" spans="29:44" x14ac:dyDescent="0.2">
      <c r="AC199" s="58"/>
      <c r="AD199" s="58"/>
      <c r="AE199" s="58"/>
      <c r="AF199" s="58"/>
      <c r="AG199" s="58"/>
      <c r="AH199" s="58"/>
      <c r="AI199" s="58"/>
      <c r="AJ199" s="58"/>
      <c r="AK199" s="58"/>
      <c r="AL199" s="58"/>
      <c r="AM199" s="58"/>
      <c r="AN199" s="58"/>
      <c r="AO199" s="58"/>
      <c r="AP199" s="58"/>
      <c r="AQ199" s="58"/>
      <c r="AR199" s="58"/>
    </row>
    <row r="200" spans="29:44" x14ac:dyDescent="0.2">
      <c r="AC200" s="58"/>
      <c r="AD200" s="58"/>
      <c r="AE200" s="58"/>
      <c r="AF200" s="58"/>
      <c r="AG200" s="58"/>
      <c r="AH200" s="58"/>
      <c r="AI200" s="58"/>
      <c r="AJ200" s="58"/>
      <c r="AK200" s="58"/>
      <c r="AL200" s="58"/>
      <c r="AM200" s="58"/>
      <c r="AN200" s="58"/>
      <c r="AO200" s="58"/>
      <c r="AP200" s="58"/>
      <c r="AQ200" s="58"/>
      <c r="AR200" s="58"/>
    </row>
    <row r="201" spans="29:44" x14ac:dyDescent="0.2">
      <c r="AC201" s="58"/>
      <c r="AD201" s="58"/>
      <c r="AE201" s="58"/>
      <c r="AF201" s="58"/>
      <c r="AG201" s="58"/>
      <c r="AH201" s="58"/>
      <c r="AI201" s="58"/>
      <c r="AJ201" s="58"/>
      <c r="AK201" s="58"/>
      <c r="AL201" s="58"/>
      <c r="AM201" s="58"/>
      <c r="AN201" s="58"/>
      <c r="AO201" s="58"/>
      <c r="AP201" s="58"/>
      <c r="AQ201" s="58"/>
      <c r="AR201" s="58"/>
    </row>
    <row r="202" spans="29:44" x14ac:dyDescent="0.2">
      <c r="AC202" s="58"/>
      <c r="AD202" s="58"/>
      <c r="AE202" s="58"/>
      <c r="AF202" s="58"/>
      <c r="AG202" s="58"/>
      <c r="AH202" s="58"/>
      <c r="AI202" s="58"/>
      <c r="AJ202" s="58"/>
      <c r="AK202" s="58"/>
      <c r="AL202" s="58"/>
      <c r="AM202" s="58"/>
      <c r="AN202" s="58"/>
      <c r="AO202" s="58"/>
      <c r="AP202" s="58"/>
      <c r="AQ202" s="58"/>
      <c r="AR202" s="58"/>
    </row>
    <row r="203" spans="29:44" x14ac:dyDescent="0.2">
      <c r="AC203" s="58"/>
      <c r="AD203" s="58"/>
      <c r="AE203" s="58"/>
      <c r="AF203" s="58"/>
      <c r="AG203" s="58"/>
      <c r="AH203" s="58"/>
      <c r="AI203" s="58"/>
      <c r="AJ203" s="58"/>
      <c r="AK203" s="58"/>
      <c r="AL203" s="58"/>
      <c r="AM203" s="58"/>
      <c r="AN203" s="58"/>
      <c r="AO203" s="58"/>
      <c r="AP203" s="58"/>
      <c r="AQ203" s="58"/>
      <c r="AR203" s="58"/>
    </row>
    <row r="204" spans="29:44" x14ac:dyDescent="0.2">
      <c r="AC204" s="58"/>
      <c r="AD204" s="58"/>
      <c r="AE204" s="58"/>
      <c r="AF204" s="58"/>
      <c r="AG204" s="58"/>
      <c r="AH204" s="58"/>
      <c r="AI204" s="58"/>
      <c r="AJ204" s="58"/>
      <c r="AK204" s="58"/>
      <c r="AL204" s="58"/>
      <c r="AM204" s="58"/>
      <c r="AN204" s="58"/>
      <c r="AO204" s="58"/>
      <c r="AP204" s="58"/>
      <c r="AQ204" s="58"/>
      <c r="AR204" s="58"/>
    </row>
    <row r="205" spans="29:44" x14ac:dyDescent="0.2">
      <c r="AC205" s="58"/>
      <c r="AD205" s="58"/>
      <c r="AE205" s="58"/>
      <c r="AF205" s="58"/>
      <c r="AG205" s="58"/>
      <c r="AH205" s="58"/>
      <c r="AI205" s="58"/>
      <c r="AJ205" s="58"/>
      <c r="AK205" s="58"/>
      <c r="AL205" s="58"/>
      <c r="AM205" s="58"/>
      <c r="AN205" s="58"/>
      <c r="AO205" s="58"/>
      <c r="AP205" s="58"/>
      <c r="AQ205" s="58"/>
      <c r="AR205" s="58"/>
    </row>
    <row r="206" spans="29:44" x14ac:dyDescent="0.2">
      <c r="AC206" s="58"/>
      <c r="AD206" s="58"/>
      <c r="AE206" s="58"/>
      <c r="AF206" s="58"/>
      <c r="AG206" s="58"/>
      <c r="AH206" s="58"/>
      <c r="AI206" s="58"/>
      <c r="AJ206" s="58"/>
      <c r="AK206" s="58"/>
      <c r="AL206" s="58"/>
      <c r="AM206" s="58"/>
      <c r="AN206" s="58"/>
      <c r="AO206" s="58"/>
      <c r="AP206" s="58"/>
      <c r="AQ206" s="58"/>
      <c r="AR206" s="58"/>
    </row>
    <row r="207" spans="29:44" x14ac:dyDescent="0.2">
      <c r="AC207" s="58"/>
      <c r="AD207" s="58"/>
      <c r="AE207" s="58"/>
      <c r="AF207" s="58"/>
      <c r="AG207" s="58"/>
      <c r="AH207" s="58"/>
      <c r="AI207" s="58"/>
      <c r="AJ207" s="58"/>
      <c r="AK207" s="58"/>
      <c r="AL207" s="58"/>
      <c r="AM207" s="58"/>
      <c r="AN207" s="58"/>
      <c r="AO207" s="58"/>
      <c r="AP207" s="58"/>
      <c r="AQ207" s="58"/>
      <c r="AR207" s="58"/>
    </row>
    <row r="208" spans="29:44" x14ac:dyDescent="0.2">
      <c r="AC208" s="58"/>
      <c r="AD208" s="58"/>
      <c r="AE208" s="58"/>
      <c r="AF208" s="58"/>
      <c r="AG208" s="58"/>
      <c r="AH208" s="58"/>
      <c r="AI208" s="58"/>
      <c r="AJ208" s="58"/>
      <c r="AK208" s="58"/>
      <c r="AL208" s="58"/>
      <c r="AM208" s="58"/>
      <c r="AN208" s="58"/>
      <c r="AO208" s="58"/>
      <c r="AP208" s="58"/>
      <c r="AQ208" s="58"/>
      <c r="AR208" s="58"/>
    </row>
    <row r="209" spans="29:44" x14ac:dyDescent="0.2">
      <c r="AC209" s="58"/>
      <c r="AD209" s="58"/>
      <c r="AE209" s="58"/>
      <c r="AF209" s="58"/>
      <c r="AG209" s="58"/>
      <c r="AH209" s="58"/>
      <c r="AI209" s="58"/>
      <c r="AJ209" s="58"/>
      <c r="AK209" s="58"/>
      <c r="AL209" s="58"/>
      <c r="AM209" s="58"/>
      <c r="AN209" s="58"/>
      <c r="AO209" s="58"/>
      <c r="AP209" s="58"/>
      <c r="AQ209" s="58"/>
      <c r="AR209" s="58"/>
    </row>
    <row r="210" spans="29:44" x14ac:dyDescent="0.2">
      <c r="AC210" s="58"/>
      <c r="AD210" s="58"/>
      <c r="AE210" s="58"/>
      <c r="AF210" s="58"/>
      <c r="AG210" s="58"/>
      <c r="AH210" s="58"/>
      <c r="AI210" s="58"/>
      <c r="AJ210" s="58"/>
      <c r="AK210" s="58"/>
      <c r="AL210" s="58"/>
      <c r="AM210" s="58"/>
      <c r="AN210" s="58"/>
      <c r="AO210" s="58"/>
      <c r="AP210" s="58"/>
      <c r="AQ210" s="58"/>
      <c r="AR210" s="58"/>
    </row>
    <row r="211" spans="29:44" x14ac:dyDescent="0.2">
      <c r="AC211" s="58"/>
      <c r="AD211" s="58"/>
      <c r="AE211" s="58"/>
      <c r="AF211" s="58"/>
      <c r="AG211" s="58"/>
      <c r="AH211" s="58"/>
      <c r="AI211" s="58"/>
      <c r="AJ211" s="58"/>
      <c r="AK211" s="58"/>
      <c r="AL211" s="58"/>
      <c r="AM211" s="58"/>
      <c r="AN211" s="58"/>
      <c r="AO211" s="58"/>
      <c r="AP211" s="58"/>
      <c r="AQ211" s="58"/>
      <c r="AR211" s="58"/>
    </row>
    <row r="212" spans="29:44" x14ac:dyDescent="0.2">
      <c r="AC212" s="58"/>
      <c r="AD212" s="58"/>
      <c r="AE212" s="58"/>
      <c r="AF212" s="58"/>
      <c r="AG212" s="58"/>
      <c r="AH212" s="58"/>
      <c r="AI212" s="58"/>
      <c r="AJ212" s="58"/>
      <c r="AK212" s="58"/>
      <c r="AL212" s="58"/>
      <c r="AM212" s="58"/>
      <c r="AN212" s="58"/>
      <c r="AO212" s="58"/>
      <c r="AP212" s="58"/>
      <c r="AQ212" s="58"/>
      <c r="AR212" s="58"/>
    </row>
    <row r="213" spans="29:44" x14ac:dyDescent="0.2">
      <c r="AC213" s="58"/>
      <c r="AD213" s="58"/>
      <c r="AE213" s="58"/>
      <c r="AF213" s="58"/>
      <c r="AG213" s="58"/>
      <c r="AH213" s="58"/>
      <c r="AI213" s="58"/>
      <c r="AJ213" s="58"/>
      <c r="AK213" s="58"/>
      <c r="AL213" s="58"/>
      <c r="AM213" s="58"/>
      <c r="AN213" s="58"/>
      <c r="AO213" s="58"/>
      <c r="AP213" s="58"/>
      <c r="AQ213" s="58"/>
      <c r="AR213" s="58"/>
    </row>
    <row r="214" spans="29:44" x14ac:dyDescent="0.2">
      <c r="AC214" s="58"/>
      <c r="AD214" s="58"/>
      <c r="AE214" s="58"/>
      <c r="AF214" s="58"/>
      <c r="AG214" s="58"/>
      <c r="AH214" s="58"/>
      <c r="AI214" s="58"/>
      <c r="AJ214" s="58"/>
      <c r="AK214" s="58"/>
      <c r="AL214" s="58"/>
      <c r="AM214" s="58"/>
      <c r="AN214" s="58"/>
      <c r="AO214" s="58"/>
      <c r="AP214" s="58"/>
      <c r="AQ214" s="58"/>
      <c r="AR214" s="58"/>
    </row>
    <row r="215" spans="29:44" x14ac:dyDescent="0.2">
      <c r="AC215" s="58"/>
      <c r="AD215" s="58"/>
      <c r="AE215" s="58"/>
      <c r="AF215" s="58"/>
      <c r="AG215" s="58"/>
      <c r="AH215" s="58"/>
      <c r="AI215" s="58"/>
      <c r="AJ215" s="58"/>
      <c r="AK215" s="58"/>
      <c r="AL215" s="58"/>
      <c r="AM215" s="58"/>
      <c r="AN215" s="58"/>
      <c r="AO215" s="58"/>
      <c r="AP215" s="58"/>
      <c r="AQ215" s="58"/>
      <c r="AR215" s="58"/>
    </row>
    <row r="216" spans="29:44" x14ac:dyDescent="0.2">
      <c r="AC216" s="58"/>
      <c r="AD216" s="58"/>
      <c r="AE216" s="58"/>
      <c r="AF216" s="58"/>
      <c r="AG216" s="58"/>
      <c r="AH216" s="58"/>
      <c r="AI216" s="58"/>
      <c r="AJ216" s="58"/>
      <c r="AK216" s="58"/>
      <c r="AL216" s="58"/>
      <c r="AM216" s="58"/>
      <c r="AN216" s="58"/>
      <c r="AO216" s="58"/>
      <c r="AP216" s="58"/>
      <c r="AQ216" s="58"/>
      <c r="AR216" s="58"/>
    </row>
    <row r="217" spans="29:44" x14ac:dyDescent="0.2">
      <c r="AC217" s="58"/>
      <c r="AD217" s="58"/>
      <c r="AE217" s="58"/>
      <c r="AF217" s="58"/>
      <c r="AG217" s="58"/>
      <c r="AH217" s="58"/>
      <c r="AI217" s="58"/>
      <c r="AJ217" s="58"/>
      <c r="AK217" s="58"/>
      <c r="AL217" s="58"/>
      <c r="AM217" s="58"/>
      <c r="AN217" s="58"/>
      <c r="AO217" s="58"/>
      <c r="AP217" s="58"/>
      <c r="AQ217" s="58"/>
      <c r="AR217" s="58"/>
    </row>
    <row r="218" spans="29:44" x14ac:dyDescent="0.2">
      <c r="AC218" s="58"/>
      <c r="AD218" s="58"/>
      <c r="AE218" s="58"/>
      <c r="AF218" s="58"/>
      <c r="AG218" s="58"/>
      <c r="AH218" s="58"/>
      <c r="AI218" s="58"/>
      <c r="AJ218" s="58"/>
      <c r="AK218" s="58"/>
      <c r="AL218" s="58"/>
      <c r="AM218" s="58"/>
      <c r="AN218" s="58"/>
      <c r="AO218" s="58"/>
      <c r="AP218" s="58"/>
      <c r="AQ218" s="58"/>
      <c r="AR218" s="58"/>
    </row>
    <row r="219" spans="29:44" x14ac:dyDescent="0.2">
      <c r="AC219" s="58"/>
      <c r="AD219" s="58"/>
      <c r="AE219" s="58"/>
      <c r="AF219" s="58"/>
      <c r="AG219" s="58"/>
      <c r="AH219" s="58"/>
      <c r="AI219" s="58"/>
      <c r="AJ219" s="58"/>
      <c r="AK219" s="58"/>
      <c r="AL219" s="58"/>
      <c r="AM219" s="58"/>
      <c r="AN219" s="58"/>
      <c r="AO219" s="58"/>
      <c r="AP219" s="58"/>
      <c r="AQ219" s="58"/>
      <c r="AR219" s="58"/>
    </row>
    <row r="220" spans="29:44" x14ac:dyDescent="0.2">
      <c r="AC220" s="58"/>
      <c r="AD220" s="58"/>
      <c r="AE220" s="58"/>
      <c r="AF220" s="58"/>
      <c r="AG220" s="58"/>
      <c r="AH220" s="58"/>
      <c r="AI220" s="58"/>
      <c r="AJ220" s="58"/>
      <c r="AK220" s="58"/>
      <c r="AL220" s="58"/>
      <c r="AM220" s="58"/>
      <c r="AN220" s="58"/>
      <c r="AO220" s="58"/>
      <c r="AP220" s="58"/>
      <c r="AQ220" s="58"/>
      <c r="AR220" s="58"/>
    </row>
    <row r="221" spans="29:44" x14ac:dyDescent="0.2">
      <c r="AC221" s="58"/>
      <c r="AD221" s="58"/>
      <c r="AE221" s="58"/>
      <c r="AF221" s="58"/>
      <c r="AG221" s="58"/>
      <c r="AH221" s="58"/>
      <c r="AI221" s="58"/>
      <c r="AJ221" s="58"/>
      <c r="AK221" s="58"/>
      <c r="AL221" s="58"/>
      <c r="AM221" s="58"/>
      <c r="AN221" s="58"/>
      <c r="AO221" s="58"/>
      <c r="AP221" s="58"/>
      <c r="AQ221" s="58"/>
      <c r="AR221" s="58"/>
    </row>
    <row r="222" spans="29:44" x14ac:dyDescent="0.2">
      <c r="AC222" s="58"/>
      <c r="AD222" s="58"/>
      <c r="AE222" s="58"/>
      <c r="AF222" s="58"/>
      <c r="AG222" s="58"/>
      <c r="AH222" s="58"/>
      <c r="AI222" s="58"/>
      <c r="AJ222" s="58"/>
      <c r="AK222" s="58"/>
      <c r="AL222" s="58"/>
      <c r="AM222" s="58"/>
      <c r="AN222" s="58"/>
      <c r="AO222" s="58"/>
      <c r="AP222" s="58"/>
      <c r="AQ222" s="58"/>
      <c r="AR222" s="58"/>
    </row>
    <row r="223" spans="29:44" x14ac:dyDescent="0.2">
      <c r="AC223" s="58"/>
      <c r="AD223" s="58"/>
      <c r="AE223" s="58"/>
      <c r="AF223" s="58"/>
      <c r="AG223" s="58"/>
      <c r="AH223" s="58"/>
      <c r="AI223" s="58"/>
      <c r="AJ223" s="58"/>
      <c r="AK223" s="58"/>
      <c r="AL223" s="58"/>
      <c r="AM223" s="58"/>
      <c r="AN223" s="58"/>
      <c r="AO223" s="58"/>
      <c r="AP223" s="58"/>
      <c r="AQ223" s="58"/>
      <c r="AR223" s="58"/>
    </row>
    <row r="224" spans="29:44" x14ac:dyDescent="0.2">
      <c r="AC224" s="58"/>
      <c r="AD224" s="58"/>
      <c r="AE224" s="58"/>
      <c r="AF224" s="58"/>
      <c r="AG224" s="58"/>
      <c r="AH224" s="58"/>
      <c r="AI224" s="58"/>
      <c r="AJ224" s="58"/>
      <c r="AK224" s="58"/>
      <c r="AL224" s="58"/>
      <c r="AM224" s="58"/>
      <c r="AN224" s="58"/>
      <c r="AO224" s="58"/>
      <c r="AP224" s="58"/>
      <c r="AQ224" s="58"/>
      <c r="AR224" s="58"/>
    </row>
    <row r="225" spans="29:44" x14ac:dyDescent="0.2">
      <c r="AC225" s="58"/>
      <c r="AD225" s="58"/>
      <c r="AE225" s="58"/>
      <c r="AF225" s="58"/>
      <c r="AG225" s="58"/>
      <c r="AH225" s="58"/>
      <c r="AI225" s="58"/>
      <c r="AJ225" s="58"/>
      <c r="AK225" s="58"/>
      <c r="AL225" s="58"/>
      <c r="AM225" s="58"/>
      <c r="AN225" s="58"/>
      <c r="AO225" s="58"/>
      <c r="AP225" s="58"/>
      <c r="AQ225" s="58"/>
      <c r="AR225" s="58"/>
    </row>
    <row r="226" spans="29:44" x14ac:dyDescent="0.2">
      <c r="AC226" s="58"/>
      <c r="AD226" s="58"/>
      <c r="AE226" s="58"/>
      <c r="AF226" s="58"/>
      <c r="AG226" s="58"/>
      <c r="AH226" s="58"/>
      <c r="AI226" s="58"/>
      <c r="AJ226" s="58"/>
      <c r="AK226" s="58"/>
      <c r="AL226" s="58"/>
      <c r="AM226" s="58"/>
      <c r="AN226" s="58"/>
      <c r="AO226" s="58"/>
      <c r="AP226" s="58"/>
      <c r="AQ226" s="58"/>
      <c r="AR226" s="58"/>
    </row>
    <row r="227" spans="29:44" x14ac:dyDescent="0.2">
      <c r="AC227" s="58"/>
      <c r="AD227" s="58"/>
      <c r="AE227" s="58"/>
      <c r="AF227" s="58"/>
      <c r="AG227" s="58"/>
      <c r="AH227" s="58"/>
      <c r="AI227" s="58"/>
      <c r="AJ227" s="58"/>
      <c r="AK227" s="58"/>
      <c r="AL227" s="58"/>
      <c r="AM227" s="58"/>
      <c r="AN227" s="58"/>
      <c r="AO227" s="58"/>
      <c r="AP227" s="58"/>
      <c r="AQ227" s="58"/>
      <c r="AR227" s="58"/>
    </row>
    <row r="228" spans="29:44" x14ac:dyDescent="0.2">
      <c r="AC228" s="58"/>
      <c r="AD228" s="58"/>
      <c r="AE228" s="58"/>
      <c r="AF228" s="58"/>
      <c r="AG228" s="58"/>
      <c r="AH228" s="58"/>
      <c r="AI228" s="58"/>
      <c r="AJ228" s="58"/>
      <c r="AK228" s="58"/>
      <c r="AL228" s="58"/>
      <c r="AM228" s="58"/>
      <c r="AN228" s="58"/>
      <c r="AO228" s="58"/>
      <c r="AP228" s="58"/>
      <c r="AQ228" s="58"/>
      <c r="AR228" s="58"/>
    </row>
    <row r="229" spans="29:44" x14ac:dyDescent="0.2">
      <c r="AC229" s="58"/>
      <c r="AD229" s="58"/>
      <c r="AE229" s="58"/>
      <c r="AF229" s="58"/>
      <c r="AG229" s="58"/>
      <c r="AH229" s="58"/>
      <c r="AI229" s="58"/>
      <c r="AJ229" s="58"/>
      <c r="AK229" s="58"/>
      <c r="AL229" s="58"/>
      <c r="AM229" s="58"/>
      <c r="AN229" s="58"/>
      <c r="AO229" s="58"/>
      <c r="AP229" s="58"/>
      <c r="AQ229" s="58"/>
      <c r="AR229" s="58"/>
    </row>
    <row r="230" spans="29:44" x14ac:dyDescent="0.2">
      <c r="AC230" s="58"/>
      <c r="AD230" s="58"/>
      <c r="AE230" s="58"/>
      <c r="AF230" s="58"/>
      <c r="AG230" s="58"/>
      <c r="AH230" s="58"/>
      <c r="AI230" s="58"/>
      <c r="AJ230" s="58"/>
      <c r="AK230" s="58"/>
      <c r="AL230" s="58"/>
      <c r="AM230" s="58"/>
      <c r="AN230" s="58"/>
      <c r="AO230" s="58"/>
      <c r="AP230" s="58"/>
      <c r="AQ230" s="58"/>
      <c r="AR230" s="58"/>
    </row>
    <row r="231" spans="29:44" x14ac:dyDescent="0.2">
      <c r="AC231" s="58"/>
      <c r="AD231" s="58"/>
      <c r="AE231" s="58"/>
      <c r="AF231" s="58"/>
      <c r="AG231" s="58"/>
      <c r="AH231" s="58"/>
      <c r="AI231" s="58"/>
      <c r="AJ231" s="58"/>
      <c r="AK231" s="58"/>
      <c r="AL231" s="58"/>
      <c r="AM231" s="58"/>
      <c r="AN231" s="58"/>
      <c r="AO231" s="58"/>
      <c r="AP231" s="58"/>
      <c r="AQ231" s="58"/>
      <c r="AR231" s="58"/>
    </row>
    <row r="232" spans="29:44" x14ac:dyDescent="0.2">
      <c r="AC232" s="58"/>
      <c r="AD232" s="58"/>
      <c r="AE232" s="58"/>
      <c r="AF232" s="58"/>
      <c r="AG232" s="58"/>
      <c r="AH232" s="58"/>
      <c r="AI232" s="58"/>
      <c r="AJ232" s="58"/>
      <c r="AK232" s="58"/>
      <c r="AL232" s="58"/>
      <c r="AM232" s="58"/>
      <c r="AN232" s="58"/>
      <c r="AO232" s="58"/>
      <c r="AP232" s="58"/>
      <c r="AQ232" s="58"/>
      <c r="AR232" s="58"/>
    </row>
    <row r="233" spans="29:44" x14ac:dyDescent="0.2">
      <c r="AC233" s="58"/>
      <c r="AD233" s="58"/>
      <c r="AE233" s="58"/>
      <c r="AF233" s="58"/>
      <c r="AG233" s="58"/>
      <c r="AH233" s="58"/>
      <c r="AI233" s="58"/>
      <c r="AJ233" s="58"/>
      <c r="AK233" s="58"/>
      <c r="AL233" s="58"/>
      <c r="AM233" s="58"/>
      <c r="AN233" s="58"/>
      <c r="AO233" s="58"/>
      <c r="AP233" s="58"/>
      <c r="AQ233" s="58"/>
      <c r="AR233" s="58"/>
    </row>
    <row r="234" spans="29:44" x14ac:dyDescent="0.2">
      <c r="AC234" s="58"/>
      <c r="AD234" s="58"/>
      <c r="AE234" s="58"/>
      <c r="AF234" s="58"/>
      <c r="AG234" s="58"/>
      <c r="AH234" s="58"/>
      <c r="AI234" s="58"/>
      <c r="AJ234" s="58"/>
      <c r="AK234" s="58"/>
      <c r="AL234" s="58"/>
      <c r="AM234" s="58"/>
      <c r="AN234" s="58"/>
      <c r="AO234" s="58"/>
      <c r="AP234" s="58"/>
      <c r="AQ234" s="58"/>
      <c r="AR234" s="58"/>
    </row>
    <row r="235" spans="29:44" x14ac:dyDescent="0.2">
      <c r="AC235" s="58"/>
      <c r="AD235" s="58"/>
      <c r="AE235" s="58"/>
      <c r="AF235" s="58"/>
      <c r="AG235" s="58"/>
      <c r="AH235" s="58"/>
      <c r="AI235" s="58"/>
      <c r="AJ235" s="58"/>
      <c r="AK235" s="58"/>
      <c r="AL235" s="58"/>
      <c r="AM235" s="58"/>
      <c r="AN235" s="58"/>
      <c r="AO235" s="58"/>
      <c r="AP235" s="58"/>
      <c r="AQ235" s="58"/>
      <c r="AR235" s="58"/>
    </row>
    <row r="236" spans="29:44" x14ac:dyDescent="0.2">
      <c r="AC236" s="58"/>
      <c r="AD236" s="58"/>
      <c r="AE236" s="58"/>
      <c r="AF236" s="58"/>
      <c r="AG236" s="58"/>
      <c r="AH236" s="58"/>
      <c r="AI236" s="58"/>
      <c r="AJ236" s="58"/>
      <c r="AK236" s="58"/>
      <c r="AL236" s="58"/>
      <c r="AM236" s="58"/>
      <c r="AN236" s="58"/>
      <c r="AO236" s="58"/>
      <c r="AP236" s="58"/>
      <c r="AQ236" s="58"/>
      <c r="AR236" s="58"/>
    </row>
    <row r="237" spans="29:44" x14ac:dyDescent="0.2">
      <c r="AC237" s="58"/>
      <c r="AD237" s="58"/>
      <c r="AE237" s="58"/>
      <c r="AF237" s="58"/>
      <c r="AG237" s="58"/>
      <c r="AH237" s="58"/>
      <c r="AI237" s="58"/>
      <c r="AJ237" s="58"/>
      <c r="AK237" s="58"/>
      <c r="AL237" s="58"/>
      <c r="AM237" s="58"/>
      <c r="AN237" s="58"/>
      <c r="AO237" s="58"/>
      <c r="AP237" s="58"/>
      <c r="AQ237" s="58"/>
      <c r="AR237" s="58"/>
    </row>
    <row r="238" spans="29:44" x14ac:dyDescent="0.2">
      <c r="AC238" s="58"/>
      <c r="AD238" s="58"/>
      <c r="AE238" s="58"/>
      <c r="AF238" s="58"/>
      <c r="AG238" s="58"/>
      <c r="AH238" s="58"/>
      <c r="AI238" s="58"/>
      <c r="AJ238" s="58"/>
      <c r="AK238" s="58"/>
      <c r="AL238" s="58"/>
      <c r="AM238" s="58"/>
      <c r="AN238" s="58"/>
      <c r="AO238" s="58"/>
      <c r="AP238" s="58"/>
      <c r="AQ238" s="58"/>
      <c r="AR238" s="58"/>
    </row>
    <row r="239" spans="29:44" x14ac:dyDescent="0.2">
      <c r="AC239" s="58"/>
      <c r="AD239" s="58"/>
      <c r="AE239" s="58"/>
      <c r="AF239" s="58"/>
      <c r="AG239" s="58"/>
      <c r="AH239" s="58"/>
      <c r="AI239" s="58"/>
      <c r="AJ239" s="58"/>
      <c r="AK239" s="58"/>
      <c r="AL239" s="58"/>
      <c r="AM239" s="58"/>
      <c r="AN239" s="58"/>
      <c r="AO239" s="58"/>
      <c r="AP239" s="58"/>
      <c r="AQ239" s="58"/>
      <c r="AR239" s="58"/>
    </row>
    <row r="240" spans="29:44" x14ac:dyDescent="0.2">
      <c r="AC240" s="58"/>
      <c r="AD240" s="58"/>
      <c r="AE240" s="58"/>
      <c r="AF240" s="58"/>
      <c r="AG240" s="58"/>
      <c r="AH240" s="58"/>
      <c r="AI240" s="58"/>
      <c r="AJ240" s="58"/>
      <c r="AK240" s="58"/>
      <c r="AL240" s="58"/>
      <c r="AM240" s="58"/>
      <c r="AN240" s="58"/>
      <c r="AO240" s="58"/>
      <c r="AP240" s="58"/>
      <c r="AQ240" s="58"/>
      <c r="AR240" s="58"/>
    </row>
    <row r="241" spans="29:44" x14ac:dyDescent="0.2">
      <c r="AC241" s="58"/>
      <c r="AD241" s="58"/>
      <c r="AE241" s="58"/>
      <c r="AF241" s="58"/>
      <c r="AG241" s="58"/>
      <c r="AH241" s="58"/>
      <c r="AI241" s="58"/>
      <c r="AJ241" s="58"/>
      <c r="AK241" s="58"/>
      <c r="AL241" s="58"/>
      <c r="AM241" s="58"/>
      <c r="AN241" s="58"/>
      <c r="AO241" s="58"/>
      <c r="AP241" s="58"/>
      <c r="AQ241" s="58"/>
      <c r="AR241" s="58"/>
    </row>
    <row r="242" spans="29:44" x14ac:dyDescent="0.2">
      <c r="AC242" s="58"/>
      <c r="AD242" s="58"/>
      <c r="AE242" s="58"/>
      <c r="AF242" s="58"/>
      <c r="AG242" s="58"/>
      <c r="AH242" s="58"/>
      <c r="AI242" s="58"/>
      <c r="AJ242" s="58"/>
      <c r="AK242" s="58"/>
      <c r="AL242" s="58"/>
      <c r="AM242" s="58"/>
      <c r="AN242" s="58"/>
      <c r="AO242" s="58"/>
      <c r="AP242" s="58"/>
      <c r="AQ242" s="58"/>
      <c r="AR242" s="58"/>
    </row>
    <row r="243" spans="29:44" x14ac:dyDescent="0.2">
      <c r="AC243" s="58"/>
      <c r="AD243" s="58"/>
      <c r="AE243" s="58"/>
      <c r="AF243" s="58"/>
      <c r="AG243" s="58"/>
      <c r="AH243" s="58"/>
      <c r="AI243" s="58"/>
      <c r="AJ243" s="58"/>
      <c r="AK243" s="58"/>
      <c r="AL243" s="58"/>
      <c r="AM243" s="58"/>
      <c r="AN243" s="58"/>
      <c r="AO243" s="58"/>
      <c r="AP243" s="58"/>
      <c r="AQ243" s="58"/>
      <c r="AR243" s="58"/>
    </row>
    <row r="244" spans="29:44" x14ac:dyDescent="0.2">
      <c r="AC244" s="58"/>
      <c r="AD244" s="58"/>
      <c r="AE244" s="58"/>
      <c r="AF244" s="58"/>
      <c r="AG244" s="58"/>
      <c r="AH244" s="58"/>
      <c r="AI244" s="58"/>
      <c r="AJ244" s="58"/>
      <c r="AK244" s="58"/>
      <c r="AL244" s="58"/>
      <c r="AM244" s="58"/>
      <c r="AN244" s="58"/>
      <c r="AO244" s="58"/>
      <c r="AP244" s="58"/>
      <c r="AQ244" s="58"/>
      <c r="AR244" s="58"/>
    </row>
    <row r="245" spans="29:44" x14ac:dyDescent="0.2">
      <c r="AC245" s="58"/>
      <c r="AD245" s="58"/>
      <c r="AE245" s="58"/>
      <c r="AF245" s="58"/>
      <c r="AG245" s="58"/>
      <c r="AH245" s="58"/>
      <c r="AI245" s="58"/>
      <c r="AJ245" s="58"/>
      <c r="AK245" s="58"/>
      <c r="AL245" s="58"/>
      <c r="AM245" s="58"/>
      <c r="AN245" s="58"/>
      <c r="AO245" s="58"/>
      <c r="AP245" s="58"/>
      <c r="AQ245" s="58"/>
      <c r="AR245" s="58"/>
    </row>
    <row r="246" spans="29:44" x14ac:dyDescent="0.2">
      <c r="AC246" s="58"/>
      <c r="AD246" s="58"/>
      <c r="AE246" s="58"/>
      <c r="AF246" s="58"/>
      <c r="AG246" s="58"/>
      <c r="AH246" s="58"/>
      <c r="AI246" s="58"/>
      <c r="AJ246" s="58"/>
      <c r="AK246" s="58"/>
      <c r="AL246" s="58"/>
      <c r="AM246" s="58"/>
      <c r="AN246" s="58"/>
      <c r="AO246" s="58"/>
      <c r="AP246" s="58"/>
      <c r="AQ246" s="58"/>
      <c r="AR246" s="58"/>
    </row>
    <row r="247" spans="29:44" x14ac:dyDescent="0.2">
      <c r="AC247" s="58"/>
      <c r="AD247" s="58"/>
      <c r="AE247" s="58"/>
      <c r="AF247" s="58"/>
      <c r="AG247" s="58"/>
      <c r="AH247" s="58"/>
      <c r="AI247" s="58"/>
      <c r="AJ247" s="58"/>
      <c r="AK247" s="58"/>
      <c r="AL247" s="58"/>
      <c r="AM247" s="58"/>
      <c r="AN247" s="58"/>
      <c r="AO247" s="58"/>
      <c r="AP247" s="58"/>
      <c r="AQ247" s="58"/>
      <c r="AR247" s="58"/>
    </row>
    <row r="248" spans="29:44" x14ac:dyDescent="0.2">
      <c r="AC248" s="58"/>
      <c r="AD248" s="58"/>
      <c r="AE248" s="58"/>
      <c r="AF248" s="58"/>
      <c r="AG248" s="58"/>
      <c r="AH248" s="58"/>
      <c r="AI248" s="58"/>
      <c r="AJ248" s="58"/>
      <c r="AK248" s="58"/>
      <c r="AL248" s="58"/>
      <c r="AM248" s="58"/>
      <c r="AN248" s="58"/>
      <c r="AO248" s="58"/>
      <c r="AP248" s="58"/>
      <c r="AQ248" s="58"/>
      <c r="AR248" s="58"/>
    </row>
    <row r="249" spans="29:44" x14ac:dyDescent="0.2">
      <c r="AC249" s="58"/>
      <c r="AD249" s="58"/>
      <c r="AE249" s="58"/>
      <c r="AF249" s="58"/>
      <c r="AG249" s="58"/>
      <c r="AH249" s="58"/>
      <c r="AI249" s="58"/>
      <c r="AJ249" s="58"/>
      <c r="AK249" s="58"/>
      <c r="AL249" s="58"/>
      <c r="AM249" s="58"/>
      <c r="AN249" s="58"/>
      <c r="AO249" s="58"/>
      <c r="AP249" s="58"/>
      <c r="AQ249" s="58"/>
      <c r="AR249" s="58"/>
    </row>
    <row r="250" spans="29:44" x14ac:dyDescent="0.2">
      <c r="AC250" s="58"/>
      <c r="AD250" s="58"/>
      <c r="AE250" s="58"/>
      <c r="AF250" s="58"/>
      <c r="AG250" s="58"/>
      <c r="AH250" s="58"/>
      <c r="AI250" s="58"/>
      <c r="AJ250" s="58"/>
      <c r="AK250" s="58"/>
      <c r="AL250" s="58"/>
      <c r="AM250" s="58"/>
      <c r="AN250" s="58"/>
      <c r="AO250" s="58"/>
      <c r="AP250" s="58"/>
      <c r="AQ250" s="58"/>
      <c r="AR250" s="58"/>
    </row>
    <row r="251" spans="29:44" x14ac:dyDescent="0.2">
      <c r="AC251" s="58"/>
      <c r="AD251" s="58"/>
      <c r="AE251" s="58"/>
      <c r="AF251" s="58"/>
      <c r="AG251" s="58"/>
      <c r="AH251" s="58"/>
      <c r="AI251" s="58"/>
      <c r="AJ251" s="58"/>
      <c r="AK251" s="58"/>
      <c r="AL251" s="58"/>
      <c r="AM251" s="58"/>
      <c r="AN251" s="58"/>
      <c r="AO251" s="58"/>
      <c r="AP251" s="58"/>
      <c r="AQ251" s="58"/>
      <c r="AR251" s="58"/>
    </row>
    <row r="252" spans="29:44" x14ac:dyDescent="0.2">
      <c r="AC252" s="58"/>
      <c r="AD252" s="58"/>
      <c r="AE252" s="58"/>
      <c r="AF252" s="58"/>
      <c r="AG252" s="58"/>
      <c r="AH252" s="58"/>
      <c r="AI252" s="58"/>
      <c r="AJ252" s="58"/>
      <c r="AK252" s="58"/>
      <c r="AL252" s="58"/>
      <c r="AM252" s="58"/>
      <c r="AN252" s="58"/>
      <c r="AO252" s="58"/>
      <c r="AP252" s="58"/>
      <c r="AQ252" s="58"/>
      <c r="AR252" s="58"/>
    </row>
    <row r="253" spans="29:44" x14ac:dyDescent="0.2">
      <c r="AC253" s="58"/>
      <c r="AD253" s="58"/>
      <c r="AE253" s="58"/>
      <c r="AF253" s="58"/>
      <c r="AG253" s="58"/>
      <c r="AH253" s="58"/>
      <c r="AI253" s="58"/>
      <c r="AJ253" s="58"/>
      <c r="AK253" s="58"/>
      <c r="AL253" s="58"/>
      <c r="AM253" s="58"/>
      <c r="AN253" s="58"/>
      <c r="AO253" s="58"/>
      <c r="AP253" s="58"/>
      <c r="AQ253" s="58"/>
      <c r="AR253" s="58"/>
    </row>
    <row r="254" spans="29:44" x14ac:dyDescent="0.2">
      <c r="AC254" s="58"/>
      <c r="AD254" s="58"/>
      <c r="AE254" s="58"/>
      <c r="AF254" s="58"/>
      <c r="AG254" s="58"/>
      <c r="AH254" s="58"/>
      <c r="AI254" s="58"/>
      <c r="AJ254" s="58"/>
      <c r="AK254" s="58"/>
      <c r="AL254" s="58"/>
      <c r="AM254" s="58"/>
      <c r="AN254" s="58"/>
      <c r="AO254" s="58"/>
      <c r="AP254" s="58"/>
      <c r="AQ254" s="58"/>
      <c r="AR254" s="58"/>
    </row>
    <row r="255" spans="29:44" x14ac:dyDescent="0.2">
      <c r="AC255" s="58"/>
      <c r="AD255" s="58"/>
      <c r="AE255" s="58"/>
      <c r="AF255" s="58"/>
      <c r="AG255" s="58"/>
      <c r="AH255" s="58"/>
      <c r="AI255" s="58"/>
      <c r="AJ255" s="58"/>
      <c r="AK255" s="58"/>
      <c r="AL255" s="58"/>
      <c r="AM255" s="58"/>
      <c r="AN255" s="58"/>
      <c r="AO255" s="58"/>
      <c r="AP255" s="58"/>
      <c r="AQ255" s="58"/>
      <c r="AR255" s="58"/>
    </row>
    <row r="256" spans="29:44" x14ac:dyDescent="0.2">
      <c r="AC256" s="58"/>
      <c r="AD256" s="58"/>
      <c r="AE256" s="58"/>
      <c r="AF256" s="58"/>
      <c r="AG256" s="58"/>
      <c r="AH256" s="58"/>
      <c r="AI256" s="58"/>
      <c r="AJ256" s="58"/>
      <c r="AK256" s="58"/>
      <c r="AL256" s="58"/>
      <c r="AM256" s="58"/>
      <c r="AN256" s="58"/>
      <c r="AO256" s="58"/>
      <c r="AP256" s="58"/>
      <c r="AQ256" s="58"/>
      <c r="AR256" s="58"/>
    </row>
    <row r="257" spans="29:44" x14ac:dyDescent="0.2">
      <c r="AC257" s="58"/>
      <c r="AD257" s="58"/>
      <c r="AE257" s="58"/>
      <c r="AF257" s="58"/>
      <c r="AG257" s="58"/>
      <c r="AH257" s="58"/>
      <c r="AI257" s="58"/>
      <c r="AJ257" s="58"/>
      <c r="AK257" s="58"/>
      <c r="AL257" s="58"/>
      <c r="AM257" s="58"/>
      <c r="AN257" s="58"/>
      <c r="AO257" s="58"/>
      <c r="AP257" s="58"/>
      <c r="AQ257" s="58"/>
      <c r="AR257" s="58"/>
    </row>
    <row r="258" spans="29:44" x14ac:dyDescent="0.2">
      <c r="AC258" s="58"/>
      <c r="AD258" s="58"/>
      <c r="AE258" s="58"/>
      <c r="AF258" s="58"/>
      <c r="AG258" s="58"/>
      <c r="AH258" s="58"/>
      <c r="AI258" s="58"/>
      <c r="AJ258" s="58"/>
      <c r="AK258" s="58"/>
      <c r="AL258" s="58"/>
      <c r="AM258" s="58"/>
      <c r="AN258" s="58"/>
      <c r="AO258" s="58"/>
      <c r="AP258" s="58"/>
      <c r="AQ258" s="58"/>
      <c r="AR258" s="58"/>
    </row>
    <row r="259" spans="29:44" x14ac:dyDescent="0.2">
      <c r="AC259" s="58"/>
      <c r="AD259" s="58"/>
      <c r="AE259" s="58"/>
      <c r="AF259" s="58"/>
      <c r="AG259" s="58"/>
      <c r="AH259" s="58"/>
      <c r="AI259" s="58"/>
      <c r="AJ259" s="58"/>
      <c r="AK259" s="58"/>
      <c r="AL259" s="58"/>
      <c r="AM259" s="58"/>
      <c r="AN259" s="58"/>
      <c r="AO259" s="58"/>
      <c r="AP259" s="58"/>
      <c r="AQ259" s="58"/>
      <c r="AR259" s="58"/>
    </row>
  </sheetData>
  <mergeCells count="1">
    <mergeCell ref="B86:E8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BAACC-3202-4440-8CEE-641AA3FE77AE}">
  <dimension ref="A2:H14"/>
  <sheetViews>
    <sheetView topLeftCell="C1" zoomScale="117" zoomScaleNormal="117" workbookViewId="0">
      <selection activeCell="E14" sqref="E14"/>
    </sheetView>
  </sheetViews>
  <sheetFormatPr baseColWidth="10" defaultRowHeight="16" x14ac:dyDescent="0.2"/>
  <cols>
    <col min="1" max="1" width="18.6640625" customWidth="1"/>
    <col min="2" max="2" width="18.83203125" customWidth="1"/>
    <col min="4" max="4" width="32" customWidth="1"/>
    <col min="5" max="5" width="22.83203125" customWidth="1"/>
    <col min="6" max="6" width="20.33203125" customWidth="1"/>
    <col min="7" max="7" width="20.1640625" customWidth="1"/>
  </cols>
  <sheetData>
    <row r="2" spans="1:8" x14ac:dyDescent="0.2">
      <c r="A2" t="s">
        <v>35</v>
      </c>
      <c r="B2" t="s">
        <v>240</v>
      </c>
      <c r="C2" t="s">
        <v>226</v>
      </c>
      <c r="D2" t="s">
        <v>227</v>
      </c>
      <c r="E2" t="s">
        <v>228</v>
      </c>
      <c r="F2" t="s">
        <v>229</v>
      </c>
      <c r="G2" t="s">
        <v>4</v>
      </c>
      <c r="H2" t="s">
        <v>230</v>
      </c>
    </row>
    <row r="3" spans="1:8" x14ac:dyDescent="0.2">
      <c r="A3" t="s">
        <v>220</v>
      </c>
      <c r="B3">
        <f>C3/$C$9 * 45000*0.2</f>
        <v>1179.3103448275863</v>
      </c>
      <c r="C3">
        <v>38</v>
      </c>
      <c r="D3">
        <v>3.4929559000000001</v>
      </c>
      <c r="E3">
        <v>32.024334347025302</v>
      </c>
      <c r="F3">
        <v>0.18022362535561801</v>
      </c>
      <c r="G3">
        <f>E3-D3</f>
        <v>28.531378447025304</v>
      </c>
      <c r="H3">
        <f>(B3^2)/(C3*(C3-1))*G3^2</f>
        <v>805223.43209080433</v>
      </c>
    </row>
    <row r="4" spans="1:8" x14ac:dyDescent="0.2">
      <c r="A4" t="s">
        <v>221</v>
      </c>
      <c r="B4">
        <f t="shared" ref="B4:B8" si="0">C4/$C$9 * 45000*0.2</f>
        <v>6889.6551724137935</v>
      </c>
      <c r="C4">
        <v>222</v>
      </c>
      <c r="D4">
        <v>3.4929559000000001</v>
      </c>
      <c r="E4">
        <v>30.82585657504</v>
      </c>
      <c r="F4">
        <v>0.17883184772875399</v>
      </c>
      <c r="G4">
        <f t="shared" ref="G4:G8" si="1">E4-D4</f>
        <v>27.332900675040001</v>
      </c>
      <c r="H4">
        <f t="shared" ref="H4:H7" si="2">(B4^2)/(C4*(C4-1))*G4^2</f>
        <v>722805.03673934995</v>
      </c>
    </row>
    <row r="5" spans="1:8" x14ac:dyDescent="0.2">
      <c r="A5" t="s">
        <v>222</v>
      </c>
      <c r="B5">
        <f t="shared" si="0"/>
        <v>558.62068965517244</v>
      </c>
      <c r="C5">
        <v>18</v>
      </c>
      <c r="D5">
        <v>3.4929559000000001</v>
      </c>
      <c r="E5">
        <v>34.1878512493996</v>
      </c>
      <c r="F5">
        <v>0.17446764705882301</v>
      </c>
      <c r="G5">
        <f t="shared" si="1"/>
        <v>30.694895349399602</v>
      </c>
      <c r="H5">
        <f t="shared" si="2"/>
        <v>960826.38563645876</v>
      </c>
    </row>
    <row r="6" spans="1:8" x14ac:dyDescent="0.2">
      <c r="A6" t="s">
        <v>223</v>
      </c>
      <c r="B6">
        <f t="shared" si="0"/>
        <v>124.13793103448278</v>
      </c>
      <c r="C6">
        <v>4</v>
      </c>
      <c r="D6">
        <v>3.4929559000000001</v>
      </c>
      <c r="E6">
        <v>54.944760936535097</v>
      </c>
      <c r="F6">
        <v>9.5696249999999997E-2</v>
      </c>
      <c r="G6">
        <f t="shared" si="1"/>
        <v>51.451805036535099</v>
      </c>
      <c r="H6">
        <f t="shared" si="2"/>
        <v>3399609.1567646004</v>
      </c>
    </row>
    <row r="7" spans="1:8" x14ac:dyDescent="0.2">
      <c r="A7" t="s">
        <v>224</v>
      </c>
      <c r="B7">
        <f t="shared" si="0"/>
        <v>124.13793103448278</v>
      </c>
      <c r="C7">
        <v>4</v>
      </c>
      <c r="D7">
        <v>3.4929559000000001</v>
      </c>
      <c r="E7">
        <v>42.938313176329302</v>
      </c>
      <c r="F7">
        <v>9.1608562500000199E-2</v>
      </c>
      <c r="G7">
        <f t="shared" si="1"/>
        <v>39.445357276329304</v>
      </c>
      <c r="H7">
        <f t="shared" si="2"/>
        <v>1998110.710475442</v>
      </c>
    </row>
    <row r="8" spans="1:8" x14ac:dyDescent="0.2">
      <c r="A8" t="s">
        <v>225</v>
      </c>
      <c r="B8">
        <f t="shared" si="0"/>
        <v>124.13793103448278</v>
      </c>
      <c r="C8">
        <v>4</v>
      </c>
      <c r="D8">
        <v>3.4929559000000001</v>
      </c>
      <c r="E8">
        <v>19.942913228816401</v>
      </c>
      <c r="F8">
        <v>2.1674249999999898E-2</v>
      </c>
      <c r="G8">
        <f t="shared" si="1"/>
        <v>16.449957328816403</v>
      </c>
      <c r="H8">
        <f>(B8^2)/(C8*(C8-1))*G8^2</f>
        <v>347502.00215157075</v>
      </c>
    </row>
    <row r="9" spans="1:8" x14ac:dyDescent="0.2">
      <c r="A9" s="2" t="s">
        <v>231</v>
      </c>
      <c r="B9" s="2">
        <f>SUM(B3:B8)</f>
        <v>8999.9999999999982</v>
      </c>
      <c r="C9" s="2">
        <f>SUM(C3:C8)</f>
        <v>290</v>
      </c>
      <c r="D9" s="2"/>
      <c r="E9" s="2"/>
      <c r="F9" s="2"/>
      <c r="G9" s="2"/>
      <c r="H9" s="2">
        <f>SUM(H3:H8)</f>
        <v>8234076.7238582261</v>
      </c>
    </row>
    <row r="11" spans="1:8" x14ac:dyDescent="0.2">
      <c r="D11" s="122" t="s">
        <v>232</v>
      </c>
      <c r="E11" s="22"/>
    </row>
    <row r="12" spans="1:8" x14ac:dyDescent="0.2">
      <c r="D12" s="22" t="s">
        <v>234</v>
      </c>
      <c r="E12" s="22">
        <f>H9/(B9^2)</f>
        <v>0.10165526819578061</v>
      </c>
    </row>
    <row r="13" spans="1:8" x14ac:dyDescent="0.2">
      <c r="D13" s="22" t="s">
        <v>241</v>
      </c>
      <c r="E13" s="22">
        <f>'Baseline Model Error'!B80^2 + 'Project Model Error'!B89^2</f>
        <v>0.17414834807845733</v>
      </c>
    </row>
    <row r="14" spans="1:8" x14ac:dyDescent="0.2">
      <c r="D14" s="22" t="s">
        <v>233</v>
      </c>
      <c r="E14" s="22">
        <f>SUM(E12:E13)</f>
        <v>0.27580361627423794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Net ERs</vt:lpstr>
      <vt:lpstr>Baseline Model Error</vt:lpstr>
      <vt:lpstr>Project Model Error</vt:lpstr>
      <vt:lpstr>Sampling &amp; Combined 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Bendre, Mihir Y</dc:creator>
  <cp:lastModifiedBy>Bendre, Mihir Y</cp:lastModifiedBy>
  <dcterms:created xsi:type="dcterms:W3CDTF">2025-09-18T14:51:48Z</dcterms:created>
  <dcterms:modified xsi:type="dcterms:W3CDTF">2025-10-02T17:16:14Z</dcterms:modified>
</cp:coreProperties>
</file>