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Code/RothC_Implementation_Axam/"/>
    </mc:Choice>
  </mc:AlternateContent>
  <xr:revisionPtr revIDLastSave="0" documentId="13_ncr:1_{83F038C1-3423-3F4A-B7CC-ACC99F8A7CD2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1" l="1"/>
  <c r="X10" i="1"/>
  <c r="X11" i="1"/>
  <c r="X12" i="1"/>
  <c r="X13" i="1"/>
  <c r="X14" i="1"/>
  <c r="X15" i="1"/>
  <c r="X16" i="1"/>
  <c r="X17" i="1"/>
  <c r="X18" i="1"/>
  <c r="X8" i="1"/>
  <c r="U9" i="1"/>
  <c r="U10" i="1"/>
  <c r="U11" i="1"/>
  <c r="U12" i="1"/>
  <c r="U13" i="1"/>
  <c r="U14" i="1"/>
  <c r="U15" i="1"/>
  <c r="U16" i="1"/>
  <c r="U17" i="1"/>
  <c r="U18" i="1"/>
  <c r="U8" i="1"/>
  <c r="S9" i="1"/>
  <c r="S10" i="1"/>
  <c r="S11" i="1"/>
  <c r="S12" i="1"/>
  <c r="S13" i="1"/>
  <c r="S14" i="1"/>
  <c r="S15" i="1"/>
  <c r="S16" i="1"/>
  <c r="S17" i="1"/>
  <c r="S18" i="1"/>
  <c r="S8" i="1"/>
  <c r="R9" i="1"/>
  <c r="V9" i="1" s="1"/>
  <c r="R10" i="1"/>
  <c r="V10" i="1" s="1"/>
  <c r="R11" i="1"/>
  <c r="V11" i="1" s="1"/>
  <c r="R12" i="1"/>
  <c r="V12" i="1" s="1"/>
  <c r="R13" i="1"/>
  <c r="V13" i="1" s="1"/>
  <c r="R14" i="1"/>
  <c r="V14" i="1" s="1"/>
  <c r="R15" i="1"/>
  <c r="V15" i="1" s="1"/>
  <c r="R16" i="1"/>
  <c r="V16" i="1" s="1"/>
  <c r="R17" i="1"/>
  <c r="V17" i="1" s="1"/>
  <c r="R18" i="1"/>
  <c r="V18" i="1" s="1"/>
  <c r="R8" i="1"/>
  <c r="V8" i="1" s="1"/>
  <c r="O8" i="1" l="1"/>
  <c r="O9" i="1"/>
  <c r="O10" i="1"/>
  <c r="O11" i="1"/>
  <c r="O12" i="1"/>
  <c r="O13" i="1"/>
  <c r="O14" i="1"/>
  <c r="O15" i="1"/>
  <c r="O16" i="1"/>
  <c r="O17" i="1"/>
  <c r="O18" i="1"/>
  <c r="O7" i="1"/>
  <c r="E13" i="4"/>
  <c r="E14" i="4" s="1"/>
  <c r="B89" i="3" a="1"/>
  <c r="B89" i="3" s="1"/>
  <c r="E12" i="4"/>
  <c r="F7" i="1"/>
  <c r="B2" i="1"/>
  <c r="G7" i="1" s="1"/>
  <c r="B4" i="4"/>
  <c r="B5" i="4"/>
  <c r="B6" i="4"/>
  <c r="B7" i="4"/>
  <c r="H7" i="4" s="1"/>
  <c r="B8" i="4"/>
  <c r="H8" i="4" s="1"/>
  <c r="B3" i="4"/>
  <c r="H3" i="4"/>
  <c r="G3" i="4"/>
  <c r="D18" i="1"/>
  <c r="D7" i="1"/>
  <c r="D8" i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D16" i="1"/>
  <c r="F16" i="1" s="1"/>
  <c r="D17" i="1"/>
  <c r="F17" i="1" s="1"/>
  <c r="D6" i="1"/>
  <c r="F6" i="1" s="1"/>
  <c r="A65" i="3"/>
  <c r="H4" i="4"/>
  <c r="H5" i="4"/>
  <c r="H6" i="4"/>
  <c r="G4" i="4"/>
  <c r="G5" i="4"/>
  <c r="G6" i="4"/>
  <c r="G7" i="4"/>
  <c r="G8" i="4"/>
  <c r="C9" i="4"/>
  <c r="B9" i="4"/>
  <c r="AK4" i="3"/>
  <c r="AJ4" i="3"/>
  <c r="AJ5" i="3"/>
  <c r="AK5" i="3" s="1"/>
  <c r="AM4" i="3"/>
  <c r="A59" i="2"/>
  <c r="F8" i="1"/>
  <c r="F15" i="1"/>
  <c r="F18" i="1"/>
  <c r="A42" i="3" a="1"/>
  <c r="A42" i="3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B19" i="3"/>
  <c r="X19" i="3"/>
  <c r="W19" i="3"/>
  <c r="T19" i="3"/>
  <c r="AG19" i="3" s="1"/>
  <c r="AH19" i="3" s="1"/>
  <c r="P19" i="3"/>
  <c r="AJ19" i="3" s="1"/>
  <c r="O19" i="3"/>
  <c r="AB18" i="3"/>
  <c r="T18" i="3"/>
  <c r="O18" i="3"/>
  <c r="P18" i="3" s="1"/>
  <c r="T17" i="3"/>
  <c r="AG17" i="3" s="1"/>
  <c r="AH17" i="3" s="1"/>
  <c r="P17" i="3"/>
  <c r="AJ17" i="3" s="1"/>
  <c r="S16" i="3"/>
  <c r="T16" i="3" s="1"/>
  <c r="O16" i="3"/>
  <c r="P16" i="3" s="1"/>
  <c r="AJ16" i="3" s="1"/>
  <c r="T15" i="3"/>
  <c r="R15" i="3"/>
  <c r="O15" i="3"/>
  <c r="P15" i="3" s="1"/>
  <c r="AJ15" i="3" s="1"/>
  <c r="AJ14" i="3"/>
  <c r="AK14" i="3" s="1"/>
  <c r="T14" i="3"/>
  <c r="AG14" i="3" s="1"/>
  <c r="AH14" i="3" s="1"/>
  <c r="P14" i="3"/>
  <c r="T13" i="3"/>
  <c r="AG13" i="3" s="1"/>
  <c r="AH13" i="3" s="1"/>
  <c r="P13" i="3"/>
  <c r="AJ13" i="3" s="1"/>
  <c r="AL12" i="3"/>
  <c r="AJ12" i="3"/>
  <c r="AK12" i="3" s="1"/>
  <c r="AG12" i="3"/>
  <c r="AH12" i="3" s="1"/>
  <c r="T11" i="3"/>
  <c r="AG11" i="3" s="1"/>
  <c r="AH11" i="3" s="1"/>
  <c r="P11" i="3"/>
  <c r="AJ11" i="3" s="1"/>
  <c r="S10" i="3"/>
  <c r="T10" i="3" s="1"/>
  <c r="O10" i="3"/>
  <c r="P10" i="3" s="1"/>
  <c r="AJ10" i="3" s="1"/>
  <c r="AK9" i="3"/>
  <c r="AJ9" i="3"/>
  <c r="T9" i="3"/>
  <c r="AG9" i="3" s="1"/>
  <c r="AH9" i="3" s="1"/>
  <c r="P9" i="3"/>
  <c r="S8" i="3"/>
  <c r="T8" i="3" s="1"/>
  <c r="O8" i="3"/>
  <c r="P8" i="3" s="1"/>
  <c r="AJ8" i="3" s="1"/>
  <c r="AL7" i="3"/>
  <c r="AK7" i="3"/>
  <c r="AJ7" i="3"/>
  <c r="AG7" i="3"/>
  <c r="AH7" i="3" s="1"/>
  <c r="S6" i="3"/>
  <c r="T6" i="3" s="1"/>
  <c r="O6" i="3"/>
  <c r="P6" i="3" s="1"/>
  <c r="AJ6" i="3" s="1"/>
  <c r="T5" i="3"/>
  <c r="AG5" i="3" s="1"/>
  <c r="AH5" i="3" s="1"/>
  <c r="P5" i="3"/>
  <c r="T4" i="3"/>
  <c r="AG4" i="3" s="1"/>
  <c r="AH4" i="3" s="1"/>
  <c r="P4" i="3"/>
  <c r="E31" i="2"/>
  <c r="F31" i="2" s="1"/>
  <c r="F30" i="2"/>
  <c r="E30" i="2"/>
  <c r="E29" i="2"/>
  <c r="F29" i="2" s="1"/>
  <c r="E28" i="2"/>
  <c r="F28" i="2" s="1"/>
  <c r="E27" i="2"/>
  <c r="F27" i="2" s="1"/>
  <c r="F26" i="2"/>
  <c r="E26" i="2"/>
  <c r="E25" i="2"/>
  <c r="F25" i="2" s="1"/>
  <c r="E24" i="2"/>
  <c r="F24" i="2" s="1"/>
  <c r="E23" i="2"/>
  <c r="F23" i="2" s="1"/>
  <c r="F22" i="2"/>
  <c r="E22" i="2"/>
  <c r="E21" i="2"/>
  <c r="F21" i="2" s="1"/>
  <c r="S16" i="2"/>
  <c r="T16" i="2" s="1"/>
  <c r="O16" i="2"/>
  <c r="P16" i="2" s="1"/>
  <c r="AJ16" i="2" s="1"/>
  <c r="AK16" i="2" s="1"/>
  <c r="T15" i="2"/>
  <c r="AG15" i="2" s="1"/>
  <c r="AH15" i="2" s="1"/>
  <c r="P15" i="2"/>
  <c r="AJ15" i="2" s="1"/>
  <c r="AJ14" i="2"/>
  <c r="T14" i="2"/>
  <c r="AG14" i="2" s="1"/>
  <c r="AH14" i="2" s="1"/>
  <c r="P14" i="2"/>
  <c r="AJ13" i="2"/>
  <c r="AG13" i="2"/>
  <c r="AH13" i="2" s="1"/>
  <c r="T13" i="2"/>
  <c r="P13" i="2"/>
  <c r="AJ12" i="2"/>
  <c r="AK12" i="2" s="1"/>
  <c r="AH12" i="2"/>
  <c r="AG12" i="2"/>
  <c r="T12" i="2"/>
  <c r="P12" i="2"/>
  <c r="AJ11" i="2"/>
  <c r="AH11" i="2"/>
  <c r="AG11" i="2"/>
  <c r="S10" i="2"/>
  <c r="T10" i="2" s="1"/>
  <c r="O10" i="2"/>
  <c r="P10" i="2" s="1"/>
  <c r="AJ10" i="2" s="1"/>
  <c r="T9" i="2"/>
  <c r="AG9" i="2" s="1"/>
  <c r="AH9" i="2" s="1"/>
  <c r="P9" i="2"/>
  <c r="AJ9" i="2" s="1"/>
  <c r="AK9" i="2" s="1"/>
  <c r="S8" i="2"/>
  <c r="T8" i="2" s="1"/>
  <c r="AG8" i="2" s="1"/>
  <c r="AH8" i="2" s="1"/>
  <c r="P8" i="2"/>
  <c r="AJ8" i="2" s="1"/>
  <c r="O8" i="2"/>
  <c r="AJ7" i="2"/>
  <c r="AG7" i="2"/>
  <c r="AH7" i="2" s="1"/>
  <c r="T7" i="2"/>
  <c r="P7" i="2"/>
  <c r="AJ6" i="2"/>
  <c r="AK6" i="2" s="1"/>
  <c r="AH6" i="2"/>
  <c r="AG6" i="2"/>
  <c r="T6" i="2"/>
  <c r="P6" i="2"/>
  <c r="AJ5" i="2"/>
  <c r="T5" i="2"/>
  <c r="AG5" i="2" s="1"/>
  <c r="AH5" i="2" s="1"/>
  <c r="P5" i="2"/>
  <c r="AK4" i="2"/>
  <c r="S4" i="2"/>
  <c r="T4" i="2" s="1"/>
  <c r="AG4" i="2" s="1"/>
  <c r="AH4" i="2" s="1"/>
  <c r="O4" i="2"/>
  <c r="P4" i="2" s="1"/>
  <c r="AJ4" i="2" s="1"/>
  <c r="W16" i="1" l="1"/>
  <c r="W8" i="1"/>
  <c r="G8" i="1"/>
  <c r="H9" i="4"/>
  <c r="G12" i="1"/>
  <c r="W12" i="1" s="1"/>
  <c r="G11" i="1"/>
  <c r="W11" i="1" s="1"/>
  <c r="G10" i="1"/>
  <c r="W10" i="1" s="1"/>
  <c r="G16" i="1"/>
  <c r="G17" i="1"/>
  <c r="W17" i="1" s="1"/>
  <c r="G15" i="1"/>
  <c r="W15" i="1" s="1"/>
  <c r="G14" i="1"/>
  <c r="W14" i="1" s="1"/>
  <c r="G9" i="1"/>
  <c r="W9" i="1" s="1"/>
  <c r="G13" i="1"/>
  <c r="W13" i="1" s="1"/>
  <c r="G18" i="1"/>
  <c r="W18" i="1" s="1"/>
  <c r="AL4" i="3"/>
  <c r="AG6" i="3"/>
  <c r="AH6" i="3" s="1"/>
  <c r="AL9" i="3"/>
  <c r="AM9" i="3"/>
  <c r="AK19" i="3"/>
  <c r="AM19" i="3" s="1"/>
  <c r="AL19" i="3"/>
  <c r="AK10" i="3"/>
  <c r="AG10" i="3"/>
  <c r="AH10" i="3" s="1"/>
  <c r="AL17" i="3"/>
  <c r="AK17" i="3"/>
  <c r="AK15" i="3"/>
  <c r="AK16" i="3"/>
  <c r="AL16" i="3"/>
  <c r="AG16" i="3"/>
  <c r="AH16" i="3" s="1"/>
  <c r="AL5" i="3"/>
  <c r="AL8" i="3"/>
  <c r="AK8" i="3"/>
  <c r="AL11" i="3"/>
  <c r="AK11" i="3"/>
  <c r="AK6" i="3"/>
  <c r="AL6" i="3"/>
  <c r="AM12" i="3"/>
  <c r="AG15" i="3"/>
  <c r="AH15" i="3" s="1"/>
  <c r="AL13" i="3"/>
  <c r="AK13" i="3"/>
  <c r="AG8" i="3"/>
  <c r="AH8" i="3" s="1"/>
  <c r="AM14" i="3"/>
  <c r="AG18" i="3"/>
  <c r="AH18" i="3" s="1"/>
  <c r="AJ18" i="3"/>
  <c r="AL14" i="3"/>
  <c r="AM7" i="3"/>
  <c r="AM4" i="2"/>
  <c r="A36" i="2" a="1"/>
  <c r="A36" i="2" s="1"/>
  <c r="AM6" i="2"/>
  <c r="AM9" i="2"/>
  <c r="AL11" i="2"/>
  <c r="AK11" i="2"/>
  <c r="AL13" i="2"/>
  <c r="AK10" i="2"/>
  <c r="AL10" i="2"/>
  <c r="AL14" i="2"/>
  <c r="AG16" i="2"/>
  <c r="AH16" i="2" s="1"/>
  <c r="AM16" i="2" s="1"/>
  <c r="AL5" i="2"/>
  <c r="AK5" i="2"/>
  <c r="AL9" i="2"/>
  <c r="AL7" i="2"/>
  <c r="AG10" i="2"/>
  <c r="AH10" i="2" s="1"/>
  <c r="AL4" i="2"/>
  <c r="AK8" i="2"/>
  <c r="AL8" i="2"/>
  <c r="AM12" i="2"/>
  <c r="AL15" i="2"/>
  <c r="AK15" i="2"/>
  <c r="AL6" i="2"/>
  <c r="AK7" i="2"/>
  <c r="AL12" i="2"/>
  <c r="AK13" i="2"/>
  <c r="AK14" i="2"/>
  <c r="B49" i="3" l="1"/>
  <c r="C49" i="3" s="1"/>
  <c r="AM6" i="3"/>
  <c r="AM8" i="3"/>
  <c r="AM13" i="3"/>
  <c r="AM11" i="3"/>
  <c r="AL10" i="3"/>
  <c r="AL18" i="3"/>
  <c r="AK18" i="3"/>
  <c r="AM10" i="3"/>
  <c r="AM16" i="3"/>
  <c r="AM15" i="3"/>
  <c r="B56" i="3"/>
  <c r="C56" i="3" s="1"/>
  <c r="B54" i="3"/>
  <c r="C54" i="3" s="1"/>
  <c r="AM5" i="3"/>
  <c r="AL15" i="3"/>
  <c r="B51" i="3"/>
  <c r="C51" i="3" s="1"/>
  <c r="AM17" i="3"/>
  <c r="B52" i="2"/>
  <c r="C52" i="2" s="1"/>
  <c r="AM14" i="2"/>
  <c r="AM5" i="2"/>
  <c r="AM11" i="2"/>
  <c r="AM7" i="2"/>
  <c r="B42" i="2"/>
  <c r="AM8" i="2"/>
  <c r="B46" i="2"/>
  <c r="C46" i="2" s="1"/>
  <c r="AN12" i="2"/>
  <c r="B49" i="2"/>
  <c r="C49" i="2" s="1"/>
  <c r="AM10" i="2"/>
  <c r="AM13" i="2"/>
  <c r="AL16" i="2"/>
  <c r="AM15" i="2"/>
  <c r="B50" i="3" l="1"/>
  <c r="C50" i="3" s="1"/>
  <c r="B48" i="3"/>
  <c r="C48" i="3" s="1"/>
  <c r="B59" i="3"/>
  <c r="C59" i="3" s="1"/>
  <c r="AN15" i="3"/>
  <c r="B57" i="3"/>
  <c r="C57" i="3" s="1"/>
  <c r="B55" i="3"/>
  <c r="C55" i="3" s="1"/>
  <c r="B52" i="3"/>
  <c r="C52" i="3" s="1"/>
  <c r="B53" i="3"/>
  <c r="C53" i="3" s="1"/>
  <c r="AN11" i="3"/>
  <c r="B47" i="3"/>
  <c r="C47" i="3" s="1"/>
  <c r="B58" i="3"/>
  <c r="C58" i="3" s="1"/>
  <c r="AM18" i="3"/>
  <c r="AN10" i="3" s="1"/>
  <c r="B46" i="3"/>
  <c r="C46" i="3" s="1"/>
  <c r="B43" i="2"/>
  <c r="C43" i="2" s="1"/>
  <c r="AN5" i="2"/>
  <c r="AN13" i="2"/>
  <c r="B50" i="2"/>
  <c r="C50" i="2" s="1"/>
  <c r="AN8" i="2"/>
  <c r="B45" i="2"/>
  <c r="C45" i="2" s="1"/>
  <c r="AN11" i="2"/>
  <c r="B48" i="2"/>
  <c r="C48" i="2" s="1"/>
  <c r="B51" i="2"/>
  <c r="C51" i="2" s="1"/>
  <c r="AN14" i="2"/>
  <c r="C42" i="2"/>
  <c r="AN6" i="2"/>
  <c r="AN9" i="2"/>
  <c r="B47" i="2"/>
  <c r="C47" i="2" s="1"/>
  <c r="AN10" i="2"/>
  <c r="AN7" i="2"/>
  <c r="B44" i="2"/>
  <c r="C44" i="2" s="1"/>
  <c r="AN15" i="2"/>
  <c r="AN4" i="2"/>
  <c r="AN16" i="2"/>
  <c r="AN18" i="3" l="1"/>
  <c r="B60" i="3"/>
  <c r="C60" i="3" s="1"/>
  <c r="AN14" i="3"/>
  <c r="AN9" i="3"/>
  <c r="AN17" i="3"/>
  <c r="AN19" i="3"/>
  <c r="AN6" i="3"/>
  <c r="AN13" i="3"/>
  <c r="AN8" i="3"/>
  <c r="AN16" i="3"/>
  <c r="AN4" i="3"/>
  <c r="AN12" i="3"/>
  <c r="AN5" i="3"/>
  <c r="AN7" i="3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B80" i="2" a="1"/>
  <c r="B80" i="2" s="1"/>
  <c r="B53" i="2"/>
  <c r="C53" i="2" s="1"/>
  <c r="C82" i="3" l="1"/>
  <c r="C80" i="3"/>
  <c r="C78" i="3"/>
  <c r="C76" i="3"/>
  <c r="C74" i="3"/>
  <c r="C72" i="3"/>
  <c r="C70" i="3"/>
  <c r="B80" i="3"/>
  <c r="B78" i="3"/>
  <c r="B76" i="3"/>
  <c r="B74" i="3"/>
  <c r="B72" i="3"/>
  <c r="B70" i="3"/>
  <c r="B68" i="3"/>
  <c r="B71" i="3"/>
  <c r="C68" i="3"/>
  <c r="B82" i="3"/>
  <c r="B79" i="3"/>
  <c r="B81" i="3"/>
  <c r="B75" i="3"/>
  <c r="B73" i="3"/>
  <c r="B69" i="3"/>
  <c r="C81" i="3"/>
  <c r="C79" i="3"/>
  <c r="C77" i="3"/>
  <c r="C75" i="3"/>
  <c r="C73" i="3"/>
  <c r="C71" i="3"/>
  <c r="C69" i="3"/>
  <c r="B77" i="3"/>
  <c r="D71" i="2"/>
  <c r="E71" i="2"/>
  <c r="D74" i="2"/>
  <c r="E74" i="2"/>
  <c r="E73" i="2"/>
  <c r="D73" i="2"/>
  <c r="E65" i="2"/>
  <c r="D65" i="2"/>
  <c r="E68" i="2"/>
  <c r="D68" i="2"/>
  <c r="E64" i="2"/>
  <c r="D64" i="2"/>
  <c r="D63" i="2"/>
  <c r="E63" i="2"/>
  <c r="E67" i="2"/>
  <c r="D67" i="2"/>
  <c r="E70" i="2"/>
  <c r="D70" i="2"/>
  <c r="E62" i="2"/>
  <c r="D62" i="2"/>
  <c r="E66" i="2"/>
  <c r="D66" i="2"/>
  <c r="E69" i="2"/>
  <c r="D69" i="2"/>
  <c r="D72" i="2"/>
  <c r="E72" i="2"/>
  <c r="D71" i="3" l="1"/>
  <c r="E71" i="3"/>
  <c r="E68" i="3"/>
  <c r="D68" i="3"/>
  <c r="E70" i="3"/>
  <c r="D70" i="3"/>
  <c r="E81" i="3"/>
  <c r="D81" i="3"/>
  <c r="D74" i="3"/>
  <c r="E74" i="3"/>
  <c r="D69" i="3"/>
  <c r="E69" i="3"/>
  <c r="E79" i="3"/>
  <c r="D79" i="3"/>
  <c r="D76" i="3"/>
  <c r="E76" i="3"/>
  <c r="E80" i="3"/>
  <c r="D80" i="3"/>
  <c r="E77" i="3"/>
  <c r="D77" i="3"/>
  <c r="D73" i="3"/>
  <c r="E73" i="3"/>
  <c r="E75" i="3"/>
  <c r="D75" i="3"/>
  <c r="D72" i="3"/>
  <c r="E72" i="3"/>
  <c r="E82" i="3" a="1"/>
  <c r="E82" i="3" s="1"/>
  <c r="D82" i="3" a="1"/>
  <c r="D82" i="3" s="1"/>
  <c r="D78" i="3"/>
  <c r="E78" i="3"/>
  <c r="D76" i="2"/>
  <c r="D75" i="2"/>
  <c r="E76" i="2"/>
  <c r="E75" i="2"/>
  <c r="E84" i="3" l="1"/>
  <c r="E83" i="3"/>
  <c r="D84" i="3"/>
  <c r="D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<sst xmlns="http://schemas.openxmlformats.org/spreadsheetml/2006/main" count="681" uniqueCount="258">
  <si>
    <t>Year</t>
  </si>
  <si>
    <t>SOC_t_C_ha</t>
  </si>
  <si>
    <t>Project</t>
  </si>
  <si>
    <t>Baseline</t>
  </si>
  <si>
    <t>Difference</t>
  </si>
  <si>
    <t>1 (initialization)</t>
  </si>
  <si>
    <t>Axam 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</si>
  <si>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</si>
  <si>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</si>
  <si>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</si>
  <si>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</si>
  <si>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</si>
  <si>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</si>
  <si>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</si>
  <si>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</si>
  <si>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</si>
  <si>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</si>
  <si>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</si>
  <si>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</si>
  <si>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</si>
  <si>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</si>
  <si>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</si>
  <si>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</si>
  <si>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</si>
  <si>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</si>
  <si>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</si>
  <si>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</si>
  <si>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</si>
  <si>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</si>
  <si>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</si>
  <si>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</si>
  <si>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</si>
  <si>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</si>
  <si>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</si>
  <si>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</si>
  <si>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</si>
  <si>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</si>
  <si>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</si>
  <si>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</si>
  <si>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</si>
  <si>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</si>
  <si>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</si>
  <si>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</si>
  <si>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</si>
  <si>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</si>
  <si>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</si>
  <si>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</si>
  <si>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</si>
  <si>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</si>
  <si>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</si>
  <si>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</si>
  <si>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</si>
  <si>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</si>
  <si>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</si>
  <si>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</si>
  <si>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</si>
  <si>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</si>
  <si>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</si>
  <si>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</si>
  <si>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</si>
  <si>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</si>
  <si>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</si>
  <si>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</si>
  <si>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</si>
  <si>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</si>
  <si>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</si>
  <si>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</si>
  <si>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</si>
  <si>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</si>
  <si>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</si>
  <si>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</si>
  <si>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</si>
  <si>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</si>
  <si>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</si>
  <si>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</si>
  <si>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</si>
  <si>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</si>
  <si>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</si>
  <si>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</si>
  <si>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</si>
  <si>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</si>
  <si>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</si>
  <si>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</si>
  <si>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</si>
  <si>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</si>
  <si>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</si>
  <si>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</si>
  <si>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</si>
  <si>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</si>
  <si>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</si>
  <si>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</si>
  <si>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</si>
  <si>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</si>
  <si>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</si>
  <si>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</si>
  <si>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</si>
  <si>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</si>
  <si>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</si>
  <si>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</si>
  <si>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</si>
  <si>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</si>
  <si>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</si>
  <si>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</si>
  <si>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</si>
  <si>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</si>
  <si>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</si>
  <si>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</si>
  <si>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</si>
  <si>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</si>
  <si>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</si>
  <si>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</si>
  <si>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</si>
  <si>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</si>
  <si>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</si>
  <si>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</si>
  <si>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</si>
  <si>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</si>
  <si>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</si>
  <si>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</si>
  <si>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</si>
  <si>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</si>
  <si>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</si>
  <si>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</si>
  <si>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</si>
  <si>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</si>
  <si>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</si>
  <si>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</si>
  <si>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</si>
  <si>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</si>
  <si>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</si>
  <si>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</si>
  <si>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</si>
  <si>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</si>
  <si>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</si>
  <si>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</si>
  <si>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</si>
  <si>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</si>
  <si>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</si>
  <si>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</si>
  <si>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</si>
  <si>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</si>
  <si>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</si>
  <si>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</si>
  <si>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</si>
  <si>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</si>
  <si>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</si>
  <si>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</si>
  <si>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</si>
  <si>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</si>
  <si>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</si>
  <si>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</si>
  <si>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</si>
  <si>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</si>
  <si>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</si>
  <si>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</si>
  <si>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</si>
  <si>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</si>
  <si>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</si>
  <si>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</si>
  <si>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</si>
  <si>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</si>
  <si>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</si>
  <si>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</si>
  <si>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</si>
  <si>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</si>
  <si>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</si>
  <si>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</si>
  <si>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</si>
  <si>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</si>
  <si>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</si>
  <si>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</si>
  <si>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</si>
  <si>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</si>
  <si>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</si>
  <si>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</si>
  <si>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</si>
  <si>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</si>
  <si>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</si>
  <si>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</si>
  <si>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</si>
  <si>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</si>
  <si>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</si>
  <si>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</si>
  <si>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</si>
  <si>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</si>
  <si>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</si>
  <si>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</si>
  <si>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</si>
  <si>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</si>
  <si>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</si>
  <si>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</si>
  <si>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</si>
  <si>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</si>
  <si>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</si>
  <si>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</si>
  <si>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</si>
  <si>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</si>
  <si>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</si>
  <si>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</si>
  <si>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</si>
  <si>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</si>
  <si>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</si>
  <si>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</si>
  <si>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</si>
  <si>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</si>
  <si>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</si>
  <si>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</si>
  <si>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</si>
  <si>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</si>
  <si>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</si>
  <si>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</si>
  <si>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</si>
  <si>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</si>
  <si>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</si>
  <si>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</si>
  <si>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</si>
  <si>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</si>
  <si>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</si>
  <si>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</si>
  <si>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</si>
  <si>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Caltic Vertisols</t>
  </si>
  <si>
    <t>Dystric Leptosol</t>
  </si>
  <si>
    <t>Eutric Fluvisol</t>
  </si>
  <si>
    <t>Ferric Lixosols</t>
  </si>
  <si>
    <t>Cambic Arenosols</t>
  </si>
  <si>
    <t>Dystric Plinthosols</t>
  </si>
  <si>
    <t>Samples</t>
  </si>
  <si>
    <t>Prediction (RothC Baseline 2025)</t>
  </si>
  <si>
    <t>Field-measurement (2025)</t>
  </si>
  <si>
    <t>Variance (inherent)</t>
  </si>
  <si>
    <t>Variance (calculated)</t>
  </si>
  <si>
    <t>Totals</t>
  </si>
  <si>
    <t>Baseline Scenario (after 2025 field-sampling)</t>
  </si>
  <si>
    <t>Total Error (tC/ha/yr)^2</t>
  </si>
  <si>
    <t>Baseline Sampling Error (tC/ha/yr)^2</t>
  </si>
  <si>
    <t>Units ----&gt;</t>
  </si>
  <si>
    <t>tCO2e</t>
  </si>
  <si>
    <t>Est Error</t>
  </si>
  <si>
    <t>Est ERs</t>
  </si>
  <si>
    <t>Representative Area</t>
  </si>
  <si>
    <t>Model Error (tC/ha/yr)^2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</si>
  <si>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</si>
  <si>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</si>
  <si>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</si>
  <si>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</si>
  <si>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</si>
  <si>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</si>
  <si>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</si>
  <si>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>QA1</t>
  </si>
  <si>
    <t>QA3</t>
  </si>
  <si>
    <r>
      <t>Estimated baseline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</si>
  <si>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project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</si>
  <si>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leakage emissions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</si>
  <si>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reduction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</si>
  <si>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removal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</si>
  <si>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r>
      <t>Estimated total VCUs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</si>
  <si>
    <t xml:space="preserve">Vintage period </t>
  </si>
  <si>
    <r>
      <t>Estimated buffer pool allocation (tCO</t>
    </r>
    <r>
      <rPr>
        <b/>
        <vertAlign val="subscript"/>
        <sz val="9.5"/>
        <color rgb="FFFFFFFF"/>
        <rFont val="Franklin Gothic Book"/>
        <family val="2"/>
      </rPr>
      <t>2</t>
    </r>
    <r>
      <rPr>
        <b/>
        <sz val="9.5"/>
        <color rgb="FFFFFFFF"/>
        <rFont val="Franklin Gothic Book"/>
        <family val="2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</si>
</sst>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  <font>
      <b/>
      <sz val="9.5"/>
      <color rgb="FFFFFFFF"/>
      <name val="Franklin Gothic Book"/>
      <family val="2"/>
    </font>
    <font>
      <b/>
      <vertAlign val="subscript"/>
      <sz val="9.5"/>
      <color rgb="FFFFFFFF"/>
      <name val="Franklin Gothic Book"/>
      <family val="2"/>
    </font>
    <font>
      <sz val="9.5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2B39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/>
    <xf numFmtId="3" fontId="0" fillId="0" borderId="0" xfId="0" applyNumberForma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 shrinkToFit="1"/>
    </xf>
    <xf numFmtId="0" fontId="27" fillId="2" borderId="11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 wrapText="1"/>
    </xf>
    <xf numFmtId="0" fontId="29" fillId="0" borderId="0" xfId="0" applyFont="1"/>
    <xf numFmtId="0" fontId="27" fillId="2" borderId="12" xfId="0" applyFont="1" applyFill="1" applyBorder="1" applyAlignment="1">
      <alignment vertical="center" wrapTex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X18"/>
  <sheetViews>
    <sheetView tabSelected="1" topLeftCell="O1" zoomScale="140" workbookViewId="0">
      <selection activeCell="V2" sqref="V2"/>
    </sheetView>
  </sheetViews>
  <sheetFormatPr baseColWidth="10" defaultRowHeight="16" x14ac:dyDescent="0.2"/>
  <cols>
    <col min="1" max="1" width="17.5" customWidth="1"/>
    <col min="4" max="4" width="13" bestFit="1" customWidth="1"/>
    <col min="5" max="5" width="12.1640625" bestFit="1" customWidth="1"/>
    <col min="6" max="6" width="13.33203125" bestFit="1" customWidth="1"/>
    <col min="8" max="8" width="13" bestFit="1" customWidth="1"/>
    <col min="9" max="9" width="33.33203125" customWidth="1"/>
    <col min="10" max="10" width="35.33203125" customWidth="1"/>
    <col min="11" max="11" width="24" customWidth="1"/>
    <col min="12" max="12" width="21.1640625" customWidth="1"/>
    <col min="13" max="13" width="25.1640625" customWidth="1"/>
    <col min="14" max="14" width="27.1640625" customWidth="1"/>
    <col min="15" max="15" width="20.83203125" customWidth="1"/>
    <col min="16" max="16" width="11.5" bestFit="1" customWidth="1"/>
    <col min="18" max="18" width="11.5" bestFit="1" customWidth="1"/>
    <col min="20" max="20" width="12.33203125" bestFit="1" customWidth="1"/>
    <col min="21" max="21" width="12.33203125" customWidth="1"/>
    <col min="23" max="24" width="11.83203125" bestFit="1" customWidth="1"/>
  </cols>
  <sheetData>
    <row r="2" spans="1:24" x14ac:dyDescent="0.2">
      <c r="A2" t="s">
        <v>6</v>
      </c>
      <c r="B2" s="4">
        <f>45000*0.2</f>
        <v>9000</v>
      </c>
    </row>
    <row r="3" spans="1:24" x14ac:dyDescent="0.2">
      <c r="F3" s="124" t="s">
        <v>248</v>
      </c>
      <c r="G3" s="124"/>
      <c r="I3" s="124" t="s">
        <v>249</v>
      </c>
      <c r="J3" s="124"/>
      <c r="K3" s="124"/>
      <c r="L3" s="124"/>
      <c r="M3" s="124"/>
      <c r="N3" s="124"/>
      <c r="O3" s="124"/>
    </row>
    <row r="4" spans="1:24" x14ac:dyDescent="0.2">
      <c r="A4" s="1" t="s">
        <v>0</v>
      </c>
      <c r="B4" s="2" t="s">
        <v>2</v>
      </c>
      <c r="C4" s="2" t="s">
        <v>3</v>
      </c>
      <c r="D4" s="2" t="s">
        <v>4</v>
      </c>
      <c r="F4" s="2" t="s">
        <v>238</v>
      </c>
      <c r="G4" s="2" t="s">
        <v>237</v>
      </c>
      <c r="I4" s="2" t="s">
        <v>241</v>
      </c>
      <c r="J4" s="2" t="s">
        <v>242</v>
      </c>
      <c r="K4" s="2" t="s">
        <v>243</v>
      </c>
      <c r="L4" s="2" t="s">
        <v>244</v>
      </c>
      <c r="M4" s="2" t="s">
        <v>245</v>
      </c>
      <c r="N4" s="2" t="s">
        <v>246</v>
      </c>
      <c r="O4" s="2" t="s">
        <v>247</v>
      </c>
      <c r="Q4" s="2"/>
      <c r="T4" s="2"/>
      <c r="U4" s="2"/>
    </row>
    <row r="5" spans="1:24" ht="17" thickBot="1" x14ac:dyDescent="0.25">
      <c r="A5" t="s">
        <v>235</v>
      </c>
      <c r="B5" s="1" t="s">
        <v>1</v>
      </c>
      <c r="C5" s="1" t="s">
        <v>1</v>
      </c>
      <c r="D5" s="1" t="s">
        <v>1</v>
      </c>
      <c r="F5" s="1" t="s">
        <v>236</v>
      </c>
      <c r="G5" s="1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</row>
    <row r="6" spans="1:24" ht="61" thickBot="1" x14ac:dyDescent="0.25">
      <c r="A6" s="1" t="s">
        <v>5</v>
      </c>
      <c r="B6" s="1">
        <v>11.5275376</v>
      </c>
      <c r="C6" s="1">
        <v>3.56052927</v>
      </c>
      <c r="D6">
        <f t="shared" ref="D6:D18" si="0">(B6 -C6)</f>
        <v>7.9670083300000005</v>
      </c>
      <c r="F6" s="3">
        <f t="shared" ref="F6:F18" si="1">D6*$B$2*44/12</f>
        <v>262911.27489</v>
      </c>
      <c r="Q6" s="128" t="s">
        <v>256</v>
      </c>
      <c r="R6" s="126" t="s">
        <v>250</v>
      </c>
      <c r="S6" s="126" t="s">
        <v>251</v>
      </c>
      <c r="T6" s="126" t="s">
        <v>252</v>
      </c>
      <c r="U6" s="129" t="s">
        <v>257</v>
      </c>
      <c r="V6" s="126" t="s">
        <v>253</v>
      </c>
      <c r="W6" s="126" t="s">
        <v>254</v>
      </c>
      <c r="X6" s="127" t="s">
        <v>255</v>
      </c>
    </row>
    <row r="7" spans="1:24" x14ac:dyDescent="0.2">
      <c r="A7" s="1">
        <v>2024</v>
      </c>
      <c r="B7" s="1">
        <v>11.1937988</v>
      </c>
      <c r="C7" s="1">
        <v>3.5159391200000001</v>
      </c>
      <c r="D7">
        <f t="shared" si="0"/>
        <v>7.6778596799999992</v>
      </c>
      <c r="F7" s="3">
        <f t="shared" si="1"/>
        <v>253369.36943999995</v>
      </c>
      <c r="G7">
        <f>SQRT('Sampling &amp; Combined Error'!$E$14)*$B$2*44/12</f>
        <v>17330.612745158352</v>
      </c>
      <c r="I7">
        <v>107.49299999999999</v>
      </c>
      <c r="J7">
        <v>187.74719999999999</v>
      </c>
      <c r="K7">
        <v>1554.49771021999</v>
      </c>
      <c r="L7">
        <v>1107.5355199999999</v>
      </c>
      <c r="M7">
        <v>6085.8626000000004</v>
      </c>
      <c r="N7">
        <v>3042.9313000000002</v>
      </c>
      <c r="O7">
        <f>(N7+L7)-(I7+J7+K7+M7)</f>
        <v>-3785.133690219991</v>
      </c>
    </row>
    <row r="8" spans="1:24" x14ac:dyDescent="0.2">
      <c r="A8" s="1">
        <v>2025</v>
      </c>
      <c r="B8" s="1">
        <v>10.944057600000001</v>
      </c>
      <c r="C8" s="1">
        <v>3.4929559000000001</v>
      </c>
      <c r="D8">
        <f t="shared" si="0"/>
        <v>7.4511017000000006</v>
      </c>
      <c r="F8" s="3">
        <f t="shared" si="1"/>
        <v>245886.3561</v>
      </c>
      <c r="G8">
        <f>SQRT('Sampling &amp; Combined Error'!$E$14)*$B$2*44/12</f>
        <v>17330.612745158352</v>
      </c>
      <c r="I8">
        <v>107.49299999999999</v>
      </c>
      <c r="J8">
        <v>187.74719999999999</v>
      </c>
      <c r="K8">
        <v>1554.49771021999</v>
      </c>
      <c r="L8">
        <v>1107.5355199999999</v>
      </c>
      <c r="M8">
        <v>6085.8626000000004</v>
      </c>
      <c r="N8">
        <v>3042.9313000000002</v>
      </c>
      <c r="O8">
        <f t="shared" ref="O8:O18" si="2">(N8+L8)-(I8+J8+K8+M8)</f>
        <v>-3785.133690219991</v>
      </c>
      <c r="Q8" s="1">
        <v>2025</v>
      </c>
      <c r="R8">
        <f>SUM(I8,J8,K8,M8)</f>
        <v>7935.6005102199906</v>
      </c>
      <c r="S8">
        <f>SUM(L8,N8)</f>
        <v>4150.4668199999996</v>
      </c>
      <c r="T8">
        <v>0</v>
      </c>
      <c r="U8" s="123">
        <f>(W8+V8)*0.175</f>
        <v>40659.653482885784</v>
      </c>
      <c r="V8">
        <f>R8-S8</f>
        <v>3785.133690219991</v>
      </c>
      <c r="W8" s="123">
        <f>F8-G8</f>
        <v>228555.74335484166</v>
      </c>
      <c r="X8" s="123">
        <f>W8+V8-U8</f>
        <v>191681.22356217587</v>
      </c>
    </row>
    <row r="9" spans="1:24" x14ac:dyDescent="0.2">
      <c r="A9" s="1">
        <v>2026</v>
      </c>
      <c r="B9" s="1">
        <v>11.0558327</v>
      </c>
      <c r="C9" s="1">
        <v>3.5061362800000002</v>
      </c>
      <c r="D9">
        <f t="shared" si="0"/>
        <v>7.5496964200000001</v>
      </c>
      <c r="F9" s="3">
        <f t="shared" si="1"/>
        <v>249139.98185999997</v>
      </c>
      <c r="G9">
        <f>SQRT('Sampling &amp; Combined Error'!$E$14)*$B$2*44/12</f>
        <v>17330.612745158352</v>
      </c>
      <c r="I9">
        <v>107.49299999999999</v>
      </c>
      <c r="J9">
        <v>187.74719999999999</v>
      </c>
      <c r="K9">
        <v>1554.49771021999</v>
      </c>
      <c r="L9">
        <v>1107.5355199999999</v>
      </c>
      <c r="M9">
        <v>6085.8626000000004</v>
      </c>
      <c r="N9">
        <v>3042.9313000000002</v>
      </c>
      <c r="O9">
        <f t="shared" si="2"/>
        <v>-3785.133690219991</v>
      </c>
      <c r="Q9" s="1">
        <v>2026</v>
      </c>
      <c r="R9">
        <f>SUM(I9,J9,K9,M9)</f>
        <v>7935.6005102199906</v>
      </c>
      <c r="S9">
        <f>SUM(L9,N9)</f>
        <v>4150.4668199999996</v>
      </c>
      <c r="T9">
        <v>0</v>
      </c>
      <c r="U9" s="123">
        <f t="shared" ref="U9:U18" si="3">(W9+V9)*0.175</f>
        <v>41229.037990885779</v>
      </c>
      <c r="V9">
        <f t="shared" ref="V9:V18" si="4">R9-S9</f>
        <v>3785.133690219991</v>
      </c>
      <c r="W9" s="123">
        <f t="shared" ref="W9:W18" si="5">F9-G9</f>
        <v>231809.36911484163</v>
      </c>
      <c r="X9" s="123">
        <f t="shared" ref="X9:X18" si="6">W9+V9-U9</f>
        <v>194365.46481417582</v>
      </c>
    </row>
    <row r="10" spans="1:24" x14ac:dyDescent="0.2">
      <c r="A10" s="1">
        <v>2027</v>
      </c>
      <c r="B10" s="1">
        <v>11.1371655</v>
      </c>
      <c r="C10" s="1">
        <v>3.5156614300000002</v>
      </c>
      <c r="D10">
        <f t="shared" si="0"/>
        <v>7.6215040700000003</v>
      </c>
      <c r="F10" s="3">
        <f t="shared" si="1"/>
        <v>251509.63430999999</v>
      </c>
      <c r="G10">
        <f>SQRT('Sampling &amp; Combined Error'!$E$14)*$B$2*44/12</f>
        <v>17330.612745158352</v>
      </c>
      <c r="I10">
        <v>107.49299999999999</v>
      </c>
      <c r="J10">
        <v>187.74719999999999</v>
      </c>
      <c r="K10">
        <v>1554.49771021999</v>
      </c>
      <c r="L10">
        <v>1107.5355199999999</v>
      </c>
      <c r="M10">
        <v>6085.8626000000004</v>
      </c>
      <c r="N10">
        <v>3042.9313000000002</v>
      </c>
      <c r="O10">
        <f t="shared" si="2"/>
        <v>-3785.133690219991</v>
      </c>
      <c r="Q10" s="1">
        <v>2027</v>
      </c>
      <c r="R10">
        <f>SUM(I10,J10,K10,M10)</f>
        <v>7935.6005102199906</v>
      </c>
      <c r="S10">
        <f>SUM(L10,N10)</f>
        <v>4150.4668199999996</v>
      </c>
      <c r="T10">
        <v>0</v>
      </c>
      <c r="U10" s="123">
        <f t="shared" si="3"/>
        <v>41643.727169635786</v>
      </c>
      <c r="V10">
        <f t="shared" si="4"/>
        <v>3785.133690219991</v>
      </c>
      <c r="W10" s="123">
        <f t="shared" si="5"/>
        <v>234179.02156484165</v>
      </c>
      <c r="X10" s="123">
        <f t="shared" si="6"/>
        <v>196320.42808542584</v>
      </c>
    </row>
    <row r="11" spans="1:24" x14ac:dyDescent="0.2">
      <c r="A11" s="1">
        <v>2028</v>
      </c>
      <c r="B11" s="1">
        <v>11.196634</v>
      </c>
      <c r="C11" s="1">
        <v>3.52259024</v>
      </c>
      <c r="D11">
        <f t="shared" si="0"/>
        <v>7.67404376</v>
      </c>
      <c r="F11" s="3">
        <f t="shared" si="1"/>
        <v>253243.44408000002</v>
      </c>
      <c r="G11">
        <f>SQRT('Sampling &amp; Combined Error'!$E$14)*$B$2*44/12</f>
        <v>17330.612745158352</v>
      </c>
      <c r="I11">
        <v>107.49299999999999</v>
      </c>
      <c r="J11">
        <v>187.74719999999999</v>
      </c>
      <c r="K11">
        <v>1554.49771021999</v>
      </c>
      <c r="L11">
        <v>1107.5355199999999</v>
      </c>
      <c r="M11">
        <v>6085.8626000000004</v>
      </c>
      <c r="N11">
        <v>3042.9313000000002</v>
      </c>
      <c r="O11">
        <f t="shared" si="2"/>
        <v>-3785.133690219991</v>
      </c>
      <c r="Q11" s="1">
        <v>2028</v>
      </c>
      <c r="R11">
        <f>SUM(I11,J11,K11,M11)</f>
        <v>7935.6005102199906</v>
      </c>
      <c r="S11">
        <f>SUM(L11,N11)</f>
        <v>4150.4668199999996</v>
      </c>
      <c r="T11">
        <v>0</v>
      </c>
      <c r="U11" s="123">
        <f t="shared" si="3"/>
        <v>41947.143879385789</v>
      </c>
      <c r="V11">
        <f t="shared" si="4"/>
        <v>3785.133690219991</v>
      </c>
      <c r="W11" s="123">
        <f t="shared" si="5"/>
        <v>235912.83133484167</v>
      </c>
      <c r="X11" s="123">
        <f t="shared" si="6"/>
        <v>197750.82114567587</v>
      </c>
    </row>
    <row r="12" spans="1:24" x14ac:dyDescent="0.2">
      <c r="A12" s="1">
        <v>2029</v>
      </c>
      <c r="B12" s="1">
        <v>11.240374299999999</v>
      </c>
      <c r="C12" s="1">
        <v>3.5276668</v>
      </c>
      <c r="D12">
        <f t="shared" si="0"/>
        <v>7.7127074999999987</v>
      </c>
      <c r="F12" s="3">
        <f t="shared" si="1"/>
        <v>254519.3475</v>
      </c>
      <c r="G12">
        <f>SQRT('Sampling &amp; Combined Error'!$E$14)*$B$2*44/12</f>
        <v>17330.612745158352</v>
      </c>
      <c r="I12">
        <v>107.49299999999999</v>
      </c>
      <c r="J12">
        <v>187.74719999999999</v>
      </c>
      <c r="K12">
        <v>1554.49771021999</v>
      </c>
      <c r="L12">
        <v>1107.5355199999999</v>
      </c>
      <c r="M12">
        <v>6085.8626000000004</v>
      </c>
      <c r="N12">
        <v>3042.9313000000002</v>
      </c>
      <c r="O12">
        <f t="shared" si="2"/>
        <v>-3785.133690219991</v>
      </c>
      <c r="Q12" s="1">
        <v>2029</v>
      </c>
      <c r="R12">
        <f>SUM(I12,J12,K12,M12)</f>
        <v>7935.6005102199906</v>
      </c>
      <c r="S12">
        <f>SUM(L12,N12)</f>
        <v>4150.4668199999996</v>
      </c>
      <c r="T12">
        <v>0</v>
      </c>
      <c r="U12" s="123">
        <f t="shared" si="3"/>
        <v>42170.426977885785</v>
      </c>
      <c r="V12">
        <f t="shared" si="4"/>
        <v>3785.133690219991</v>
      </c>
      <c r="W12" s="123">
        <f t="shared" si="5"/>
        <v>237188.73475484166</v>
      </c>
      <c r="X12" s="123">
        <f t="shared" si="6"/>
        <v>198803.44146717584</v>
      </c>
    </row>
    <row r="13" spans="1:24" x14ac:dyDescent="0.2">
      <c r="A13" s="1">
        <v>2030</v>
      </c>
      <c r="B13" s="1">
        <v>11.2727872</v>
      </c>
      <c r="C13" s="1">
        <v>3.5314174999999999</v>
      </c>
      <c r="D13">
        <f t="shared" si="0"/>
        <v>7.7413696999999999</v>
      </c>
      <c r="F13" s="3">
        <f t="shared" si="1"/>
        <v>255465.20010000002</v>
      </c>
      <c r="G13">
        <f>SQRT('Sampling &amp; Combined Error'!$E$14)*$B$2*44/12</f>
        <v>17330.612745158352</v>
      </c>
      <c r="I13">
        <v>107.49299999999999</v>
      </c>
      <c r="J13">
        <v>187.74719999999999</v>
      </c>
      <c r="K13">
        <v>1554.49771021999</v>
      </c>
      <c r="L13">
        <v>1107.5355199999999</v>
      </c>
      <c r="M13">
        <v>6085.8626000000004</v>
      </c>
      <c r="N13">
        <v>3042.9313000000002</v>
      </c>
      <c r="O13">
        <f t="shared" si="2"/>
        <v>-3785.133690219991</v>
      </c>
      <c r="Q13" s="1">
        <v>2030</v>
      </c>
      <c r="R13">
        <f>SUM(I13,J13,K13,M13)</f>
        <v>7935.6005102199906</v>
      </c>
      <c r="S13">
        <f>SUM(L13,N13)</f>
        <v>4150.4668199999996</v>
      </c>
      <c r="T13">
        <v>0</v>
      </c>
      <c r="U13" s="123">
        <f t="shared" si="3"/>
        <v>42335.951182885787</v>
      </c>
      <c r="V13">
        <f t="shared" si="4"/>
        <v>3785.133690219991</v>
      </c>
      <c r="W13" s="123">
        <f t="shared" si="5"/>
        <v>238134.58735484167</v>
      </c>
      <c r="X13" s="123">
        <f t="shared" si="6"/>
        <v>199583.76986217586</v>
      </c>
    </row>
    <row r="14" spans="1:24" x14ac:dyDescent="0.2">
      <c r="A14" s="1">
        <v>2031</v>
      </c>
      <c r="B14" s="1">
        <v>11.2970329</v>
      </c>
      <c r="C14" s="1">
        <v>3.5342164999999999</v>
      </c>
      <c r="D14">
        <f t="shared" si="0"/>
        <v>7.7628164000000002</v>
      </c>
      <c r="F14" s="3">
        <f t="shared" si="1"/>
        <v>256172.94120000003</v>
      </c>
      <c r="G14">
        <f>SQRT('Sampling &amp; Combined Error'!$E$14)*$B$2*44/12</f>
        <v>17330.612745158352</v>
      </c>
      <c r="I14">
        <v>107.49299999999999</v>
      </c>
      <c r="J14">
        <v>187.74719999999999</v>
      </c>
      <c r="K14">
        <v>1554.49771021999</v>
      </c>
      <c r="L14">
        <v>1107.5355199999999</v>
      </c>
      <c r="M14">
        <v>6085.8626000000004</v>
      </c>
      <c r="N14">
        <v>3042.9313000000002</v>
      </c>
      <c r="O14">
        <f t="shared" si="2"/>
        <v>-3785.133690219991</v>
      </c>
      <c r="Q14" s="1">
        <v>2031</v>
      </c>
      <c r="R14">
        <f>SUM(I14,J14,K14,M14)</f>
        <v>7935.6005102199906</v>
      </c>
      <c r="S14">
        <f>SUM(L14,N14)</f>
        <v>4150.4668199999996</v>
      </c>
      <c r="T14">
        <v>0</v>
      </c>
      <c r="U14" s="123">
        <f t="shared" si="3"/>
        <v>42459.805875385791</v>
      </c>
      <c r="V14">
        <f t="shared" si="4"/>
        <v>3785.133690219991</v>
      </c>
      <c r="W14" s="123">
        <f t="shared" si="5"/>
        <v>238842.32845484169</v>
      </c>
      <c r="X14" s="123">
        <f t="shared" si="6"/>
        <v>200167.65626967588</v>
      </c>
    </row>
    <row r="15" spans="1:24" x14ac:dyDescent="0.2">
      <c r="A15" s="1">
        <v>2032</v>
      </c>
      <c r="B15" s="1">
        <v>11.315383199999999</v>
      </c>
      <c r="C15" s="1">
        <v>3.5363307800000001</v>
      </c>
      <c r="D15">
        <f t="shared" si="0"/>
        <v>7.7790524199999993</v>
      </c>
      <c r="F15" s="3">
        <f t="shared" si="1"/>
        <v>256708.72985999996</v>
      </c>
      <c r="G15">
        <f>SQRT('Sampling &amp; Combined Error'!$E$14)*$B$2*44/12</f>
        <v>17330.612745158352</v>
      </c>
      <c r="I15">
        <v>107.49299999999999</v>
      </c>
      <c r="J15">
        <v>187.74719999999999</v>
      </c>
      <c r="K15">
        <v>1554.49771021999</v>
      </c>
      <c r="L15">
        <v>1107.5355199999999</v>
      </c>
      <c r="M15">
        <v>6085.8626000000004</v>
      </c>
      <c r="N15">
        <v>3042.9313000000002</v>
      </c>
      <c r="O15">
        <f t="shared" si="2"/>
        <v>-3785.133690219991</v>
      </c>
      <c r="Q15" s="1">
        <v>2032</v>
      </c>
      <c r="R15">
        <f>SUM(I15,J15,K15,M15)</f>
        <v>7935.6005102199906</v>
      </c>
      <c r="S15">
        <f>SUM(L15,N15)</f>
        <v>4150.4668199999996</v>
      </c>
      <c r="T15">
        <v>0</v>
      </c>
      <c r="U15" s="123">
        <f t="shared" si="3"/>
        <v>42553.568890885777</v>
      </c>
      <c r="V15">
        <f t="shared" si="4"/>
        <v>3785.133690219991</v>
      </c>
      <c r="W15" s="123">
        <f t="shared" si="5"/>
        <v>239378.11711484162</v>
      </c>
      <c r="X15" s="123">
        <f t="shared" si="6"/>
        <v>200609.68191417583</v>
      </c>
    </row>
    <row r="16" spans="1:24" x14ac:dyDescent="0.2">
      <c r="A16" s="1">
        <v>2033</v>
      </c>
      <c r="B16" s="1">
        <v>11.3294721</v>
      </c>
      <c r="C16" s="1">
        <v>3.5379513199999999</v>
      </c>
      <c r="D16">
        <f t="shared" si="0"/>
        <v>7.7915207800000008</v>
      </c>
      <c r="F16" s="3">
        <f t="shared" si="1"/>
        <v>257120.18574000002</v>
      </c>
      <c r="G16">
        <f>SQRT('Sampling &amp; Combined Error'!$E$14)*$B$2*44/12</f>
        <v>17330.612745158352</v>
      </c>
      <c r="I16">
        <v>107.49299999999999</v>
      </c>
      <c r="J16">
        <v>187.74719999999999</v>
      </c>
      <c r="K16">
        <v>1554.49771021999</v>
      </c>
      <c r="L16">
        <v>1107.5355199999999</v>
      </c>
      <c r="M16">
        <v>6085.8626000000004</v>
      </c>
      <c r="N16">
        <v>3042.9313000000002</v>
      </c>
      <c r="O16">
        <f t="shared" si="2"/>
        <v>-3785.133690219991</v>
      </c>
      <c r="Q16" s="1">
        <v>2033</v>
      </c>
      <c r="R16">
        <f>SUM(I16,J16,K16,M16)</f>
        <v>7935.6005102199906</v>
      </c>
      <c r="S16">
        <f>SUM(L16,N16)</f>
        <v>4150.4668199999996</v>
      </c>
      <c r="T16">
        <v>0</v>
      </c>
      <c r="U16" s="123">
        <f t="shared" si="3"/>
        <v>42625.573669885787</v>
      </c>
      <c r="V16">
        <f t="shared" si="4"/>
        <v>3785.133690219991</v>
      </c>
      <c r="W16" s="123">
        <f t="shared" si="5"/>
        <v>239789.57299484167</v>
      </c>
      <c r="X16" s="123">
        <f t="shared" si="6"/>
        <v>200949.13301517587</v>
      </c>
    </row>
    <row r="17" spans="1:24" x14ac:dyDescent="0.2">
      <c r="A17" s="1">
        <v>2034</v>
      </c>
      <c r="B17" s="1">
        <v>11.3404758</v>
      </c>
      <c r="C17" s="1">
        <v>3.5392150500000001</v>
      </c>
      <c r="D17">
        <f t="shared" si="0"/>
        <v>7.80126075</v>
      </c>
      <c r="F17" s="3">
        <f t="shared" si="1"/>
        <v>257441.60474999997</v>
      </c>
      <c r="G17">
        <f>SQRT('Sampling &amp; Combined Error'!$E$14)*$B$2*44/12</f>
        <v>17330.612745158352</v>
      </c>
      <c r="I17">
        <v>107.49299999999999</v>
      </c>
      <c r="J17">
        <v>187.74719999999999</v>
      </c>
      <c r="K17">
        <v>1554.49771021999</v>
      </c>
      <c r="L17">
        <v>1107.5355199999999</v>
      </c>
      <c r="M17">
        <v>6085.8626000000004</v>
      </c>
      <c r="N17">
        <v>3042.9313000000002</v>
      </c>
      <c r="O17">
        <f t="shared" si="2"/>
        <v>-3785.133690219991</v>
      </c>
      <c r="Q17" s="1">
        <v>2034</v>
      </c>
      <c r="R17">
        <f>SUM(I17,J17,K17,M17)</f>
        <v>7935.6005102199906</v>
      </c>
      <c r="S17">
        <f>SUM(L17,N17)</f>
        <v>4150.4668199999996</v>
      </c>
      <c r="T17">
        <v>0</v>
      </c>
      <c r="U17" s="123">
        <f t="shared" si="3"/>
        <v>42681.821996635779</v>
      </c>
      <c r="V17">
        <f t="shared" si="4"/>
        <v>3785.133690219991</v>
      </c>
      <c r="W17" s="123">
        <f t="shared" si="5"/>
        <v>240110.99200484162</v>
      </c>
      <c r="X17" s="123">
        <f t="shared" si="6"/>
        <v>201214.30369842582</v>
      </c>
    </row>
    <row r="18" spans="1:24" x14ac:dyDescent="0.2">
      <c r="A18" s="1">
        <v>2035</v>
      </c>
      <c r="B18" s="1">
        <v>11.3492414</v>
      </c>
      <c r="C18" s="1">
        <v>3.5402202699999998</v>
      </c>
      <c r="D18">
        <f t="shared" si="0"/>
        <v>7.8090211300000005</v>
      </c>
      <c r="F18" s="3">
        <f t="shared" si="1"/>
        <v>257697.69729000001</v>
      </c>
      <c r="G18">
        <f>SQRT('Sampling &amp; Combined Error'!$E$14)*$B$2*44/12</f>
        <v>17330.612745158352</v>
      </c>
      <c r="I18">
        <v>107.49299999999999</v>
      </c>
      <c r="J18">
        <v>187.74719999999999</v>
      </c>
      <c r="K18">
        <v>1554.49771021999</v>
      </c>
      <c r="L18">
        <v>1107.5355199999999</v>
      </c>
      <c r="M18">
        <v>6085.8626000000004</v>
      </c>
      <c r="N18">
        <v>3042.9313000000002</v>
      </c>
      <c r="O18">
        <f t="shared" si="2"/>
        <v>-3785.133690219991</v>
      </c>
      <c r="Q18" s="1">
        <v>2035</v>
      </c>
      <c r="R18">
        <f>SUM(I18,J18,K18,M18)</f>
        <v>7935.6005102199906</v>
      </c>
      <c r="S18">
        <f>SUM(L18,N18)</f>
        <v>4150.4668199999996</v>
      </c>
      <c r="T18">
        <v>0</v>
      </c>
      <c r="U18" s="123">
        <f t="shared" si="3"/>
        <v>42726.638191135789</v>
      </c>
      <c r="V18">
        <f t="shared" si="4"/>
        <v>3785.133690219991</v>
      </c>
      <c r="W18" s="123">
        <f t="shared" si="5"/>
        <v>240367.08454484167</v>
      </c>
      <c r="X18" s="123">
        <f t="shared" si="6"/>
        <v>201425.58004392585</v>
      </c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D3B-B196-F14D-93F7-E323B63B4087}">
  <dimension ref="A1:AN250"/>
  <sheetViews>
    <sheetView topLeftCell="A5" zoomScaleNormal="100" workbookViewId="0">
      <selection activeCell="A15" sqref="A15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EE1-DCC9-F743-9397-6C364A7DC125}">
  <dimension ref="A1:AR259"/>
  <sheetViews>
    <sheetView topLeftCell="A72" zoomScale="136" zoomScaleNormal="136" workbookViewId="0">
      <selection activeCell="B89" sqref="B8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74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5" t="s">
        <v>218</v>
      </c>
      <c r="C86" s="125"/>
      <c r="D86" s="125"/>
      <c r="E86" s="125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AACC-3202-4440-8CEE-641AA3FE77AE}">
  <dimension ref="A2:H14"/>
  <sheetViews>
    <sheetView topLeftCell="C1" zoomScale="117" zoomScaleNormal="117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18.83203125" customWidth="1"/>
    <col min="4" max="4" width="32" customWidth="1"/>
    <col min="5" max="5" width="22.83203125" customWidth="1"/>
    <col min="6" max="6" width="20.33203125" customWidth="1"/>
    <col min="7" max="7" width="20.1640625" customWidth="1"/>
  </cols>
  <sheetData>
    <row r="2" spans="1:8" x14ac:dyDescent="0.2">
      <c r="A2" t="s">
        <v>35</v>
      </c>
      <c r="B2" t="s">
        <v>239</v>
      </c>
      <c r="C2" t="s">
        <v>226</v>
      </c>
      <c r="D2" t="s">
        <v>227</v>
      </c>
      <c r="E2" t="s">
        <v>228</v>
      </c>
      <c r="F2" t="s">
        <v>229</v>
      </c>
      <c r="G2" t="s">
        <v>4</v>
      </c>
      <c r="H2" t="s">
        <v>230</v>
      </c>
    </row>
    <row r="3" spans="1:8" x14ac:dyDescent="0.2">
      <c r="A3" t="s">
        <v>220</v>
      </c>
      <c r="B3">
        <f>C3/$C$9 * 45000*0.2</f>
        <v>1179.3103448275863</v>
      </c>
      <c r="C3">
        <v>38</v>
      </c>
      <c r="D3">
        <v>3.4929559000000001</v>
      </c>
      <c r="E3">
        <v>32.024334347025302</v>
      </c>
      <c r="F3">
        <v>0.18022362535561801</v>
      </c>
      <c r="G3">
        <f>E3-D3</f>
        <v>28.531378447025304</v>
      </c>
      <c r="H3">
        <f>(B3^2)/(C3*(C3-1))*G3^2</f>
        <v>805223.43209080433</v>
      </c>
    </row>
    <row r="4" spans="1:8" x14ac:dyDescent="0.2">
      <c r="A4" t="s">
        <v>221</v>
      </c>
      <c r="B4">
        <f t="shared" ref="B4:B8" si="0">C4/$C$9 * 45000*0.2</f>
        <v>6889.6551724137935</v>
      </c>
      <c r="C4">
        <v>222</v>
      </c>
      <c r="D4">
        <v>3.4929559000000001</v>
      </c>
      <c r="E4">
        <v>30.82585657504</v>
      </c>
      <c r="F4">
        <v>0.17883184772875399</v>
      </c>
      <c r="G4">
        <f t="shared" ref="G4:G8" si="1">E4-D4</f>
        <v>27.332900675040001</v>
      </c>
      <c r="H4">
        <f t="shared" ref="H4:H7" si="2">(B4^2)/(C4*(C4-1))*G4^2</f>
        <v>722805.03673934995</v>
      </c>
    </row>
    <row r="5" spans="1:8" x14ac:dyDescent="0.2">
      <c r="A5" t="s">
        <v>222</v>
      </c>
      <c r="B5">
        <f t="shared" si="0"/>
        <v>558.62068965517244</v>
      </c>
      <c r="C5">
        <v>18</v>
      </c>
      <c r="D5">
        <v>3.4929559000000001</v>
      </c>
      <c r="E5">
        <v>34.1878512493996</v>
      </c>
      <c r="F5">
        <v>0.17446764705882301</v>
      </c>
      <c r="G5">
        <f t="shared" si="1"/>
        <v>30.694895349399602</v>
      </c>
      <c r="H5">
        <f t="shared" si="2"/>
        <v>960826.38563645876</v>
      </c>
    </row>
    <row r="6" spans="1:8" x14ac:dyDescent="0.2">
      <c r="A6" t="s">
        <v>223</v>
      </c>
      <c r="B6">
        <f t="shared" si="0"/>
        <v>124.13793103448278</v>
      </c>
      <c r="C6">
        <v>4</v>
      </c>
      <c r="D6">
        <v>3.4929559000000001</v>
      </c>
      <c r="E6">
        <v>54.944760936535097</v>
      </c>
      <c r="F6">
        <v>9.5696249999999997E-2</v>
      </c>
      <c r="G6">
        <f t="shared" si="1"/>
        <v>51.451805036535099</v>
      </c>
      <c r="H6">
        <f t="shared" si="2"/>
        <v>3399609.1567646004</v>
      </c>
    </row>
    <row r="7" spans="1:8" x14ac:dyDescent="0.2">
      <c r="A7" t="s">
        <v>224</v>
      </c>
      <c r="B7">
        <f t="shared" si="0"/>
        <v>124.13793103448278</v>
      </c>
      <c r="C7">
        <v>4</v>
      </c>
      <c r="D7">
        <v>3.4929559000000001</v>
      </c>
      <c r="E7">
        <v>42.938313176329302</v>
      </c>
      <c r="F7">
        <v>9.1608562500000199E-2</v>
      </c>
      <c r="G7">
        <f t="shared" si="1"/>
        <v>39.445357276329304</v>
      </c>
      <c r="H7">
        <f t="shared" si="2"/>
        <v>1998110.710475442</v>
      </c>
    </row>
    <row r="8" spans="1:8" x14ac:dyDescent="0.2">
      <c r="A8" t="s">
        <v>225</v>
      </c>
      <c r="B8">
        <f t="shared" si="0"/>
        <v>124.13793103448278</v>
      </c>
      <c r="C8">
        <v>4</v>
      </c>
      <c r="D8">
        <v>3.4929559000000001</v>
      </c>
      <c r="E8">
        <v>19.942913228816401</v>
      </c>
      <c r="F8">
        <v>2.1674249999999898E-2</v>
      </c>
      <c r="G8">
        <f t="shared" si="1"/>
        <v>16.449957328816403</v>
      </c>
      <c r="H8">
        <f>(B8^2)/(C8*(C8-1))*G8^2</f>
        <v>347502.00215157075</v>
      </c>
    </row>
    <row r="9" spans="1:8" x14ac:dyDescent="0.2">
      <c r="A9" s="2" t="s">
        <v>231</v>
      </c>
      <c r="B9" s="2">
        <f>SUM(B3:B8)</f>
        <v>8999.9999999999982</v>
      </c>
      <c r="C9" s="2">
        <f>SUM(C3:C8)</f>
        <v>290</v>
      </c>
      <c r="D9" s="2"/>
      <c r="E9" s="2"/>
      <c r="F9" s="2"/>
      <c r="G9" s="2"/>
      <c r="H9" s="2">
        <f>SUM(H3:H8)</f>
        <v>8234076.7238582261</v>
      </c>
    </row>
    <row r="11" spans="1:8" x14ac:dyDescent="0.2">
      <c r="D11" s="122" t="s">
        <v>232</v>
      </c>
      <c r="E11" s="22"/>
    </row>
    <row r="12" spans="1:8" x14ac:dyDescent="0.2">
      <c r="D12" s="22" t="s">
        <v>234</v>
      </c>
      <c r="E12" s="22">
        <f>H9/(B9^2)</f>
        <v>0.10165526819578061</v>
      </c>
    </row>
    <row r="13" spans="1:8" x14ac:dyDescent="0.2">
      <c r="D13" s="22" t="s">
        <v>240</v>
      </c>
      <c r="E13" s="22">
        <f>'Baseline Model Error'!B80^2 + 'Project Model Error'!B89^2</f>
        <v>0.17414834807845733</v>
      </c>
    </row>
    <row r="14" spans="1:8" x14ac:dyDescent="0.2">
      <c r="D14" s="22" t="s">
        <v>233</v>
      </c>
      <c r="E14" s="22">
        <f>SUM(E12:E13)</f>
        <v>0.27580361627423794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2025-10-03T11:00:20Z</dcterms:modified>
</cp:coreProperties>
</file>