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Documentation/ecobliss-docs/"/>
    </mc:Choice>
  </mc:AlternateContent>
  <xr:revisionPtr revIDLastSave="0" documentId="13_ncr:1_{10DE32DA-FABC-764D-9DD7-85DF9C53CB5A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/>
  <c r="X7" i="1"/>
  <c r="R34" i="1"/>
  <c r="S34" i="1"/>
  <c r="V34" i="1"/>
  <c r="W34" i="1"/>
  <c r="U34" i="1" s="1"/>
  <c r="X34" i="1" s="1"/>
  <c r="R35" i="1"/>
  <c r="V35" i="1" s="1"/>
  <c r="S35" i="1"/>
  <c r="W35" i="1"/>
  <c r="R36" i="1"/>
  <c r="S36" i="1"/>
  <c r="V36" i="1"/>
  <c r="U36" i="1" s="1"/>
  <c r="W36" i="1"/>
  <c r="X36" i="1" s="1"/>
  <c r="R37" i="1"/>
  <c r="S37" i="1"/>
  <c r="V37" i="1"/>
  <c r="W37" i="1"/>
  <c r="U37" i="1" s="1"/>
  <c r="X37" i="1" s="1"/>
  <c r="R38" i="1"/>
  <c r="S38" i="1"/>
  <c r="V38" i="1"/>
  <c r="W38" i="1"/>
  <c r="R39" i="1"/>
  <c r="V39" i="1" s="1"/>
  <c r="S39" i="1"/>
  <c r="W39" i="1"/>
  <c r="R40" i="1"/>
  <c r="S40" i="1"/>
  <c r="V40" i="1"/>
  <c r="U40" i="1" s="1"/>
  <c r="W40" i="1"/>
  <c r="X40" i="1" s="1"/>
  <c r="R41" i="1"/>
  <c r="S41" i="1"/>
  <c r="V41" i="1"/>
  <c r="W41" i="1"/>
  <c r="U41" i="1" s="1"/>
  <c r="X41" i="1" s="1"/>
  <c r="R42" i="1"/>
  <c r="S42" i="1"/>
  <c r="V42" i="1"/>
  <c r="W42" i="1"/>
  <c r="U42" i="1" s="1"/>
  <c r="X42" i="1" s="1"/>
  <c r="R43" i="1"/>
  <c r="V43" i="1" s="1"/>
  <c r="S43" i="1"/>
  <c r="W43" i="1"/>
  <c r="R44" i="1"/>
  <c r="S44" i="1"/>
  <c r="V44" i="1"/>
  <c r="U44" i="1" s="1"/>
  <c r="W44" i="1"/>
  <c r="R45" i="1"/>
  <c r="S45" i="1"/>
  <c r="V45" i="1"/>
  <c r="W45" i="1"/>
  <c r="U45" i="1" s="1"/>
  <c r="X45" i="1" s="1"/>
  <c r="R46" i="1"/>
  <c r="S46" i="1"/>
  <c r="V46" i="1"/>
  <c r="W46" i="1"/>
  <c r="U46" i="1" s="1"/>
  <c r="X46" i="1" s="1"/>
  <c r="R47" i="1"/>
  <c r="V47" i="1" s="1"/>
  <c r="S47" i="1"/>
  <c r="W47" i="1"/>
  <c r="R8" i="1"/>
  <c r="V8" i="1" s="1"/>
  <c r="S8" i="1"/>
  <c r="W8" i="1"/>
  <c r="U8" i="1" s="1"/>
  <c r="R9" i="1"/>
  <c r="V9" i="1" s="1"/>
  <c r="S9" i="1"/>
  <c r="W9" i="1"/>
  <c r="R10" i="1"/>
  <c r="S10" i="1"/>
  <c r="V10" i="1"/>
  <c r="W10" i="1"/>
  <c r="U10" i="1" s="1"/>
  <c r="X10" i="1" s="1"/>
  <c r="R11" i="1"/>
  <c r="S11" i="1"/>
  <c r="V11" i="1"/>
  <c r="W11" i="1"/>
  <c r="U11" i="1" s="1"/>
  <c r="X11" i="1" s="1"/>
  <c r="R12" i="1"/>
  <c r="V12" i="1" s="1"/>
  <c r="S12" i="1"/>
  <c r="W12" i="1"/>
  <c r="R13" i="1"/>
  <c r="S13" i="1"/>
  <c r="V13" i="1"/>
  <c r="W13" i="1"/>
  <c r="R14" i="1"/>
  <c r="S14" i="1"/>
  <c r="V14" i="1"/>
  <c r="W14" i="1"/>
  <c r="U14" i="1" s="1"/>
  <c r="X14" i="1" s="1"/>
  <c r="R15" i="1"/>
  <c r="S15" i="1"/>
  <c r="V15" i="1"/>
  <c r="W15" i="1"/>
  <c r="U15" i="1" s="1"/>
  <c r="X15" i="1" s="1"/>
  <c r="R16" i="1"/>
  <c r="V16" i="1" s="1"/>
  <c r="S16" i="1"/>
  <c r="W16" i="1"/>
  <c r="U16" i="1" s="1"/>
  <c r="R17" i="1"/>
  <c r="S17" i="1"/>
  <c r="V17" i="1"/>
  <c r="W17" i="1"/>
  <c r="R18" i="1"/>
  <c r="S18" i="1"/>
  <c r="V18" i="1"/>
  <c r="W18" i="1"/>
  <c r="U18" i="1" s="1"/>
  <c r="X18" i="1" s="1"/>
  <c r="R19" i="1"/>
  <c r="S19" i="1"/>
  <c r="V19" i="1"/>
  <c r="W19" i="1"/>
  <c r="U19" i="1" s="1"/>
  <c r="X19" i="1" s="1"/>
  <c r="R20" i="1"/>
  <c r="V20" i="1" s="1"/>
  <c r="S20" i="1"/>
  <c r="W20" i="1"/>
  <c r="U20" i="1" s="1"/>
  <c r="R21" i="1"/>
  <c r="S21" i="1"/>
  <c r="V21" i="1"/>
  <c r="W21" i="1"/>
  <c r="R22" i="1"/>
  <c r="S22" i="1"/>
  <c r="V22" i="1"/>
  <c r="W22" i="1"/>
  <c r="U22" i="1" s="1"/>
  <c r="X22" i="1" s="1"/>
  <c r="R23" i="1"/>
  <c r="S23" i="1"/>
  <c r="V23" i="1"/>
  <c r="W23" i="1"/>
  <c r="U23" i="1" s="1"/>
  <c r="X23" i="1" s="1"/>
  <c r="R24" i="1"/>
  <c r="V24" i="1" s="1"/>
  <c r="S24" i="1"/>
  <c r="W24" i="1"/>
  <c r="U24" i="1" s="1"/>
  <c r="R25" i="1"/>
  <c r="S25" i="1"/>
  <c r="V25" i="1"/>
  <c r="W25" i="1"/>
  <c r="R26" i="1"/>
  <c r="S26" i="1"/>
  <c r="V26" i="1"/>
  <c r="W26" i="1"/>
  <c r="U26" i="1" s="1"/>
  <c r="X26" i="1" s="1"/>
  <c r="R27" i="1"/>
  <c r="S27" i="1"/>
  <c r="V27" i="1"/>
  <c r="W27" i="1"/>
  <c r="U27" i="1" s="1"/>
  <c r="X27" i="1" s="1"/>
  <c r="R28" i="1"/>
  <c r="V28" i="1" s="1"/>
  <c r="S28" i="1"/>
  <c r="W28" i="1"/>
  <c r="U28" i="1" s="1"/>
  <c r="R29" i="1"/>
  <c r="S29" i="1"/>
  <c r="V29" i="1"/>
  <c r="W29" i="1"/>
  <c r="R30" i="1"/>
  <c r="S30" i="1"/>
  <c r="V30" i="1"/>
  <c r="W30" i="1"/>
  <c r="U30" i="1" s="1"/>
  <c r="X30" i="1" s="1"/>
  <c r="R31" i="1"/>
  <c r="S31" i="1"/>
  <c r="V31" i="1"/>
  <c r="W31" i="1"/>
  <c r="U31" i="1" s="1"/>
  <c r="X31" i="1" s="1"/>
  <c r="R32" i="1"/>
  <c r="V32" i="1" s="1"/>
  <c r="S32" i="1"/>
  <c r="W32" i="1"/>
  <c r="U32" i="1" s="1"/>
  <c r="R33" i="1"/>
  <c r="S33" i="1"/>
  <c r="V33" i="1"/>
  <c r="W33" i="1"/>
  <c r="U7" i="1"/>
  <c r="V7" i="1"/>
  <c r="S7" i="1"/>
  <c r="R7" i="1"/>
  <c r="D19" i="1"/>
  <c r="F19" i="1" s="1"/>
  <c r="G19" i="1"/>
  <c r="O19" i="1"/>
  <c r="D20" i="1"/>
  <c r="F20" i="1"/>
  <c r="G20" i="1"/>
  <c r="O20" i="1"/>
  <c r="D21" i="1"/>
  <c r="F21" i="1"/>
  <c r="G21" i="1"/>
  <c r="O21" i="1"/>
  <c r="D22" i="1"/>
  <c r="F22" i="1"/>
  <c r="G22" i="1"/>
  <c r="O22" i="1"/>
  <c r="D23" i="1"/>
  <c r="F23" i="1"/>
  <c r="G23" i="1"/>
  <c r="O23" i="1"/>
  <c r="D24" i="1"/>
  <c r="F24" i="1"/>
  <c r="G24" i="1"/>
  <c r="O24" i="1"/>
  <c r="D25" i="1"/>
  <c r="F25" i="1"/>
  <c r="G25" i="1"/>
  <c r="O25" i="1"/>
  <c r="D26" i="1"/>
  <c r="F26" i="1"/>
  <c r="G26" i="1"/>
  <c r="O26" i="1"/>
  <c r="D27" i="1"/>
  <c r="F27" i="1"/>
  <c r="G27" i="1"/>
  <c r="O27" i="1"/>
  <c r="D28" i="1"/>
  <c r="F28" i="1"/>
  <c r="G28" i="1"/>
  <c r="O28" i="1"/>
  <c r="D29" i="1"/>
  <c r="F29" i="1"/>
  <c r="G29" i="1"/>
  <c r="O29" i="1"/>
  <c r="D30" i="1"/>
  <c r="F30" i="1"/>
  <c r="G30" i="1"/>
  <c r="O30" i="1"/>
  <c r="D31" i="1"/>
  <c r="F31" i="1"/>
  <c r="G31" i="1"/>
  <c r="O31" i="1"/>
  <c r="D32" i="1"/>
  <c r="F32" i="1"/>
  <c r="G32" i="1"/>
  <c r="O32" i="1"/>
  <c r="D33" i="1"/>
  <c r="F33" i="1"/>
  <c r="G33" i="1"/>
  <c r="O33" i="1"/>
  <c r="D34" i="1"/>
  <c r="F34" i="1"/>
  <c r="G34" i="1"/>
  <c r="O34" i="1"/>
  <c r="D35" i="1"/>
  <c r="F35" i="1"/>
  <c r="G35" i="1"/>
  <c r="O35" i="1"/>
  <c r="D36" i="1"/>
  <c r="F36" i="1"/>
  <c r="G36" i="1"/>
  <c r="O36" i="1"/>
  <c r="D37" i="1"/>
  <c r="F37" i="1"/>
  <c r="G37" i="1"/>
  <c r="O37" i="1"/>
  <c r="D38" i="1"/>
  <c r="F38" i="1"/>
  <c r="G38" i="1"/>
  <c r="O38" i="1"/>
  <c r="D39" i="1"/>
  <c r="F39" i="1"/>
  <c r="G39" i="1"/>
  <c r="O39" i="1"/>
  <c r="D40" i="1"/>
  <c r="F40" i="1"/>
  <c r="G40" i="1"/>
  <c r="O40" i="1"/>
  <c r="D41" i="1"/>
  <c r="F41" i="1"/>
  <c r="G41" i="1"/>
  <c r="O41" i="1"/>
  <c r="D42" i="1"/>
  <c r="F42" i="1"/>
  <c r="G42" i="1"/>
  <c r="O42" i="1"/>
  <c r="D43" i="1"/>
  <c r="F43" i="1"/>
  <c r="G43" i="1"/>
  <c r="O43" i="1"/>
  <c r="D44" i="1"/>
  <c r="F44" i="1"/>
  <c r="G44" i="1"/>
  <c r="O44" i="1"/>
  <c r="D45" i="1"/>
  <c r="F45" i="1"/>
  <c r="G45" i="1"/>
  <c r="O45" i="1"/>
  <c r="D46" i="1"/>
  <c r="F46" i="1"/>
  <c r="G46" i="1"/>
  <c r="O46" i="1"/>
  <c r="D47" i="1"/>
  <c r="F47" i="1"/>
  <c r="G47" i="1"/>
  <c r="O47" i="1"/>
  <c r="U35" i="1" l="1"/>
  <c r="X35" i="1"/>
  <c r="U43" i="1"/>
  <c r="X43" i="1"/>
  <c r="X38" i="1"/>
  <c r="U39" i="1"/>
  <c r="X39" i="1"/>
  <c r="U47" i="1"/>
  <c r="X47" i="1" s="1"/>
  <c r="X44" i="1"/>
  <c r="U38" i="1"/>
  <c r="X20" i="1"/>
  <c r="X24" i="1"/>
  <c r="X28" i="1"/>
  <c r="X17" i="1"/>
  <c r="X21" i="1"/>
  <c r="X16" i="1"/>
  <c r="U9" i="1"/>
  <c r="X9" i="1"/>
  <c r="X32" i="1"/>
  <c r="X25" i="1"/>
  <c r="U12" i="1"/>
  <c r="X12" i="1" s="1"/>
  <c r="U33" i="1"/>
  <c r="X33" i="1" s="1"/>
  <c r="U29" i="1"/>
  <c r="X29" i="1" s="1"/>
  <c r="U25" i="1"/>
  <c r="U21" i="1"/>
  <c r="U17" i="1"/>
  <c r="U13" i="1"/>
  <c r="X13" i="1" s="1"/>
  <c r="X8" i="1"/>
  <c r="O7" i="1"/>
  <c r="B2" i="1" l="1"/>
  <c r="O18" i="1"/>
  <c r="O17" i="1"/>
  <c r="O16" i="1"/>
  <c r="O15" i="1"/>
  <c r="O14" i="1"/>
  <c r="O13" i="1"/>
  <c r="O12" i="1"/>
  <c r="O11" i="1"/>
  <c r="O10" i="1"/>
  <c r="O9" i="1"/>
  <c r="O8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E14" i="4"/>
  <c r="E13" i="4"/>
  <c r="H9" i="4"/>
  <c r="B3" i="4"/>
  <c r="H3" i="4" s="1"/>
  <c r="E12" i="4" s="1"/>
  <c r="B9" i="4"/>
  <c r="C9" i="4"/>
  <c r="G3" i="4"/>
  <c r="G4" i="4"/>
  <c r="H4" i="4" s="1"/>
  <c r="B4" i="4"/>
  <c r="D4" i="4"/>
  <c r="D3" i="4"/>
  <c r="D6" i="1" l="1"/>
  <c r="F6" i="1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42" i="3" s="1" a="1"/>
  <c r="A42" i="3" s="1"/>
  <c r="AB19" i="3"/>
  <c r="X19" i="3"/>
  <c r="T19" i="3" s="1"/>
  <c r="W19" i="3"/>
  <c r="P19" i="3" s="1"/>
  <c r="AJ19" i="3" s="1"/>
  <c r="O19" i="3"/>
  <c r="AB18" i="3"/>
  <c r="T18" i="3"/>
  <c r="O18" i="3"/>
  <c r="P18" i="3" s="1"/>
  <c r="AJ18" i="3" s="1"/>
  <c r="T17" i="3"/>
  <c r="AG17" i="3" s="1"/>
  <c r="AH17" i="3" s="1"/>
  <c r="P17" i="3"/>
  <c r="AJ17" i="3" s="1"/>
  <c r="T16" i="3"/>
  <c r="AG16" i="3" s="1"/>
  <c r="AH16" i="3" s="1"/>
  <c r="S16" i="3"/>
  <c r="P16" i="3"/>
  <c r="AJ16" i="3" s="1"/>
  <c r="O16" i="3"/>
  <c r="T15" i="3"/>
  <c r="R15" i="3"/>
  <c r="O15" i="3"/>
  <c r="P15" i="3" s="1"/>
  <c r="T14" i="3"/>
  <c r="AG14" i="3" s="1"/>
  <c r="AH14" i="3" s="1"/>
  <c r="P14" i="3"/>
  <c r="AJ14" i="3" s="1"/>
  <c r="T13" i="3"/>
  <c r="AG13" i="3" s="1"/>
  <c r="AH13" i="3" s="1"/>
  <c r="P13" i="3"/>
  <c r="AJ13" i="3" s="1"/>
  <c r="AJ12" i="3"/>
  <c r="AL12" i="3" s="1"/>
  <c r="AG12" i="3"/>
  <c r="AH12" i="3" s="1"/>
  <c r="AG11" i="3"/>
  <c r="AH11" i="3" s="1"/>
  <c r="T11" i="3"/>
  <c r="P11" i="3"/>
  <c r="AJ11" i="3" s="1"/>
  <c r="T10" i="3"/>
  <c r="AG10" i="3" s="1"/>
  <c r="AH10" i="3" s="1"/>
  <c r="S10" i="3"/>
  <c r="P10" i="3"/>
  <c r="AJ10" i="3" s="1"/>
  <c r="O10" i="3"/>
  <c r="AJ9" i="3"/>
  <c r="AL9" i="3" s="1"/>
  <c r="AG9" i="3"/>
  <c r="AH9" i="3" s="1"/>
  <c r="T9" i="3"/>
  <c r="P9" i="3"/>
  <c r="S8" i="3"/>
  <c r="T8" i="3" s="1"/>
  <c r="AG8" i="3" s="1"/>
  <c r="AH8" i="3" s="1"/>
  <c r="O8" i="3"/>
  <c r="P8" i="3" s="1"/>
  <c r="AJ8" i="3" s="1"/>
  <c r="AL7" i="3"/>
  <c r="AJ7" i="3"/>
  <c r="AK7" i="3" s="1"/>
  <c r="AG7" i="3"/>
  <c r="AH7" i="3" s="1"/>
  <c r="S6" i="3"/>
  <c r="T6" i="3" s="1"/>
  <c r="AG6" i="3" s="1"/>
  <c r="AH6" i="3" s="1"/>
  <c r="P6" i="3"/>
  <c r="AJ6" i="3" s="1"/>
  <c r="O6" i="3"/>
  <c r="AG5" i="3"/>
  <c r="AH5" i="3" s="1"/>
  <c r="T5" i="3"/>
  <c r="P5" i="3"/>
  <c r="AJ5" i="3" s="1"/>
  <c r="AJ4" i="3"/>
  <c r="T4" i="3"/>
  <c r="AG4" i="3" s="1"/>
  <c r="AH4" i="3" s="1"/>
  <c r="P4" i="3"/>
  <c r="E31" i="2"/>
  <c r="F31" i="2" s="1"/>
  <c r="F30" i="2"/>
  <c r="E30" i="2"/>
  <c r="F29" i="2"/>
  <c r="E29" i="2"/>
  <c r="E28" i="2"/>
  <c r="F28" i="2" s="1"/>
  <c r="E27" i="2"/>
  <c r="F27" i="2" s="1"/>
  <c r="F26" i="2"/>
  <c r="E26" i="2"/>
  <c r="F25" i="2"/>
  <c r="E25" i="2"/>
  <c r="E24" i="2"/>
  <c r="F24" i="2" s="1"/>
  <c r="E23" i="2"/>
  <c r="F23" i="2" s="1"/>
  <c r="F22" i="2"/>
  <c r="E22" i="2"/>
  <c r="F21" i="2"/>
  <c r="E21" i="2"/>
  <c r="T16" i="2"/>
  <c r="S16" i="2"/>
  <c r="O16" i="2"/>
  <c r="P16" i="2" s="1"/>
  <c r="T15" i="2"/>
  <c r="AG15" i="2" s="1"/>
  <c r="AH15" i="2" s="1"/>
  <c r="P15" i="2"/>
  <c r="AJ15" i="2" s="1"/>
  <c r="T14" i="2"/>
  <c r="AG14" i="2" s="1"/>
  <c r="AH14" i="2" s="1"/>
  <c r="P14" i="2"/>
  <c r="AJ14" i="2" s="1"/>
  <c r="AJ13" i="2"/>
  <c r="AL13" i="2" s="1"/>
  <c r="AG13" i="2"/>
  <c r="AH13" i="2" s="1"/>
  <c r="T13" i="2"/>
  <c r="P13" i="2"/>
  <c r="AJ12" i="2"/>
  <c r="AL12" i="2" s="1"/>
  <c r="AH12" i="2"/>
  <c r="AG12" i="2"/>
  <c r="T12" i="2"/>
  <c r="P12" i="2"/>
  <c r="AJ11" i="2"/>
  <c r="AK11" i="2" s="1"/>
  <c r="AH11" i="2"/>
  <c r="AG11" i="2"/>
  <c r="AJ10" i="2"/>
  <c r="S10" i="2"/>
  <c r="T10" i="2" s="1"/>
  <c r="AG10" i="2" s="1"/>
  <c r="AH10" i="2" s="1"/>
  <c r="P10" i="2"/>
  <c r="O10" i="2"/>
  <c r="T9" i="2"/>
  <c r="P9" i="2"/>
  <c r="AJ9" i="2" s="1"/>
  <c r="S8" i="2"/>
  <c r="T8" i="2" s="1"/>
  <c r="O8" i="2"/>
  <c r="P8" i="2" s="1"/>
  <c r="AJ8" i="2" s="1"/>
  <c r="AJ7" i="2"/>
  <c r="T7" i="2"/>
  <c r="AG7" i="2" s="1"/>
  <c r="AH7" i="2" s="1"/>
  <c r="P7" i="2"/>
  <c r="AJ6" i="2"/>
  <c r="AL6" i="2" s="1"/>
  <c r="AG6" i="2"/>
  <c r="AH6" i="2" s="1"/>
  <c r="T6" i="2"/>
  <c r="P6" i="2"/>
  <c r="AJ5" i="2"/>
  <c r="AK5" i="2" s="1"/>
  <c r="T5" i="2"/>
  <c r="AG5" i="2" s="1"/>
  <c r="AH5" i="2" s="1"/>
  <c r="P5" i="2"/>
  <c r="T4" i="2"/>
  <c r="S4" i="2"/>
  <c r="O4" i="2"/>
  <c r="P4" i="2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AL6" i="3" l="1"/>
  <c r="AK6" i="3"/>
  <c r="AJ15" i="3"/>
  <c r="AG15" i="3"/>
  <c r="AH15" i="3" s="1"/>
  <c r="AG18" i="3"/>
  <c r="AH18" i="3" s="1"/>
  <c r="AL4" i="3"/>
  <c r="AL8" i="3"/>
  <c r="AK8" i="3"/>
  <c r="AK19" i="3"/>
  <c r="AM7" i="3"/>
  <c r="AL10" i="3"/>
  <c r="AK10" i="3"/>
  <c r="AL14" i="3"/>
  <c r="AK14" i="3"/>
  <c r="AG19" i="3"/>
  <c r="AH19" i="3" s="1"/>
  <c r="AK18" i="3"/>
  <c r="AL5" i="3"/>
  <c r="AK5" i="3"/>
  <c r="AK13" i="3"/>
  <c r="AL13" i="3"/>
  <c r="AL16" i="3"/>
  <c r="AK16" i="3"/>
  <c r="AK11" i="3"/>
  <c r="AL11" i="3"/>
  <c r="AK17" i="3"/>
  <c r="AL17" i="3"/>
  <c r="AK4" i="3"/>
  <c r="AK9" i="3"/>
  <c r="AK12" i="3"/>
  <c r="AL14" i="2"/>
  <c r="AK14" i="2"/>
  <c r="A36" i="2" a="1"/>
  <c r="A36" i="2" s="1"/>
  <c r="AM5" i="2"/>
  <c r="AG16" i="2"/>
  <c r="AH16" i="2" s="1"/>
  <c r="AJ16" i="2"/>
  <c r="AG8" i="2"/>
  <c r="AH8" i="2" s="1"/>
  <c r="AM11" i="2"/>
  <c r="AL15" i="2"/>
  <c r="AK15" i="2"/>
  <c r="AL7" i="2"/>
  <c r="AL10" i="2"/>
  <c r="AK8" i="2"/>
  <c r="AL8" i="2"/>
  <c r="AK9" i="2"/>
  <c r="AG4" i="2"/>
  <c r="AH4" i="2" s="1"/>
  <c r="AJ4" i="2"/>
  <c r="AL5" i="2"/>
  <c r="AK6" i="2"/>
  <c r="AK10" i="2"/>
  <c r="AL11" i="2"/>
  <c r="AK12" i="2"/>
  <c r="AK7" i="2"/>
  <c r="AK13" i="2"/>
  <c r="AG9" i="2"/>
  <c r="AH9" i="2" s="1"/>
  <c r="AM13" i="3" l="1"/>
  <c r="AM9" i="3"/>
  <c r="AM8" i="3"/>
  <c r="AL18" i="3"/>
  <c r="AL15" i="3"/>
  <c r="AK15" i="3"/>
  <c r="AM10" i="3"/>
  <c r="AM17" i="3"/>
  <c r="B49" i="3"/>
  <c r="C49" i="3" s="1"/>
  <c r="AM16" i="3"/>
  <c r="AL19" i="3"/>
  <c r="AM6" i="3"/>
  <c r="AM4" i="3"/>
  <c r="AM5" i="3"/>
  <c r="AM18" i="3"/>
  <c r="AM11" i="3"/>
  <c r="AM12" i="3"/>
  <c r="AM14" i="3"/>
  <c r="AM19" i="3"/>
  <c r="AM6" i="2"/>
  <c r="AL16" i="2"/>
  <c r="AK16" i="2"/>
  <c r="AL4" i="2"/>
  <c r="AK4" i="2"/>
  <c r="AM15" i="2"/>
  <c r="AM13" i="2"/>
  <c r="AM7" i="2"/>
  <c r="B48" i="2"/>
  <c r="C48" i="2" s="1"/>
  <c r="AL9" i="2"/>
  <c r="AM14" i="2"/>
  <c r="B43" i="2"/>
  <c r="C43" i="2" s="1"/>
  <c r="AM9" i="2"/>
  <c r="AM12" i="2"/>
  <c r="AM10" i="2"/>
  <c r="AM8" i="2"/>
  <c r="B47" i="3" l="1"/>
  <c r="C47" i="3" s="1"/>
  <c r="B52" i="3"/>
  <c r="C52" i="3" s="1"/>
  <c r="AN10" i="3"/>
  <c r="AN4" i="3"/>
  <c r="A65" i="3"/>
  <c r="B46" i="3"/>
  <c r="C46" i="3" s="1"/>
  <c r="AN19" i="3"/>
  <c r="AM15" i="3"/>
  <c r="AN5" i="3" s="1"/>
  <c r="B53" i="3"/>
  <c r="C53" i="3" s="1"/>
  <c r="AN11" i="3"/>
  <c r="B58" i="3"/>
  <c r="C58" i="3" s="1"/>
  <c r="AN16" i="3"/>
  <c r="AN14" i="3"/>
  <c r="B56" i="3"/>
  <c r="C56" i="3" s="1"/>
  <c r="B51" i="3"/>
  <c r="C51" i="3" s="1"/>
  <c r="AN9" i="3"/>
  <c r="AN6" i="3"/>
  <c r="B48" i="3"/>
  <c r="C48" i="3" s="1"/>
  <c r="AN7" i="3"/>
  <c r="B55" i="3"/>
  <c r="C55" i="3" s="1"/>
  <c r="AN13" i="3"/>
  <c r="B54" i="3"/>
  <c r="C54" i="3" s="1"/>
  <c r="AN12" i="3"/>
  <c r="AN18" i="3"/>
  <c r="B60" i="3"/>
  <c r="C60" i="3" s="1"/>
  <c r="B59" i="3"/>
  <c r="C59" i="3" s="1"/>
  <c r="AN17" i="3"/>
  <c r="B50" i="3"/>
  <c r="C50" i="3" s="1"/>
  <c r="AN8" i="3"/>
  <c r="B44" i="2"/>
  <c r="C44" i="2" s="1"/>
  <c r="B49" i="2"/>
  <c r="C49" i="2" s="1"/>
  <c r="B51" i="2"/>
  <c r="C51" i="2" s="1"/>
  <c r="B45" i="2"/>
  <c r="C45" i="2" s="1"/>
  <c r="AN8" i="2"/>
  <c r="B50" i="2"/>
  <c r="C50" i="2" s="1"/>
  <c r="B47" i="2"/>
  <c r="C47" i="2" s="1"/>
  <c r="AM4" i="2"/>
  <c r="AN12" i="2" s="1"/>
  <c r="AM16" i="2"/>
  <c r="B46" i="2"/>
  <c r="C46" i="2" s="1"/>
  <c r="B80" i="3" l="1"/>
  <c r="B78" i="3"/>
  <c r="B76" i="3"/>
  <c r="B74" i="3"/>
  <c r="B70" i="3"/>
  <c r="C82" i="3"/>
  <c r="C80" i="3"/>
  <c r="C78" i="3"/>
  <c r="C76" i="3"/>
  <c r="C74" i="3"/>
  <c r="C72" i="3"/>
  <c r="C70" i="3"/>
  <c r="C68" i="3"/>
  <c r="B82" i="3"/>
  <c r="B72" i="3"/>
  <c r="B68" i="3"/>
  <c r="C81" i="3"/>
  <c r="C79" i="3"/>
  <c r="C77" i="3"/>
  <c r="C75" i="3"/>
  <c r="C73" i="3"/>
  <c r="C71" i="3"/>
  <c r="C69" i="3"/>
  <c r="B81" i="3"/>
  <c r="B79" i="3"/>
  <c r="B77" i="3"/>
  <c r="B75" i="3"/>
  <c r="B73" i="3"/>
  <c r="B71" i="3"/>
  <c r="B69" i="3"/>
  <c r="AN15" i="3"/>
  <c r="B89" i="3" s="1" a="1"/>
  <c r="B89" i="3" s="1"/>
  <c r="B57" i="3"/>
  <c r="C57" i="3" s="1"/>
  <c r="AN15" i="2"/>
  <c r="A59" i="2"/>
  <c r="B42" i="2"/>
  <c r="AN4" i="2"/>
  <c r="AN11" i="2"/>
  <c r="AN5" i="2"/>
  <c r="AN9" i="2"/>
  <c r="AN14" i="2"/>
  <c r="AN6" i="2"/>
  <c r="AN10" i="2"/>
  <c r="B52" i="2"/>
  <c r="C52" i="2" s="1"/>
  <c r="AN16" i="2"/>
  <c r="AN13" i="2"/>
  <c r="AN7" i="2"/>
  <c r="D82" i="3" l="1" a="1"/>
  <c r="D82" i="3" s="1"/>
  <c r="E82" i="3" a="1"/>
  <c r="E82" i="3" s="1"/>
  <c r="E71" i="3"/>
  <c r="D71" i="3"/>
  <c r="D73" i="3"/>
  <c r="E73" i="3"/>
  <c r="D74" i="3"/>
  <c r="E74" i="3"/>
  <c r="D78" i="3"/>
  <c r="E78" i="3"/>
  <c r="E72" i="3"/>
  <c r="D72" i="3"/>
  <c r="E70" i="3"/>
  <c r="D70" i="3"/>
  <c r="E75" i="3"/>
  <c r="D75" i="3"/>
  <c r="D76" i="3"/>
  <c r="E76" i="3"/>
  <c r="D77" i="3"/>
  <c r="E77" i="3"/>
  <c r="E79" i="3"/>
  <c r="D79" i="3"/>
  <c r="D80" i="3"/>
  <c r="E80" i="3"/>
  <c r="E69" i="3"/>
  <c r="D69" i="3"/>
  <c r="E81" i="3"/>
  <c r="D81" i="3"/>
  <c r="E68" i="3"/>
  <c r="D68" i="3"/>
  <c r="C42" i="2"/>
  <c r="B53" i="2"/>
  <c r="C53" i="2" s="1"/>
  <c r="B80" i="2" a="1"/>
  <c r="B80" i="2" s="1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E84" i="3" l="1"/>
  <c r="E83" i="3"/>
  <c r="D84" i="3"/>
  <c r="D83" i="3"/>
  <c r="E64" i="2"/>
  <c r="D64" i="2"/>
  <c r="E63" i="2"/>
  <c r="D63" i="2"/>
  <c r="D65" i="2"/>
  <c r="E65" i="2"/>
  <c r="E67" i="2"/>
  <c r="D67" i="2"/>
  <c r="D68" i="2"/>
  <c r="E68" i="2"/>
  <c r="E66" i="2"/>
  <c r="D66" i="2"/>
  <c r="E70" i="2"/>
  <c r="D70" i="2"/>
  <c r="D69" i="2"/>
  <c r="E69" i="2"/>
  <c r="E72" i="2"/>
  <c r="D72" i="2"/>
  <c r="E71" i="2"/>
  <c r="D71" i="2"/>
  <c r="E74" i="2"/>
  <c r="D74" i="2"/>
  <c r="D73" i="2"/>
  <c r="E73" i="2"/>
  <c r="E62" i="2"/>
  <c r="D62" i="2"/>
  <c r="D76" i="2" l="1"/>
  <c r="D75" i="2"/>
  <c r="E76" i="2"/>
  <c r="E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<sst xmlns="http://schemas.openxmlformats.org/spreadsheetml/2006/main" count="677" uniqueCount="254">
  <si>
    <t>Year</t>
  </si>
  <si>
    <t>SOC_t_C_ha</t>
  </si>
  <si>
    <t>Project</t>
  </si>
  <si>
    <t>Baseline</t>
  </si>
  <si>
    <t>Difference</t>
  </si>
  <si>
    <t>1 (initialization)</t>
  </si>
  <si>
    <t>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</si>
  <si>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</si>
  <si>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</si>
  <si>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</si>
  <si>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</si>
  <si>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</si>
  <si>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</si>
  <si>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</si>
  <si>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</si>
  <si>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</si>
  <si>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</si>
  <si>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</si>
  <si>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</si>
  <si>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</si>
  <si>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</si>
  <si>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</si>
  <si>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</si>
  <si>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</si>
  <si>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</si>
  <si>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</si>
  <si>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</si>
  <si>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</si>
  <si>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</si>
  <si>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</si>
  <si>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</si>
  <si>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</si>
  <si>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</si>
  <si>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</si>
  <si>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</si>
  <si>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</si>
  <si>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</si>
  <si>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</si>
  <si>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</si>
  <si>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</si>
  <si>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</si>
  <si>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</si>
  <si>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</si>
  <si>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</si>
  <si>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</si>
  <si>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</si>
  <si>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</si>
  <si>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</si>
  <si>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</si>
  <si>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</si>
  <si>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</si>
  <si>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</si>
  <si>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</si>
  <si>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</si>
  <si>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</si>
  <si>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</si>
  <si>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</si>
  <si>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</si>
  <si>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</si>
  <si>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</si>
  <si>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</si>
  <si>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</si>
  <si>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</si>
  <si>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</si>
  <si>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</si>
  <si>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</si>
  <si>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</si>
  <si>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</si>
  <si>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</si>
  <si>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</si>
  <si>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</si>
  <si>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</si>
  <si>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</si>
  <si>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</si>
  <si>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</si>
  <si>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</si>
  <si>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</si>
  <si>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</si>
  <si>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</si>
  <si>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</si>
  <si>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</si>
  <si>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</si>
  <si>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</si>
  <si>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</si>
  <si>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</si>
  <si>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</si>
  <si>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</si>
  <si>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</si>
  <si>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</si>
  <si>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</si>
  <si>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</si>
  <si>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</si>
  <si>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</si>
  <si>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</si>
  <si>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</si>
  <si>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</si>
  <si>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</si>
  <si>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</si>
  <si>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</si>
  <si>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</si>
  <si>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</si>
  <si>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</si>
  <si>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</si>
  <si>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</si>
  <si>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</si>
  <si>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</si>
  <si>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</si>
  <si>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</si>
  <si>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</si>
  <si>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</si>
  <si>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</si>
  <si>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</si>
  <si>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</si>
  <si>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</si>
  <si>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</si>
  <si>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</si>
  <si>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</si>
  <si>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</si>
  <si>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</si>
  <si>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</si>
  <si>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</si>
  <si>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</si>
  <si>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</si>
  <si>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</si>
  <si>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</si>
  <si>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</si>
  <si>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</si>
  <si>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</si>
  <si>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</si>
  <si>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</si>
  <si>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</si>
  <si>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</si>
  <si>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</si>
  <si>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</si>
  <si>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</si>
  <si>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</si>
  <si>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</si>
  <si>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</si>
  <si>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</si>
  <si>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</si>
  <si>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</si>
  <si>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</si>
  <si>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</si>
  <si>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</si>
  <si>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</si>
  <si>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</si>
  <si>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</si>
  <si>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</si>
  <si>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</si>
  <si>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</si>
  <si>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</si>
  <si>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</si>
  <si>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</si>
  <si>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</si>
  <si>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</si>
  <si>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</si>
  <si>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</si>
  <si>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</si>
  <si>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</si>
  <si>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</si>
  <si>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</si>
  <si>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</si>
  <si>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</si>
  <si>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</si>
  <si>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</si>
  <si>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</si>
  <si>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</si>
  <si>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</si>
  <si>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</si>
  <si>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</si>
  <si>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</si>
  <si>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</si>
  <si>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</si>
  <si>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</si>
  <si>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</si>
  <si>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</si>
  <si>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</si>
  <si>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</si>
  <si>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</si>
  <si>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</si>
  <si>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</si>
  <si>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</si>
  <si>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</si>
  <si>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</si>
  <si>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</si>
  <si>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</si>
  <si>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</si>
  <si>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</si>
  <si>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</si>
  <si>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</si>
  <si>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</si>
  <si>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</si>
  <si>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</si>
  <si>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</si>
  <si>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</si>
  <si>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</si>
  <si>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</si>
  <si>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</si>
  <si>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</si>
  <si>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</si>
  <si>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</si>
  <si>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</si>
  <si>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</si>
  <si>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</si>
  <si>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</si>
  <si>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</si>
  <si>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</si>
  <si>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</si>
  <si>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</si>
  <si>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</si>
  <si>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</si>
  <si>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</si>
  <si>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</si>
  <si>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</si>
  <si>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</si>
  <si>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</si>
  <si>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</si>
  <si>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</si>
  <si>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</si>
  <si>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</si>
  <si>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Units ----&gt;</t>
  </si>
  <si>
    <t>Est ERs</t>
  </si>
  <si>
    <t>tCO2e</t>
  </si>
  <si>
    <t>Est Error</t>
  </si>
  <si>
    <t>Samples</t>
  </si>
  <si>
    <t>Prediction (RothC Baseline 2025)</t>
  </si>
  <si>
    <t>Field-measurement (2025)</t>
  </si>
  <si>
    <t>Variance (inherent)</t>
  </si>
  <si>
    <t>Variance (calculated)</t>
  </si>
  <si>
    <t>Caltic Vertisol</t>
  </si>
  <si>
    <t>Ferric Lixosols</t>
  </si>
  <si>
    <t>Baseline Scenario (after 2025 field-sampling)</t>
  </si>
  <si>
    <t>Baseline Sampling Error (tC/ha/yr)^2</t>
  </si>
  <si>
    <t>Total Error (tC/ha/yr)^2</t>
  </si>
  <si>
    <t>Totals</t>
  </si>
  <si>
    <t>Representative Area</t>
  </si>
  <si>
    <t>Model Error (tC/ha/yr)^2</t>
  </si>
  <si>
    <t>QA1</t>
  </si>
  <si>
    <t>QA3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</si>
  <si>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</si>
  <si>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</si>
  <si>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</si>
  <si>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</si>
  <si>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</si>
  <si>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</si>
  <si>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</si>
  <si>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 xml:space="preserve">Vintage period </t>
  </si>
  <si>
    <r>
      <t>Estimated baseline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</si>
  <si>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project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</si>
  <si>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leakage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</si>
  <si>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buffer pool allocation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</si>
  <si>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reduction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</si>
  <si>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removal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</si>
  <si>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total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</si>
</sst>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  <font>
      <sz val="9.5"/>
      <color theme="1"/>
      <name val="Franklin Gothic Book"/>
      <family val="2"/>
    </font>
    <font>
      <b/>
      <sz val="9.5"/>
      <color rgb="FFFFFFFF"/>
      <name val="Franklin Gothic Book"/>
      <family val="2"/>
    </font>
    <font>
      <b/>
      <vertAlign val="subscript"/>
      <sz val="9.5"/>
      <color rgb="FFFFFFFF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2B39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4" fontId="0" fillId="0" borderId="0" xfId="0" applyNumberFormat="1"/>
    <xf numFmtId="0" fontId="3" fillId="0" borderId="0" xfId="0" applyFont="1"/>
    <xf numFmtId="43" fontId="1" fillId="0" borderId="0" xfId="1" applyFon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27" fillId="0" borderId="0" xfId="0" applyFont="1"/>
    <xf numFmtId="0" fontId="28" fillId="2" borderId="11" xfId="0" applyFont="1" applyFill="1" applyBorder="1" applyAlignment="1">
      <alignment vertical="center" wrapText="1"/>
    </xf>
    <xf numFmtId="0" fontId="28" fillId="2" borderId="12" xfId="0" applyFont="1" applyFill="1" applyBorder="1" applyAlignment="1">
      <alignment vertical="center" wrapText="1"/>
    </xf>
    <xf numFmtId="0" fontId="28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X47"/>
  <sheetViews>
    <sheetView tabSelected="1" topLeftCell="I6" zoomScale="83" workbookViewId="0">
      <selection activeCell="Z18" sqref="Z18"/>
    </sheetView>
  </sheetViews>
  <sheetFormatPr baseColWidth="10" defaultRowHeight="16" x14ac:dyDescent="0.2"/>
  <cols>
    <col min="1" max="1" width="17.5" customWidth="1"/>
    <col min="6" max="6" width="13.1640625" customWidth="1"/>
    <col min="8" max="8" width="11.5" bestFit="1" customWidth="1"/>
    <col min="9" max="9" width="32.6640625" customWidth="1"/>
    <col min="10" max="10" width="32.83203125" customWidth="1"/>
    <col min="11" max="11" width="19.83203125" customWidth="1"/>
    <col min="12" max="12" width="18.5" customWidth="1"/>
    <col min="13" max="13" width="22.5" customWidth="1"/>
    <col min="14" max="14" width="22.1640625" customWidth="1"/>
    <col min="15" max="15" width="19.5" customWidth="1"/>
    <col min="17" max="19" width="11" bestFit="1" customWidth="1"/>
    <col min="20" max="20" width="11.83203125" bestFit="1" customWidth="1"/>
    <col min="21" max="22" width="11" bestFit="1" customWidth="1"/>
    <col min="23" max="24" width="11.5" bestFit="1" customWidth="1"/>
  </cols>
  <sheetData>
    <row r="2" spans="1:24" x14ac:dyDescent="0.2">
      <c r="A2" t="s">
        <v>6</v>
      </c>
      <c r="B2" s="2">
        <f>91000*0.2</f>
        <v>18200</v>
      </c>
    </row>
    <row r="3" spans="1:24" x14ac:dyDescent="0.2">
      <c r="F3" s="128" t="s">
        <v>237</v>
      </c>
      <c r="G3" s="128"/>
      <c r="I3" s="128" t="s">
        <v>238</v>
      </c>
      <c r="J3" s="128"/>
      <c r="K3" s="128"/>
      <c r="L3" s="128"/>
      <c r="M3" s="128"/>
      <c r="N3" s="128"/>
      <c r="O3" s="128"/>
    </row>
    <row r="4" spans="1:24" x14ac:dyDescent="0.2">
      <c r="A4" s="1" t="s">
        <v>0</v>
      </c>
      <c r="B4" s="3" t="s">
        <v>2</v>
      </c>
      <c r="C4" s="3" t="s">
        <v>3</v>
      </c>
      <c r="D4" s="3" t="s">
        <v>4</v>
      </c>
      <c r="E4" s="3"/>
      <c r="F4" s="3" t="s">
        <v>221</v>
      </c>
      <c r="G4" s="3" t="s">
        <v>223</v>
      </c>
      <c r="H4" s="3"/>
      <c r="I4" s="3" t="s">
        <v>239</v>
      </c>
      <c r="J4" s="3" t="s">
        <v>240</v>
      </c>
      <c r="K4" s="3" t="s">
        <v>241</v>
      </c>
      <c r="L4" s="3" t="s">
        <v>242</v>
      </c>
      <c r="M4" s="3" t="s">
        <v>243</v>
      </c>
      <c r="N4" s="3" t="s">
        <v>244</v>
      </c>
      <c r="O4" s="3" t="s">
        <v>245</v>
      </c>
      <c r="Q4" s="3"/>
      <c r="T4" s="3"/>
    </row>
    <row r="5" spans="1:24" ht="17" thickBot="1" x14ac:dyDescent="0.25">
      <c r="A5" t="s">
        <v>220</v>
      </c>
      <c r="B5" s="1" t="s">
        <v>1</v>
      </c>
      <c r="C5" s="1" t="s">
        <v>1</v>
      </c>
      <c r="D5" s="1" t="s">
        <v>1</v>
      </c>
      <c r="E5" s="1"/>
      <c r="F5" s="1" t="s">
        <v>222</v>
      </c>
      <c r="G5" s="1" t="s">
        <v>222</v>
      </c>
      <c r="H5" s="1"/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</row>
    <row r="6" spans="1:24" ht="61" thickBot="1" x14ac:dyDescent="0.25">
      <c r="A6" s="1" t="s">
        <v>5</v>
      </c>
      <c r="B6">
        <v>12.2420891867305</v>
      </c>
      <c r="C6" s="1">
        <v>4.27508219</v>
      </c>
      <c r="D6">
        <f>B6-C6</f>
        <v>7.9670069967304995</v>
      </c>
      <c r="F6" s="4">
        <f>D6*$B$2*44/12</f>
        <v>531664.93358181533</v>
      </c>
      <c r="G6">
        <f>SQRT('Sampling &amp; Combined Error'!$E$14)*$B$2*44/12</f>
        <v>39079.761084041042</v>
      </c>
      <c r="H6" s="123"/>
      <c r="Q6" s="124" t="s">
        <v>246</v>
      </c>
      <c r="R6" s="125" t="s">
        <v>247</v>
      </c>
      <c r="S6" s="125" t="s">
        <v>248</v>
      </c>
      <c r="T6" s="125" t="s">
        <v>249</v>
      </c>
      <c r="U6" s="126" t="s">
        <v>250</v>
      </c>
      <c r="V6" s="125" t="s">
        <v>251</v>
      </c>
      <c r="W6" s="125" t="s">
        <v>252</v>
      </c>
      <c r="X6" s="127" t="s">
        <v>253</v>
      </c>
    </row>
    <row r="7" spans="1:24" x14ac:dyDescent="0.2">
      <c r="A7" s="1">
        <v>2025</v>
      </c>
      <c r="B7">
        <v>12.2420882231769</v>
      </c>
      <c r="C7" s="1">
        <v>4.2750812099999997</v>
      </c>
      <c r="D7">
        <f t="shared" ref="D7:D18" si="0">B7-C7</f>
        <v>7.9670070131769002</v>
      </c>
      <c r="F7" s="4">
        <f t="shared" ref="F7:F18" si="1">D7*$B$2*44/12</f>
        <v>531664.93467933836</v>
      </c>
      <c r="G7">
        <f>SQRT('Sampling &amp; Combined Error'!$E$14)*$B$2*44/12</f>
        <v>39079.761084041042</v>
      </c>
      <c r="H7" s="123"/>
      <c r="I7">
        <v>217.375</v>
      </c>
      <c r="J7">
        <v>379.66660000000002</v>
      </c>
      <c r="K7">
        <v>1554.49771021999</v>
      </c>
      <c r="L7">
        <v>1107.5355199999999</v>
      </c>
      <c r="M7">
        <v>12306.966700000001</v>
      </c>
      <c r="N7">
        <v>6153.4832999999999</v>
      </c>
      <c r="O7">
        <f>(N7+L7)-(I7+J7+K7+M7)</f>
        <v>-7197.487190219992</v>
      </c>
      <c r="Q7" s="1">
        <v>2025</v>
      </c>
      <c r="R7">
        <f>SUM(I7,J7,K7,M7)</f>
        <v>14458.506010219991</v>
      </c>
      <c r="S7">
        <f>SUM(L7,N7)</f>
        <v>7261.0188199999993</v>
      </c>
      <c r="T7">
        <v>0</v>
      </c>
      <c r="U7" s="123">
        <f>(W7+V7)*0.175</f>
        <v>87461.965637465517</v>
      </c>
      <c r="V7">
        <f>R7-S7</f>
        <v>7197.487190219992</v>
      </c>
      <c r="W7" s="123">
        <f>F7-G7</f>
        <v>492585.17359529732</v>
      </c>
      <c r="X7" s="123">
        <f>W7+V7-U7</f>
        <v>412320.69514805177</v>
      </c>
    </row>
    <row r="8" spans="1:24" x14ac:dyDescent="0.2">
      <c r="A8" s="1">
        <v>2026</v>
      </c>
      <c r="B8">
        <v>12.242087277836101</v>
      </c>
      <c r="C8" s="1">
        <v>4.2750802500000002</v>
      </c>
      <c r="D8">
        <f t="shared" si="0"/>
        <v>7.9670070278361003</v>
      </c>
      <c r="F8" s="4">
        <f t="shared" si="1"/>
        <v>531664.93565759575</v>
      </c>
      <c r="G8">
        <f>SQRT('Sampling &amp; Combined Error'!$E$14)*$B$2*44/12</f>
        <v>39079.761084041042</v>
      </c>
      <c r="H8" s="123"/>
      <c r="I8">
        <v>217.375</v>
      </c>
      <c r="J8">
        <v>379.66660000000002</v>
      </c>
      <c r="K8">
        <v>1554.49771021999</v>
      </c>
      <c r="L8">
        <v>1107.5355199999999</v>
      </c>
      <c r="M8">
        <v>12306.966700000001</v>
      </c>
      <c r="N8">
        <v>6153.4832999999999</v>
      </c>
      <c r="O8">
        <f t="shared" ref="O8:O18" si="2">(N8+L8)-(I8+J8+K8+M8)</f>
        <v>-7197.487190219992</v>
      </c>
      <c r="Q8" s="1">
        <v>2026</v>
      </c>
      <c r="R8">
        <f t="shared" ref="R8:R33" si="3">SUM(I8,J8,K8,M8)</f>
        <v>14458.506010219991</v>
      </c>
      <c r="S8">
        <f t="shared" ref="S8:S33" si="4">SUM(L8,N8)</f>
        <v>7261.0188199999993</v>
      </c>
      <c r="T8">
        <v>1</v>
      </c>
      <c r="U8" s="123">
        <f t="shared" ref="U8:U33" si="5">(W8+V8)*0.175</f>
        <v>87461.965808660563</v>
      </c>
      <c r="V8">
        <f t="shared" ref="V8:V33" si="6">R8-S8</f>
        <v>7197.487190219992</v>
      </c>
      <c r="W8" s="123">
        <f t="shared" ref="W8:W33" si="7">F8-G8</f>
        <v>492585.17457355472</v>
      </c>
      <c r="X8" s="123">
        <f t="shared" ref="X8:X33" si="8">W8+V8-U8</f>
        <v>412320.69595511415</v>
      </c>
    </row>
    <row r="9" spans="1:24" x14ac:dyDescent="0.2">
      <c r="A9" s="1">
        <v>2027</v>
      </c>
      <c r="B9">
        <v>12.242086350363801</v>
      </c>
      <c r="C9" s="1">
        <v>4.2750793099999997</v>
      </c>
      <c r="D9">
        <f t="shared" si="0"/>
        <v>7.9670070403638009</v>
      </c>
      <c r="F9" s="4">
        <f t="shared" si="1"/>
        <v>531664.93649361108</v>
      </c>
      <c r="G9">
        <f>SQRT('Sampling &amp; Combined Error'!$E$14)*$B$2*44/12</f>
        <v>39079.761084041042</v>
      </c>
      <c r="H9" s="123"/>
      <c r="I9">
        <v>217.375</v>
      </c>
      <c r="J9">
        <v>379.66660000000002</v>
      </c>
      <c r="K9">
        <v>1554.49771021999</v>
      </c>
      <c r="L9">
        <v>1107.5355199999999</v>
      </c>
      <c r="M9">
        <v>12306.966700000001</v>
      </c>
      <c r="N9">
        <v>6153.4832999999999</v>
      </c>
      <c r="O9">
        <f t="shared" si="2"/>
        <v>-7197.487190219992</v>
      </c>
      <c r="Q9" s="1">
        <v>2027</v>
      </c>
      <c r="R9">
        <f t="shared" si="3"/>
        <v>14458.506010219991</v>
      </c>
      <c r="S9">
        <f t="shared" si="4"/>
        <v>7261.0188199999993</v>
      </c>
      <c r="T9">
        <v>2</v>
      </c>
      <c r="U9" s="123">
        <f t="shared" si="5"/>
        <v>87461.965954963249</v>
      </c>
      <c r="V9">
        <f t="shared" si="6"/>
        <v>7197.487190219992</v>
      </c>
      <c r="W9" s="123">
        <f t="shared" si="7"/>
        <v>492585.17540957005</v>
      </c>
      <c r="X9" s="123">
        <f t="shared" si="8"/>
        <v>412320.69664482679</v>
      </c>
    </row>
    <row r="10" spans="1:24" x14ac:dyDescent="0.2">
      <c r="A10" s="1">
        <v>2028</v>
      </c>
      <c r="B10">
        <v>12.242085440422301</v>
      </c>
      <c r="C10" s="1">
        <v>4.27507839</v>
      </c>
      <c r="D10">
        <f t="shared" si="0"/>
        <v>7.9670070504223007</v>
      </c>
      <c r="F10" s="4">
        <f t="shared" si="1"/>
        <v>531664.9371648482</v>
      </c>
      <c r="G10">
        <f>SQRT('Sampling &amp; Combined Error'!$E$14)*$B$2*44/12</f>
        <v>39079.761084041042</v>
      </c>
      <c r="H10" s="123"/>
      <c r="I10">
        <v>217.375</v>
      </c>
      <c r="J10">
        <v>379.66660000000002</v>
      </c>
      <c r="K10">
        <v>1554.49771021999</v>
      </c>
      <c r="L10">
        <v>1107.5355199999999</v>
      </c>
      <c r="M10">
        <v>12306.966700000001</v>
      </c>
      <c r="N10">
        <v>6153.4832999999999</v>
      </c>
      <c r="O10">
        <f t="shared" si="2"/>
        <v>-7197.487190219992</v>
      </c>
      <c r="Q10" s="1">
        <v>2028</v>
      </c>
      <c r="R10">
        <f t="shared" si="3"/>
        <v>14458.506010219991</v>
      </c>
      <c r="S10">
        <f t="shared" si="4"/>
        <v>7261.0188199999993</v>
      </c>
      <c r="T10">
        <v>3</v>
      </c>
      <c r="U10" s="123">
        <f t="shared" si="5"/>
        <v>87461.966072429743</v>
      </c>
      <c r="V10">
        <f t="shared" si="6"/>
        <v>7197.487190219992</v>
      </c>
      <c r="W10" s="123">
        <f t="shared" si="7"/>
        <v>492585.17608080717</v>
      </c>
      <c r="X10" s="123">
        <f t="shared" si="8"/>
        <v>412320.69719859742</v>
      </c>
    </row>
    <row r="11" spans="1:24" x14ac:dyDescent="0.2">
      <c r="A11" s="1">
        <v>2029</v>
      </c>
      <c r="B11">
        <v>12.2420845476803</v>
      </c>
      <c r="C11" s="1">
        <v>4.2750774900000001</v>
      </c>
      <c r="D11">
        <f t="shared" si="0"/>
        <v>7.9670070576802994</v>
      </c>
      <c r="F11" s="4">
        <f t="shared" si="1"/>
        <v>531664.93764919869</v>
      </c>
      <c r="G11">
        <f>SQRT('Sampling &amp; Combined Error'!$E$14)*$B$2*44/12</f>
        <v>39079.761084041042</v>
      </c>
      <c r="H11" s="123"/>
      <c r="I11">
        <v>217.375</v>
      </c>
      <c r="J11">
        <v>379.66660000000002</v>
      </c>
      <c r="K11">
        <v>1554.49771021999</v>
      </c>
      <c r="L11">
        <v>1107.5355199999999</v>
      </c>
      <c r="M11">
        <v>12306.966700000001</v>
      </c>
      <c r="N11">
        <v>6153.4832999999999</v>
      </c>
      <c r="O11">
        <f t="shared" si="2"/>
        <v>-7197.487190219992</v>
      </c>
      <c r="Q11" s="1">
        <v>2029</v>
      </c>
      <c r="R11">
        <f t="shared" si="3"/>
        <v>14458.506010219991</v>
      </c>
      <c r="S11">
        <f t="shared" si="4"/>
        <v>7261.0188199999993</v>
      </c>
      <c r="T11">
        <v>4</v>
      </c>
      <c r="U11" s="123">
        <f t="shared" si="5"/>
        <v>87461.966157191084</v>
      </c>
      <c r="V11">
        <f t="shared" si="6"/>
        <v>7197.487190219992</v>
      </c>
      <c r="W11" s="123">
        <f t="shared" si="7"/>
        <v>492585.17656515766</v>
      </c>
      <c r="X11" s="123">
        <f t="shared" si="8"/>
        <v>412320.69759818655</v>
      </c>
    </row>
    <row r="12" spans="1:24" x14ac:dyDescent="0.2">
      <c r="A12" s="1">
        <v>2030</v>
      </c>
      <c r="B12">
        <v>12.2420836718125</v>
      </c>
      <c r="C12" s="1">
        <v>4.2750766000000002</v>
      </c>
      <c r="D12">
        <f t="shared" si="0"/>
        <v>7.9670070718124997</v>
      </c>
      <c r="F12" s="4">
        <f t="shared" si="1"/>
        <v>531664.9385922876</v>
      </c>
      <c r="G12">
        <f>SQRT('Sampling &amp; Combined Error'!$E$14)*$B$2*44/12</f>
        <v>39079.761084041042</v>
      </c>
      <c r="H12" s="123"/>
      <c r="I12">
        <v>217.375</v>
      </c>
      <c r="J12">
        <v>379.66660000000002</v>
      </c>
      <c r="K12">
        <v>1554.49771021999</v>
      </c>
      <c r="L12">
        <v>1107.5355199999999</v>
      </c>
      <c r="M12">
        <v>12306.966700000001</v>
      </c>
      <c r="N12">
        <v>6153.4832999999999</v>
      </c>
      <c r="O12">
        <f t="shared" si="2"/>
        <v>-7197.487190219992</v>
      </c>
      <c r="Q12" s="1">
        <v>2030</v>
      </c>
      <c r="R12">
        <f t="shared" si="3"/>
        <v>14458.506010219991</v>
      </c>
      <c r="S12">
        <f t="shared" si="4"/>
        <v>7261.0188199999993</v>
      </c>
      <c r="T12">
        <v>5</v>
      </c>
      <c r="U12" s="123">
        <f t="shared" si="5"/>
        <v>87461.966322231645</v>
      </c>
      <c r="V12">
        <f t="shared" si="6"/>
        <v>7197.487190219992</v>
      </c>
      <c r="W12" s="123">
        <f t="shared" si="7"/>
        <v>492585.17750824656</v>
      </c>
      <c r="X12" s="123">
        <f t="shared" si="8"/>
        <v>412320.69837623491</v>
      </c>
    </row>
    <row r="13" spans="1:24" x14ac:dyDescent="0.2">
      <c r="A13" s="1">
        <v>2031</v>
      </c>
      <c r="B13">
        <v>12.242082812500101</v>
      </c>
      <c r="C13" s="1">
        <v>4.2750757300000002</v>
      </c>
      <c r="D13">
        <f t="shared" si="0"/>
        <v>7.9670070825001007</v>
      </c>
      <c r="F13" s="4">
        <f t="shared" si="1"/>
        <v>531664.93930550665</v>
      </c>
      <c r="G13">
        <f>SQRT('Sampling &amp; Combined Error'!$E$14)*$B$2*44/12</f>
        <v>39079.761084041042</v>
      </c>
      <c r="H13" s="123"/>
      <c r="I13">
        <v>217.375</v>
      </c>
      <c r="J13">
        <v>379.66660000000002</v>
      </c>
      <c r="K13">
        <v>1554.49771021999</v>
      </c>
      <c r="L13">
        <v>1107.5355199999999</v>
      </c>
      <c r="M13">
        <v>12306.966700000001</v>
      </c>
      <c r="N13">
        <v>6153.4832999999999</v>
      </c>
      <c r="O13">
        <f t="shared" si="2"/>
        <v>-7197.487190219992</v>
      </c>
      <c r="Q13" s="1">
        <v>2031</v>
      </c>
      <c r="R13">
        <f t="shared" si="3"/>
        <v>14458.506010219991</v>
      </c>
      <c r="S13">
        <f t="shared" si="4"/>
        <v>7261.0188199999993</v>
      </c>
      <c r="T13">
        <v>6</v>
      </c>
      <c r="U13" s="123">
        <f t="shared" si="5"/>
        <v>87461.966447044979</v>
      </c>
      <c r="V13">
        <f t="shared" si="6"/>
        <v>7197.487190219992</v>
      </c>
      <c r="W13" s="123">
        <f t="shared" si="7"/>
        <v>492585.17822146561</v>
      </c>
      <c r="X13" s="123">
        <f t="shared" si="8"/>
        <v>412320.69896464061</v>
      </c>
    </row>
    <row r="14" spans="1:24" x14ac:dyDescent="0.2">
      <c r="A14" s="1">
        <v>2032</v>
      </c>
      <c r="B14">
        <v>12.242081969430201</v>
      </c>
      <c r="C14" s="1">
        <v>4.2750748700000001</v>
      </c>
      <c r="D14">
        <f t="shared" si="0"/>
        <v>7.9670070994302007</v>
      </c>
      <c r="F14" s="4">
        <f t="shared" si="1"/>
        <v>531664.94043530873</v>
      </c>
      <c r="G14">
        <f>SQRT('Sampling &amp; Combined Error'!$E$14)*$B$2*44/12</f>
        <v>39079.761084041042</v>
      </c>
      <c r="H14" s="123"/>
      <c r="I14">
        <v>217.375</v>
      </c>
      <c r="J14">
        <v>379.66660000000002</v>
      </c>
      <c r="K14">
        <v>1554.49771021999</v>
      </c>
      <c r="L14">
        <v>1107.5355199999999</v>
      </c>
      <c r="M14">
        <v>12306.966700000001</v>
      </c>
      <c r="N14">
        <v>6153.4832999999999</v>
      </c>
      <c r="O14">
        <f t="shared" si="2"/>
        <v>-7197.487190219992</v>
      </c>
      <c r="Q14" s="1">
        <v>2032</v>
      </c>
      <c r="R14">
        <f t="shared" si="3"/>
        <v>14458.506010219991</v>
      </c>
      <c r="S14">
        <f t="shared" si="4"/>
        <v>7261.0188199999993</v>
      </c>
      <c r="T14">
        <v>7</v>
      </c>
      <c r="U14" s="123">
        <f t="shared" si="5"/>
        <v>87461.966644760338</v>
      </c>
      <c r="V14">
        <f t="shared" si="6"/>
        <v>7197.487190219992</v>
      </c>
      <c r="W14" s="123">
        <f t="shared" si="7"/>
        <v>492585.1793512677</v>
      </c>
      <c r="X14" s="123">
        <f t="shared" si="8"/>
        <v>412320.69989672734</v>
      </c>
    </row>
    <row r="15" spans="1:24" x14ac:dyDescent="0.2">
      <c r="A15" s="1">
        <v>2033</v>
      </c>
      <c r="B15">
        <v>12.2420811422956</v>
      </c>
      <c r="C15" s="1">
        <v>4.2750740399999998</v>
      </c>
      <c r="D15">
        <f t="shared" si="0"/>
        <v>7.9670071022956002</v>
      </c>
      <c r="F15" s="4">
        <f t="shared" si="1"/>
        <v>531664.94062652637</v>
      </c>
      <c r="G15">
        <f>SQRT('Sampling &amp; Combined Error'!$E$14)*$B$2*44/12</f>
        <v>39079.761084041042</v>
      </c>
      <c r="H15" s="123"/>
      <c r="I15">
        <v>217.375</v>
      </c>
      <c r="J15">
        <v>379.66660000000002</v>
      </c>
      <c r="K15">
        <v>1554.49771021999</v>
      </c>
      <c r="L15">
        <v>1107.5355199999999</v>
      </c>
      <c r="M15">
        <v>12306.966700000001</v>
      </c>
      <c r="N15">
        <v>6153.4832999999999</v>
      </c>
      <c r="O15">
        <f t="shared" si="2"/>
        <v>-7197.487190219992</v>
      </c>
      <c r="Q15" s="1">
        <v>2033</v>
      </c>
      <c r="R15">
        <f t="shared" si="3"/>
        <v>14458.506010219991</v>
      </c>
      <c r="S15">
        <f t="shared" si="4"/>
        <v>7261.0188199999993</v>
      </c>
      <c r="T15">
        <v>8</v>
      </c>
      <c r="U15" s="123">
        <f t="shared" si="5"/>
        <v>87461.966678223427</v>
      </c>
      <c r="V15">
        <f t="shared" si="6"/>
        <v>7197.487190219992</v>
      </c>
      <c r="W15" s="123">
        <f t="shared" si="7"/>
        <v>492585.17954248533</v>
      </c>
      <c r="X15" s="123">
        <f t="shared" si="8"/>
        <v>412320.70005448186</v>
      </c>
    </row>
    <row r="16" spans="1:24" x14ac:dyDescent="0.2">
      <c r="A16" s="1">
        <v>2034</v>
      </c>
      <c r="B16">
        <v>12.2420803307953</v>
      </c>
      <c r="C16" s="1">
        <v>4.2750732100000004</v>
      </c>
      <c r="D16">
        <f t="shared" si="0"/>
        <v>7.9670071207952997</v>
      </c>
      <c r="F16" s="4">
        <f t="shared" si="1"/>
        <v>531664.9418610729</v>
      </c>
      <c r="G16">
        <f>SQRT('Sampling &amp; Combined Error'!$E$14)*$B$2*44/12</f>
        <v>39079.761084041042</v>
      </c>
      <c r="H16" s="123"/>
      <c r="I16">
        <v>217.375</v>
      </c>
      <c r="J16">
        <v>379.66660000000002</v>
      </c>
      <c r="K16">
        <v>1554.49771021999</v>
      </c>
      <c r="L16">
        <v>1107.5355199999999</v>
      </c>
      <c r="M16">
        <v>12306.966700000001</v>
      </c>
      <c r="N16">
        <v>6153.4832999999999</v>
      </c>
      <c r="O16">
        <f t="shared" si="2"/>
        <v>-7197.487190219992</v>
      </c>
      <c r="Q16" s="1">
        <v>2034</v>
      </c>
      <c r="R16">
        <f t="shared" si="3"/>
        <v>14458.506010219991</v>
      </c>
      <c r="S16">
        <f t="shared" si="4"/>
        <v>7261.0188199999993</v>
      </c>
      <c r="T16">
        <v>9</v>
      </c>
      <c r="U16" s="123">
        <f t="shared" si="5"/>
        <v>87461.966894269062</v>
      </c>
      <c r="V16">
        <f t="shared" si="6"/>
        <v>7197.487190219992</v>
      </c>
      <c r="W16" s="123">
        <f t="shared" si="7"/>
        <v>492585.18077703187</v>
      </c>
      <c r="X16" s="123">
        <f t="shared" si="8"/>
        <v>412320.7010729828</v>
      </c>
    </row>
    <row r="17" spans="1:24" x14ac:dyDescent="0.2">
      <c r="A17" s="1">
        <v>2035</v>
      </c>
      <c r="B17">
        <v>12.242079534633699</v>
      </c>
      <c r="C17" s="1">
        <v>4.2750724099999999</v>
      </c>
      <c r="D17">
        <f t="shared" si="0"/>
        <v>7.9670071246336995</v>
      </c>
      <c r="F17" s="4">
        <f t="shared" si="1"/>
        <v>531664.94211722224</v>
      </c>
      <c r="G17">
        <f>SQRT('Sampling &amp; Combined Error'!$E$14)*$B$2*44/12</f>
        <v>39079.761084041042</v>
      </c>
      <c r="H17" s="123"/>
      <c r="I17">
        <v>217.375</v>
      </c>
      <c r="J17">
        <v>379.66660000000002</v>
      </c>
      <c r="K17">
        <v>1554.49771021999</v>
      </c>
      <c r="L17">
        <v>1107.5355199999999</v>
      </c>
      <c r="M17">
        <v>12306.966700000001</v>
      </c>
      <c r="N17">
        <v>6153.4832999999999</v>
      </c>
      <c r="O17">
        <f t="shared" si="2"/>
        <v>-7197.487190219992</v>
      </c>
      <c r="Q17" s="1">
        <v>2035</v>
      </c>
      <c r="R17">
        <f t="shared" si="3"/>
        <v>14458.506010219991</v>
      </c>
      <c r="S17">
        <f t="shared" si="4"/>
        <v>7261.0188199999993</v>
      </c>
      <c r="T17">
        <v>10</v>
      </c>
      <c r="U17" s="123">
        <f t="shared" si="5"/>
        <v>87461.966939095204</v>
      </c>
      <c r="V17">
        <f t="shared" si="6"/>
        <v>7197.487190219992</v>
      </c>
      <c r="W17" s="123">
        <f t="shared" si="7"/>
        <v>492585.1810331812</v>
      </c>
      <c r="X17" s="123">
        <f t="shared" si="8"/>
        <v>412320.70128430601</v>
      </c>
    </row>
    <row r="18" spans="1:24" x14ac:dyDescent="0.2">
      <c r="A18">
        <v>2036</v>
      </c>
      <c r="B18">
        <v>12.242078753521</v>
      </c>
      <c r="C18" s="1">
        <v>4.2750716200000003</v>
      </c>
      <c r="D18">
        <f t="shared" si="0"/>
        <v>7.9670071335209993</v>
      </c>
      <c r="F18" s="4">
        <f t="shared" si="1"/>
        <v>531664.94271030126</v>
      </c>
      <c r="G18">
        <f>SQRT('Sampling &amp; Combined Error'!$E$14)*$B$2*44/12</f>
        <v>39079.761084041042</v>
      </c>
      <c r="H18" s="123"/>
      <c r="I18">
        <v>217.375</v>
      </c>
      <c r="J18">
        <v>379.66660000000002</v>
      </c>
      <c r="K18">
        <v>1554.49771021999</v>
      </c>
      <c r="L18">
        <v>1107.5355199999999</v>
      </c>
      <c r="M18">
        <v>12306.966700000001</v>
      </c>
      <c r="N18">
        <v>6153.4832999999999</v>
      </c>
      <c r="O18">
        <f t="shared" si="2"/>
        <v>-7197.487190219992</v>
      </c>
      <c r="Q18" s="1">
        <v>2036</v>
      </c>
      <c r="R18">
        <f t="shared" si="3"/>
        <v>14458.506010219991</v>
      </c>
      <c r="S18">
        <f t="shared" si="4"/>
        <v>7261.0188199999993</v>
      </c>
      <c r="T18">
        <v>11</v>
      </c>
      <c r="U18" s="123">
        <f t="shared" si="5"/>
        <v>87461.967042884033</v>
      </c>
      <c r="V18">
        <f t="shared" si="6"/>
        <v>7197.487190219992</v>
      </c>
      <c r="W18" s="123">
        <f t="shared" si="7"/>
        <v>492585.18162626022</v>
      </c>
      <c r="X18" s="123">
        <f t="shared" si="8"/>
        <v>412320.70177359617</v>
      </c>
    </row>
    <row r="19" spans="1:24" x14ac:dyDescent="0.2">
      <c r="A19">
        <v>2037</v>
      </c>
      <c r="B19">
        <v>12.2420779871725</v>
      </c>
      <c r="C19" s="1">
        <v>4.2750708399999997</v>
      </c>
      <c r="D19">
        <f t="shared" ref="D19:D47" si="9">B19-C19</f>
        <v>7.9670071471725006</v>
      </c>
      <c r="F19" s="4">
        <f t="shared" ref="F19:F47" si="10">D19*$B$2*44/12</f>
        <v>531664.94362131145</v>
      </c>
      <c r="G19">
        <f>SQRT('Sampling &amp; Combined Error'!$E$14)*$B$2*44/12</f>
        <v>39079.761084041042</v>
      </c>
      <c r="H19" s="123"/>
      <c r="I19">
        <v>217.375</v>
      </c>
      <c r="J19">
        <v>379.66660000000002</v>
      </c>
      <c r="K19">
        <v>1554.49771021999</v>
      </c>
      <c r="L19">
        <v>1107.5355199999999</v>
      </c>
      <c r="M19">
        <v>12306.966700000001</v>
      </c>
      <c r="N19">
        <v>6153.4832999999999</v>
      </c>
      <c r="O19">
        <f t="shared" ref="O19:O47" si="11">(N19+L19)-(I19+J19+K19+M19)</f>
        <v>-7197.487190219992</v>
      </c>
      <c r="Q19" s="1">
        <v>2037</v>
      </c>
      <c r="R19">
        <f t="shared" si="3"/>
        <v>14458.506010219991</v>
      </c>
      <c r="S19">
        <f t="shared" si="4"/>
        <v>7261.0188199999993</v>
      </c>
      <c r="T19">
        <v>12</v>
      </c>
      <c r="U19" s="123">
        <f t="shared" si="5"/>
        <v>87461.967202310814</v>
      </c>
      <c r="V19">
        <f t="shared" si="6"/>
        <v>7197.487190219992</v>
      </c>
      <c r="W19" s="123">
        <f t="shared" si="7"/>
        <v>492585.18253727042</v>
      </c>
      <c r="X19" s="123">
        <f t="shared" si="8"/>
        <v>412320.7025251796</v>
      </c>
    </row>
    <row r="20" spans="1:24" x14ac:dyDescent="0.2">
      <c r="A20">
        <v>2038</v>
      </c>
      <c r="B20">
        <v>12.242077235309299</v>
      </c>
      <c r="C20" s="1">
        <v>4.2750700799999999</v>
      </c>
      <c r="D20">
        <f t="shared" si="9"/>
        <v>7.9670071553092994</v>
      </c>
      <c r="F20" s="4">
        <f t="shared" si="10"/>
        <v>531664.94416430721</v>
      </c>
      <c r="G20">
        <f>SQRT('Sampling &amp; Combined Error'!$E$14)*$B$2*44/12</f>
        <v>39079.761084041042</v>
      </c>
      <c r="H20" s="123"/>
      <c r="I20">
        <v>217.375</v>
      </c>
      <c r="J20">
        <v>379.66660000000002</v>
      </c>
      <c r="K20">
        <v>1554.49771021999</v>
      </c>
      <c r="L20">
        <v>1107.5355199999999</v>
      </c>
      <c r="M20">
        <v>12306.966700000001</v>
      </c>
      <c r="N20">
        <v>6153.4832999999999</v>
      </c>
      <c r="O20">
        <f t="shared" si="11"/>
        <v>-7197.487190219992</v>
      </c>
      <c r="Q20" s="1">
        <v>2038</v>
      </c>
      <c r="R20">
        <f t="shared" si="3"/>
        <v>14458.506010219991</v>
      </c>
      <c r="S20">
        <f t="shared" si="4"/>
        <v>7261.0188199999993</v>
      </c>
      <c r="T20">
        <v>13</v>
      </c>
      <c r="U20" s="123">
        <f t="shared" si="5"/>
        <v>87461.967297335068</v>
      </c>
      <c r="V20">
        <f t="shared" si="6"/>
        <v>7197.487190219992</v>
      </c>
      <c r="W20" s="123">
        <f t="shared" si="7"/>
        <v>492585.18308026617</v>
      </c>
      <c r="X20" s="123">
        <f t="shared" si="8"/>
        <v>412320.70297315111</v>
      </c>
    </row>
    <row r="21" spans="1:24" x14ac:dyDescent="0.2">
      <c r="A21">
        <v>2039</v>
      </c>
      <c r="B21">
        <v>12.2420764976576</v>
      </c>
      <c r="C21" s="1">
        <v>4.27506933</v>
      </c>
      <c r="D21">
        <f t="shared" si="9"/>
        <v>7.9670071676575995</v>
      </c>
      <c r="F21" s="4">
        <f t="shared" si="10"/>
        <v>531664.9449883505</v>
      </c>
      <c r="G21">
        <f>SQRT('Sampling &amp; Combined Error'!$E$14)*$B$2*44/12</f>
        <v>39079.761084041042</v>
      </c>
      <c r="H21" s="123"/>
      <c r="I21">
        <v>217.375</v>
      </c>
      <c r="J21">
        <v>379.66660000000002</v>
      </c>
      <c r="K21">
        <v>1554.49771021999</v>
      </c>
      <c r="L21">
        <v>1107.5355199999999</v>
      </c>
      <c r="M21">
        <v>12306.966700000001</v>
      </c>
      <c r="N21">
        <v>6153.4832999999999</v>
      </c>
      <c r="O21">
        <f t="shared" si="11"/>
        <v>-7197.487190219992</v>
      </c>
      <c r="Q21" s="1">
        <v>2039</v>
      </c>
      <c r="R21">
        <f t="shared" si="3"/>
        <v>14458.506010219991</v>
      </c>
      <c r="S21">
        <f t="shared" si="4"/>
        <v>7261.0188199999993</v>
      </c>
      <c r="T21">
        <v>14</v>
      </c>
      <c r="U21" s="123">
        <f t="shared" si="5"/>
        <v>87461.967441542642</v>
      </c>
      <c r="V21">
        <f t="shared" si="6"/>
        <v>7197.487190219992</v>
      </c>
      <c r="W21" s="123">
        <f t="shared" si="7"/>
        <v>492585.18390430947</v>
      </c>
      <c r="X21" s="123">
        <f t="shared" si="8"/>
        <v>412320.70365298679</v>
      </c>
    </row>
    <row r="22" spans="1:24" x14ac:dyDescent="0.2">
      <c r="A22">
        <v>2040</v>
      </c>
      <c r="B22">
        <v>12.242075773948701</v>
      </c>
      <c r="C22" s="1">
        <v>4.2750686</v>
      </c>
      <c r="D22">
        <f t="shared" si="9"/>
        <v>7.9670071739487005</v>
      </c>
      <c r="F22" s="4">
        <f t="shared" si="10"/>
        <v>531664.94540817663</v>
      </c>
      <c r="G22">
        <f>SQRT('Sampling &amp; Combined Error'!$E$14)*$B$2*44/12</f>
        <v>39079.761084041042</v>
      </c>
      <c r="H22" s="123"/>
      <c r="I22">
        <v>217.375</v>
      </c>
      <c r="J22">
        <v>379.66660000000002</v>
      </c>
      <c r="K22">
        <v>1554.49771021999</v>
      </c>
      <c r="L22">
        <v>1107.5355199999999</v>
      </c>
      <c r="M22">
        <v>12306.966700000001</v>
      </c>
      <c r="N22">
        <v>6153.4832999999999</v>
      </c>
      <c r="O22">
        <f t="shared" si="11"/>
        <v>-7197.487190219992</v>
      </c>
      <c r="Q22" s="1">
        <v>2040</v>
      </c>
      <c r="R22">
        <f t="shared" si="3"/>
        <v>14458.506010219991</v>
      </c>
      <c r="S22">
        <f t="shared" si="4"/>
        <v>7261.0188199999993</v>
      </c>
      <c r="T22">
        <v>15</v>
      </c>
      <c r="U22" s="123">
        <f t="shared" si="5"/>
        <v>87461.96751501222</v>
      </c>
      <c r="V22">
        <f t="shared" si="6"/>
        <v>7197.487190219992</v>
      </c>
      <c r="W22" s="123">
        <f t="shared" si="7"/>
        <v>492585.1843241356</v>
      </c>
      <c r="X22" s="123">
        <f t="shared" si="8"/>
        <v>412320.70399934333</v>
      </c>
    </row>
    <row r="23" spans="1:24" x14ac:dyDescent="0.2">
      <c r="A23">
        <v>2041</v>
      </c>
      <c r="B23">
        <v>12.2420750639192</v>
      </c>
      <c r="C23" s="1">
        <v>4.2750678799999999</v>
      </c>
      <c r="D23">
        <f t="shared" si="9"/>
        <v>7.9670071839192005</v>
      </c>
      <c r="F23" s="4">
        <f t="shared" si="10"/>
        <v>531664.9460735413</v>
      </c>
      <c r="G23">
        <f>SQRT('Sampling &amp; Combined Error'!$E$14)*$B$2*44/12</f>
        <v>39079.761084041042</v>
      </c>
      <c r="H23" s="123"/>
      <c r="I23">
        <v>217.375</v>
      </c>
      <c r="J23">
        <v>379.66660000000002</v>
      </c>
      <c r="K23">
        <v>1554.49771021999</v>
      </c>
      <c r="L23">
        <v>1107.5355199999999</v>
      </c>
      <c r="M23">
        <v>12306.966700000001</v>
      </c>
      <c r="N23">
        <v>6153.4832999999999</v>
      </c>
      <c r="O23">
        <f t="shared" si="11"/>
        <v>-7197.487190219992</v>
      </c>
      <c r="Q23" s="1">
        <v>2041</v>
      </c>
      <c r="R23">
        <f t="shared" si="3"/>
        <v>14458.506010219991</v>
      </c>
      <c r="S23">
        <f t="shared" si="4"/>
        <v>7261.0188199999993</v>
      </c>
      <c r="T23">
        <v>16</v>
      </c>
      <c r="U23" s="123">
        <f t="shared" si="5"/>
        <v>87461.967631451043</v>
      </c>
      <c r="V23">
        <f t="shared" si="6"/>
        <v>7197.487190219992</v>
      </c>
      <c r="W23" s="123">
        <f t="shared" si="7"/>
        <v>492585.18498950027</v>
      </c>
      <c r="X23" s="123">
        <f t="shared" si="8"/>
        <v>412320.70454826922</v>
      </c>
    </row>
    <row r="24" spans="1:24" x14ac:dyDescent="0.2">
      <c r="A24">
        <v>2042</v>
      </c>
      <c r="B24">
        <v>12.2420743673104</v>
      </c>
      <c r="C24" s="1">
        <v>4.2750671699999998</v>
      </c>
      <c r="D24">
        <f t="shared" si="9"/>
        <v>7.9670071973103997</v>
      </c>
      <c r="F24" s="4">
        <f t="shared" si="10"/>
        <v>531664.9469671807</v>
      </c>
      <c r="G24">
        <f>SQRT('Sampling &amp; Combined Error'!$E$14)*$B$2*44/12</f>
        <v>39079.761084041042</v>
      </c>
      <c r="H24" s="123"/>
      <c r="I24">
        <v>217.375</v>
      </c>
      <c r="J24">
        <v>379.66660000000002</v>
      </c>
      <c r="K24">
        <v>1554.49771021999</v>
      </c>
      <c r="L24">
        <v>1107.5355199999999</v>
      </c>
      <c r="M24">
        <v>12306.966700000001</v>
      </c>
      <c r="N24">
        <v>6153.4832999999999</v>
      </c>
      <c r="O24">
        <f t="shared" si="11"/>
        <v>-7197.487190219992</v>
      </c>
      <c r="Q24" s="1">
        <v>2042</v>
      </c>
      <c r="R24">
        <f t="shared" si="3"/>
        <v>14458.506010219991</v>
      </c>
      <c r="S24">
        <f t="shared" si="4"/>
        <v>7261.0188199999993</v>
      </c>
      <c r="T24">
        <v>17</v>
      </c>
      <c r="U24" s="123">
        <f t="shared" si="5"/>
        <v>87461.96778783793</v>
      </c>
      <c r="V24">
        <f t="shared" si="6"/>
        <v>7197.487190219992</v>
      </c>
      <c r="W24" s="123">
        <f t="shared" si="7"/>
        <v>492585.18588313967</v>
      </c>
      <c r="X24" s="123">
        <f t="shared" si="8"/>
        <v>412320.70528552169</v>
      </c>
    </row>
    <row r="25" spans="1:24" x14ac:dyDescent="0.2">
      <c r="A25">
        <v>2043</v>
      </c>
      <c r="B25">
        <v>12.2420736838686</v>
      </c>
      <c r="C25" s="1">
        <v>4.2750664799999996</v>
      </c>
      <c r="D25">
        <f t="shared" si="9"/>
        <v>7.9670072038686008</v>
      </c>
      <c r="F25" s="4">
        <f t="shared" si="10"/>
        <v>531664.9474048313</v>
      </c>
      <c r="G25">
        <f>SQRT('Sampling &amp; Combined Error'!$E$14)*$B$2*44/12</f>
        <v>39079.761084041042</v>
      </c>
      <c r="H25" s="123"/>
      <c r="I25">
        <v>217.375</v>
      </c>
      <c r="J25">
        <v>379.66660000000002</v>
      </c>
      <c r="K25">
        <v>1554.49771021999</v>
      </c>
      <c r="L25">
        <v>1107.5355199999999</v>
      </c>
      <c r="M25">
        <v>12306.966700000001</v>
      </c>
      <c r="N25">
        <v>6153.4832999999999</v>
      </c>
      <c r="O25">
        <f t="shared" si="11"/>
        <v>-7197.487190219992</v>
      </c>
      <c r="Q25" s="1">
        <v>2043</v>
      </c>
      <c r="R25">
        <f t="shared" si="3"/>
        <v>14458.506010219991</v>
      </c>
      <c r="S25">
        <f t="shared" si="4"/>
        <v>7261.0188199999993</v>
      </c>
      <c r="T25">
        <v>18</v>
      </c>
      <c r="U25" s="123">
        <f t="shared" si="5"/>
        <v>87461.967864426784</v>
      </c>
      <c r="V25">
        <f t="shared" si="6"/>
        <v>7197.487190219992</v>
      </c>
      <c r="W25" s="123">
        <f t="shared" si="7"/>
        <v>492585.18632079026</v>
      </c>
      <c r="X25" s="123">
        <f t="shared" si="8"/>
        <v>412320.70564658346</v>
      </c>
    </row>
    <row r="26" spans="1:24" x14ac:dyDescent="0.2">
      <c r="A26">
        <v>2044</v>
      </c>
      <c r="B26">
        <v>12.242073013345101</v>
      </c>
      <c r="C26" s="1">
        <v>4.2750658000000001</v>
      </c>
      <c r="D26">
        <f t="shared" si="9"/>
        <v>7.9670072133451004</v>
      </c>
      <c r="F26" s="4">
        <f t="shared" si="10"/>
        <v>531664.94803722971</v>
      </c>
      <c r="G26">
        <f>SQRT('Sampling &amp; Combined Error'!$E$14)*$B$2*44/12</f>
        <v>39079.761084041042</v>
      </c>
      <c r="H26" s="123"/>
      <c r="I26">
        <v>217.375</v>
      </c>
      <c r="J26">
        <v>379.66660000000002</v>
      </c>
      <c r="K26">
        <v>1554.49771021999</v>
      </c>
      <c r="L26">
        <v>1107.5355199999999</v>
      </c>
      <c r="M26">
        <v>12306.966700000001</v>
      </c>
      <c r="N26">
        <v>6153.4832999999999</v>
      </c>
      <c r="O26">
        <f t="shared" si="11"/>
        <v>-7197.487190219992</v>
      </c>
      <c r="Q26" s="1">
        <v>2044</v>
      </c>
      <c r="R26">
        <f t="shared" si="3"/>
        <v>14458.506010219991</v>
      </c>
      <c r="S26">
        <f t="shared" si="4"/>
        <v>7261.0188199999993</v>
      </c>
      <c r="T26">
        <v>19</v>
      </c>
      <c r="U26" s="123">
        <f t="shared" si="5"/>
        <v>87461.967975096515</v>
      </c>
      <c r="V26">
        <f t="shared" si="6"/>
        <v>7197.487190219992</v>
      </c>
      <c r="W26" s="123">
        <f t="shared" si="7"/>
        <v>492585.18695318868</v>
      </c>
      <c r="X26" s="123">
        <f t="shared" si="8"/>
        <v>412320.70616831211</v>
      </c>
    </row>
    <row r="27" spans="1:24" x14ac:dyDescent="0.2">
      <c r="A27">
        <v>2045</v>
      </c>
      <c r="B27">
        <v>12.2420723554955</v>
      </c>
      <c r="C27" s="1">
        <v>4.2750651299999998</v>
      </c>
      <c r="D27">
        <f t="shared" si="9"/>
        <v>7.9670072254955002</v>
      </c>
      <c r="F27" s="4">
        <f t="shared" si="10"/>
        <v>531664.94884806639</v>
      </c>
      <c r="G27">
        <f>SQRT('Sampling &amp; Combined Error'!$E$14)*$B$2*44/12</f>
        <v>39079.761084041042</v>
      </c>
      <c r="H27" s="123"/>
      <c r="I27">
        <v>217.375</v>
      </c>
      <c r="J27">
        <v>379.66660000000002</v>
      </c>
      <c r="K27">
        <v>1554.49771021999</v>
      </c>
      <c r="L27">
        <v>1107.5355199999999</v>
      </c>
      <c r="M27">
        <v>12306.966700000001</v>
      </c>
      <c r="N27">
        <v>6153.4832999999999</v>
      </c>
      <c r="O27">
        <f t="shared" si="11"/>
        <v>-7197.487190219992</v>
      </c>
      <c r="Q27" s="1">
        <v>2045</v>
      </c>
      <c r="R27">
        <f t="shared" si="3"/>
        <v>14458.506010219991</v>
      </c>
      <c r="S27">
        <f t="shared" si="4"/>
        <v>7261.0188199999993</v>
      </c>
      <c r="T27">
        <v>20</v>
      </c>
      <c r="U27" s="123">
        <f t="shared" si="5"/>
        <v>87461.968116992924</v>
      </c>
      <c r="V27">
        <f t="shared" si="6"/>
        <v>7197.487190219992</v>
      </c>
      <c r="W27" s="123">
        <f t="shared" si="7"/>
        <v>492585.18776402535</v>
      </c>
      <c r="X27" s="123">
        <f t="shared" si="8"/>
        <v>412320.70683725242</v>
      </c>
    </row>
    <row r="28" spans="1:24" x14ac:dyDescent="0.2">
      <c r="A28">
        <v>2046</v>
      </c>
      <c r="B28">
        <v>12.2420717100805</v>
      </c>
      <c r="C28" s="1">
        <v>4.2750644800000002</v>
      </c>
      <c r="D28">
        <f t="shared" si="9"/>
        <v>7.9670072300805002</v>
      </c>
      <c r="F28" s="4">
        <f t="shared" si="10"/>
        <v>531664.9491540388</v>
      </c>
      <c r="G28">
        <f>SQRT('Sampling &amp; Combined Error'!$E$14)*$B$2*44/12</f>
        <v>39079.761084041042</v>
      </c>
      <c r="H28" s="123"/>
      <c r="I28">
        <v>217.375</v>
      </c>
      <c r="J28">
        <v>379.66660000000002</v>
      </c>
      <c r="K28">
        <v>1554.49771021999</v>
      </c>
      <c r="L28">
        <v>1107.5355199999999</v>
      </c>
      <c r="M28">
        <v>12306.966700000001</v>
      </c>
      <c r="N28">
        <v>6153.4832999999999</v>
      </c>
      <c r="O28">
        <f t="shared" si="11"/>
        <v>-7197.487190219992</v>
      </c>
      <c r="Q28" s="1">
        <v>2046</v>
      </c>
      <c r="R28">
        <f t="shared" si="3"/>
        <v>14458.506010219991</v>
      </c>
      <c r="S28">
        <f t="shared" si="4"/>
        <v>7261.0188199999993</v>
      </c>
      <c r="T28">
        <v>21</v>
      </c>
      <c r="U28" s="123">
        <f t="shared" si="5"/>
        <v>87461.968170538094</v>
      </c>
      <c r="V28">
        <f t="shared" si="6"/>
        <v>7197.487190219992</v>
      </c>
      <c r="W28" s="123">
        <f t="shared" si="7"/>
        <v>492585.18806999776</v>
      </c>
      <c r="X28" s="123">
        <f t="shared" si="8"/>
        <v>412320.70708967966</v>
      </c>
    </row>
    <row r="29" spans="1:24" x14ac:dyDescent="0.2">
      <c r="A29">
        <v>2047</v>
      </c>
      <c r="B29">
        <v>12.2420710768648</v>
      </c>
      <c r="C29" s="1">
        <v>4.2750638399999996</v>
      </c>
      <c r="D29">
        <f t="shared" si="9"/>
        <v>7.9670072368648004</v>
      </c>
      <c r="F29" s="4">
        <f t="shared" si="10"/>
        <v>531664.94960677763</v>
      </c>
      <c r="G29">
        <f>SQRT('Sampling &amp; Combined Error'!$E$14)*$B$2*44/12</f>
        <v>39079.761084041042</v>
      </c>
      <c r="H29" s="123"/>
      <c r="I29">
        <v>217.375</v>
      </c>
      <c r="J29">
        <v>379.66660000000002</v>
      </c>
      <c r="K29">
        <v>1554.49771021999</v>
      </c>
      <c r="L29">
        <v>1107.5355199999999</v>
      </c>
      <c r="M29">
        <v>12306.966700000001</v>
      </c>
      <c r="N29">
        <v>6153.4832999999999</v>
      </c>
      <c r="O29">
        <f t="shared" si="11"/>
        <v>-7197.487190219992</v>
      </c>
      <c r="Q29" s="1">
        <v>2047</v>
      </c>
      <c r="R29">
        <f t="shared" si="3"/>
        <v>14458.506010219991</v>
      </c>
      <c r="S29">
        <f t="shared" si="4"/>
        <v>7261.0188199999993</v>
      </c>
      <c r="T29">
        <v>22</v>
      </c>
      <c r="U29" s="123">
        <f t="shared" si="5"/>
        <v>87461.968249767393</v>
      </c>
      <c r="V29">
        <f t="shared" si="6"/>
        <v>7197.487190219992</v>
      </c>
      <c r="W29" s="123">
        <f t="shared" si="7"/>
        <v>492585.1885227366</v>
      </c>
      <c r="X29" s="123">
        <f t="shared" si="8"/>
        <v>412320.7074631892</v>
      </c>
    </row>
    <row r="30" spans="1:24" x14ac:dyDescent="0.2">
      <c r="A30">
        <v>2048</v>
      </c>
      <c r="B30">
        <v>12.242070455618</v>
      </c>
      <c r="C30" s="1">
        <v>4.2750632099999999</v>
      </c>
      <c r="D30">
        <f t="shared" si="9"/>
        <v>7.9670072456180003</v>
      </c>
      <c r="F30" s="4">
        <f t="shared" si="10"/>
        <v>531664.95019090781</v>
      </c>
      <c r="G30">
        <f>SQRT('Sampling &amp; Combined Error'!$E$14)*$B$2*44/12</f>
        <v>39079.761084041042</v>
      </c>
      <c r="H30" s="123"/>
      <c r="I30">
        <v>217.375</v>
      </c>
      <c r="J30">
        <v>379.66660000000002</v>
      </c>
      <c r="K30">
        <v>1554.49771021999</v>
      </c>
      <c r="L30">
        <v>1107.5355199999999</v>
      </c>
      <c r="M30">
        <v>12306.966700000001</v>
      </c>
      <c r="N30">
        <v>6153.4832999999999</v>
      </c>
      <c r="O30">
        <f t="shared" si="11"/>
        <v>-7197.487190219992</v>
      </c>
      <c r="Q30" s="1">
        <v>2048</v>
      </c>
      <c r="R30">
        <f t="shared" si="3"/>
        <v>14458.506010219991</v>
      </c>
      <c r="S30">
        <f t="shared" si="4"/>
        <v>7261.0188199999993</v>
      </c>
      <c r="T30">
        <v>23</v>
      </c>
      <c r="U30" s="123">
        <f t="shared" si="5"/>
        <v>87461.968351990174</v>
      </c>
      <c r="V30">
        <f t="shared" si="6"/>
        <v>7197.487190219992</v>
      </c>
      <c r="W30" s="123">
        <f t="shared" si="7"/>
        <v>492585.18910686678</v>
      </c>
      <c r="X30" s="123">
        <f t="shared" si="8"/>
        <v>412320.7079450966</v>
      </c>
    </row>
    <row r="31" spans="1:24" x14ac:dyDescent="0.2">
      <c r="A31">
        <v>2049</v>
      </c>
      <c r="B31">
        <v>12.2420698461138</v>
      </c>
      <c r="C31" s="1">
        <v>4.2750625900000001</v>
      </c>
      <c r="D31">
        <f t="shared" si="9"/>
        <v>7.9670072561138001</v>
      </c>
      <c r="F31" s="4">
        <f t="shared" si="10"/>
        <v>531664.95089132758</v>
      </c>
      <c r="G31">
        <f>SQRT('Sampling &amp; Combined Error'!$E$14)*$B$2*44/12</f>
        <v>39079.761084041042</v>
      </c>
      <c r="H31" s="123"/>
      <c r="I31">
        <v>217.375</v>
      </c>
      <c r="J31">
        <v>379.66660000000002</v>
      </c>
      <c r="K31">
        <v>1554.49771021999</v>
      </c>
      <c r="L31">
        <v>1107.5355199999999</v>
      </c>
      <c r="M31">
        <v>12306.966700000001</v>
      </c>
      <c r="N31">
        <v>6153.4832999999999</v>
      </c>
      <c r="O31">
        <f t="shared" si="11"/>
        <v>-7197.487190219992</v>
      </c>
      <c r="Q31" s="1">
        <v>2049</v>
      </c>
      <c r="R31">
        <f t="shared" si="3"/>
        <v>14458.506010219991</v>
      </c>
      <c r="S31">
        <f t="shared" si="4"/>
        <v>7261.0188199999993</v>
      </c>
      <c r="T31">
        <v>24</v>
      </c>
      <c r="U31" s="123">
        <f t="shared" si="5"/>
        <v>87461.968474563633</v>
      </c>
      <c r="V31">
        <f t="shared" si="6"/>
        <v>7197.487190219992</v>
      </c>
      <c r="W31" s="123">
        <f t="shared" si="7"/>
        <v>492585.18980728654</v>
      </c>
      <c r="X31" s="123">
        <f t="shared" si="8"/>
        <v>412320.70852294291</v>
      </c>
    </row>
    <row r="32" spans="1:24" x14ac:dyDescent="0.2">
      <c r="A32">
        <v>2050</v>
      </c>
      <c r="B32">
        <v>12.2420692481302</v>
      </c>
      <c r="C32" s="1">
        <v>4.2750619800000003</v>
      </c>
      <c r="D32">
        <f t="shared" si="9"/>
        <v>7.9670072681301995</v>
      </c>
      <c r="F32" s="4">
        <f t="shared" si="10"/>
        <v>531664.95169322204</v>
      </c>
      <c r="G32">
        <f>SQRT('Sampling &amp; Combined Error'!$E$14)*$B$2*44/12</f>
        <v>39079.761084041042</v>
      </c>
      <c r="H32" s="123"/>
      <c r="I32">
        <v>217.375</v>
      </c>
      <c r="J32">
        <v>379.66660000000002</v>
      </c>
      <c r="K32">
        <v>1554.49771021999</v>
      </c>
      <c r="L32">
        <v>1107.5355199999999</v>
      </c>
      <c r="M32">
        <v>12306.966700000001</v>
      </c>
      <c r="N32">
        <v>6153.4832999999999</v>
      </c>
      <c r="O32">
        <f t="shared" si="11"/>
        <v>-7197.487190219992</v>
      </c>
      <c r="Q32" s="1">
        <v>2050</v>
      </c>
      <c r="R32">
        <f t="shared" si="3"/>
        <v>14458.506010219991</v>
      </c>
      <c r="S32">
        <f t="shared" si="4"/>
        <v>7261.0188199999993</v>
      </c>
      <c r="T32">
        <v>25</v>
      </c>
      <c r="U32" s="123">
        <f t="shared" si="5"/>
        <v>87461.968614895173</v>
      </c>
      <c r="V32">
        <f t="shared" si="6"/>
        <v>7197.487190219992</v>
      </c>
      <c r="W32" s="123">
        <f t="shared" si="7"/>
        <v>492585.19060918101</v>
      </c>
      <c r="X32" s="123">
        <f t="shared" si="8"/>
        <v>412320.7091845058</v>
      </c>
    </row>
    <row r="33" spans="1:24" x14ac:dyDescent="0.2">
      <c r="A33">
        <v>2051</v>
      </c>
      <c r="B33">
        <v>12.242068661449601</v>
      </c>
      <c r="C33" s="1">
        <v>4.2750613900000003</v>
      </c>
      <c r="D33">
        <f t="shared" si="9"/>
        <v>7.9670072714496003</v>
      </c>
      <c r="F33" s="4">
        <f t="shared" si="10"/>
        <v>531664.95191473665</v>
      </c>
      <c r="G33">
        <f>SQRT('Sampling &amp; Combined Error'!$E$14)*$B$2*44/12</f>
        <v>39079.761084041042</v>
      </c>
      <c r="H33" s="123"/>
      <c r="I33">
        <v>217.375</v>
      </c>
      <c r="J33">
        <v>379.66660000000002</v>
      </c>
      <c r="K33">
        <v>1554.49771021999</v>
      </c>
      <c r="L33">
        <v>1107.5355199999999</v>
      </c>
      <c r="M33">
        <v>12306.966700000001</v>
      </c>
      <c r="N33">
        <v>6153.4832999999999</v>
      </c>
      <c r="O33">
        <f t="shared" si="11"/>
        <v>-7197.487190219992</v>
      </c>
      <c r="Q33" s="1">
        <v>2051</v>
      </c>
      <c r="R33">
        <f t="shared" si="3"/>
        <v>14458.506010219991</v>
      </c>
      <c r="S33">
        <f t="shared" si="4"/>
        <v>7261.0188199999993</v>
      </c>
      <c r="T33">
        <v>26</v>
      </c>
      <c r="U33" s="123">
        <f t="shared" si="5"/>
        <v>87461.968653660224</v>
      </c>
      <c r="V33">
        <f t="shared" si="6"/>
        <v>7197.487190219992</v>
      </c>
      <c r="W33" s="123">
        <f t="shared" si="7"/>
        <v>492585.19083069562</v>
      </c>
      <c r="X33" s="123">
        <f t="shared" si="8"/>
        <v>412320.70936725539</v>
      </c>
    </row>
    <row r="34" spans="1:24" x14ac:dyDescent="0.2">
      <c r="A34">
        <v>2052</v>
      </c>
      <c r="B34">
        <v>12.242068085858101</v>
      </c>
      <c r="C34" s="1">
        <v>4.2750608100000003</v>
      </c>
      <c r="D34">
        <f t="shared" si="9"/>
        <v>7.9670072758581005</v>
      </c>
      <c r="F34" s="4">
        <f t="shared" si="10"/>
        <v>531664.95220893063</v>
      </c>
      <c r="G34">
        <f>SQRT('Sampling &amp; Combined Error'!$E$14)*$B$2*44/12</f>
        <v>39079.761084041042</v>
      </c>
      <c r="H34" s="123"/>
      <c r="I34">
        <v>217.375</v>
      </c>
      <c r="J34">
        <v>379.66660000000002</v>
      </c>
      <c r="K34">
        <v>1554.49771021999</v>
      </c>
      <c r="L34">
        <v>1107.5355199999999</v>
      </c>
      <c r="M34">
        <v>12306.966700000001</v>
      </c>
      <c r="N34">
        <v>6153.4832999999999</v>
      </c>
      <c r="O34">
        <f t="shared" si="11"/>
        <v>-7197.487190219992</v>
      </c>
      <c r="Q34" s="1">
        <v>2052</v>
      </c>
      <c r="R34">
        <f>SUM(I34,J34,K34,M34)</f>
        <v>14458.506010219991</v>
      </c>
      <c r="S34">
        <f>SUM(L34,N34)</f>
        <v>7261.0188199999993</v>
      </c>
      <c r="T34">
        <v>27</v>
      </c>
      <c r="U34" s="123">
        <f>(W34+V34)*0.175</f>
        <v>87461.968705144172</v>
      </c>
      <c r="V34">
        <f>R34-S34</f>
        <v>7197.487190219992</v>
      </c>
      <c r="W34" s="123">
        <f>F34-G34</f>
        <v>492585.19112488959</v>
      </c>
      <c r="X34" s="123">
        <f>W34+V34-U34</f>
        <v>412320.70960996539</v>
      </c>
    </row>
    <row r="35" spans="1:24" x14ac:dyDescent="0.2">
      <c r="A35">
        <v>2053</v>
      </c>
      <c r="B35">
        <v>12.242067521146399</v>
      </c>
      <c r="C35" s="1">
        <v>4.2750602300000002</v>
      </c>
      <c r="D35">
        <f t="shared" si="9"/>
        <v>7.9670072911463992</v>
      </c>
      <c r="F35" s="4">
        <f t="shared" si="10"/>
        <v>531664.95322916971</v>
      </c>
      <c r="G35">
        <f>SQRT('Sampling &amp; Combined Error'!$E$14)*$B$2*44/12</f>
        <v>39079.761084041042</v>
      </c>
      <c r="H35" s="123"/>
      <c r="I35">
        <v>217.375</v>
      </c>
      <c r="J35">
        <v>379.66660000000002</v>
      </c>
      <c r="K35">
        <v>1554.49771021999</v>
      </c>
      <c r="L35">
        <v>1107.5355199999999</v>
      </c>
      <c r="M35">
        <v>12306.966700000001</v>
      </c>
      <c r="N35">
        <v>6153.4832999999999</v>
      </c>
      <c r="O35">
        <f t="shared" si="11"/>
        <v>-7197.487190219992</v>
      </c>
      <c r="Q35" s="1">
        <v>2053</v>
      </c>
      <c r="R35">
        <f t="shared" ref="R35:R47" si="12">SUM(I35,J35,K35,M35)</f>
        <v>14458.506010219991</v>
      </c>
      <c r="S35">
        <f t="shared" ref="S35:S47" si="13">SUM(L35,N35)</f>
        <v>7261.0188199999993</v>
      </c>
      <c r="T35">
        <v>28</v>
      </c>
      <c r="U35" s="123">
        <f t="shared" ref="U35:U47" si="14">(W35+V35)*0.175</f>
        <v>87461.968883686015</v>
      </c>
      <c r="V35">
        <f t="shared" ref="V35:V47" si="15">R35-S35</f>
        <v>7197.487190219992</v>
      </c>
      <c r="W35" s="123">
        <f t="shared" ref="W35:W47" si="16">F35-G35</f>
        <v>492585.19214512868</v>
      </c>
      <c r="X35" s="123">
        <f t="shared" ref="X35:X47" si="17">W35+V35-U35</f>
        <v>412320.71045166266</v>
      </c>
    </row>
    <row r="36" spans="1:24" x14ac:dyDescent="0.2">
      <c r="A36">
        <v>2054</v>
      </c>
      <c r="B36">
        <v>12.242066967108601</v>
      </c>
      <c r="C36" s="1">
        <v>4.2750596700000001</v>
      </c>
      <c r="D36">
        <f t="shared" si="9"/>
        <v>7.9670072971086006</v>
      </c>
      <c r="F36" s="4">
        <f t="shared" si="10"/>
        <v>531664.95362704725</v>
      </c>
      <c r="G36">
        <f>SQRT('Sampling &amp; Combined Error'!$E$14)*$B$2*44/12</f>
        <v>39079.761084041042</v>
      </c>
      <c r="H36" s="123"/>
      <c r="I36">
        <v>217.375</v>
      </c>
      <c r="J36">
        <v>379.66660000000002</v>
      </c>
      <c r="K36">
        <v>1554.49771021999</v>
      </c>
      <c r="L36">
        <v>1107.5355199999999</v>
      </c>
      <c r="M36">
        <v>12306.966700000001</v>
      </c>
      <c r="N36">
        <v>6153.4832999999999</v>
      </c>
      <c r="O36">
        <f t="shared" si="11"/>
        <v>-7197.487190219992</v>
      </c>
      <c r="Q36" s="1">
        <v>2054</v>
      </c>
      <c r="R36">
        <f t="shared" si="12"/>
        <v>14458.506010219991</v>
      </c>
      <c r="S36">
        <f t="shared" si="13"/>
        <v>7261.0188199999993</v>
      </c>
      <c r="T36">
        <v>29</v>
      </c>
      <c r="U36" s="123">
        <f t="shared" si="14"/>
        <v>87461.968953314572</v>
      </c>
      <c r="V36">
        <f t="shared" si="15"/>
        <v>7197.487190219992</v>
      </c>
      <c r="W36" s="123">
        <f t="shared" si="16"/>
        <v>492585.19254300621</v>
      </c>
      <c r="X36" s="123">
        <f t="shared" si="17"/>
        <v>412320.71077991161</v>
      </c>
    </row>
    <row r="37" spans="1:24" x14ac:dyDescent="0.2">
      <c r="A37">
        <v>2055</v>
      </c>
      <c r="B37">
        <v>12.242066423542999</v>
      </c>
      <c r="C37" s="1">
        <v>4.2750591199999999</v>
      </c>
      <c r="D37">
        <f t="shared" si="9"/>
        <v>7.9670073035429994</v>
      </c>
      <c r="F37" s="4">
        <f t="shared" si="10"/>
        <v>531664.9540564362</v>
      </c>
      <c r="G37">
        <f>SQRT('Sampling &amp; Combined Error'!$E$14)*$B$2*44/12</f>
        <v>39079.761084041042</v>
      </c>
      <c r="H37" s="123"/>
      <c r="I37">
        <v>217.375</v>
      </c>
      <c r="J37">
        <v>379.66660000000002</v>
      </c>
      <c r="K37">
        <v>1554.49771021999</v>
      </c>
      <c r="L37">
        <v>1107.5355199999999</v>
      </c>
      <c r="M37">
        <v>12306.966700000001</v>
      </c>
      <c r="N37">
        <v>6153.4832999999999</v>
      </c>
      <c r="O37">
        <f t="shared" si="11"/>
        <v>-7197.487190219992</v>
      </c>
      <c r="Q37" s="1">
        <v>2055</v>
      </c>
      <c r="R37">
        <f t="shared" si="12"/>
        <v>14458.506010219991</v>
      </c>
      <c r="S37">
        <f t="shared" si="13"/>
        <v>7261.0188199999993</v>
      </c>
      <c r="T37">
        <v>30</v>
      </c>
      <c r="U37" s="123">
        <f t="shared" si="14"/>
        <v>87461.96902845765</v>
      </c>
      <c r="V37">
        <f t="shared" si="15"/>
        <v>7197.487190219992</v>
      </c>
      <c r="W37" s="123">
        <f t="shared" si="16"/>
        <v>492585.19297239516</v>
      </c>
      <c r="X37" s="123">
        <f t="shared" si="17"/>
        <v>412320.71113415749</v>
      </c>
    </row>
    <row r="38" spans="1:24" x14ac:dyDescent="0.2">
      <c r="A38">
        <v>2056</v>
      </c>
      <c r="B38">
        <v>12.2420658902518</v>
      </c>
      <c r="C38" s="1">
        <v>4.2750585799999996</v>
      </c>
      <c r="D38">
        <f t="shared" si="9"/>
        <v>7.9670073102518</v>
      </c>
      <c r="F38" s="4">
        <f t="shared" si="10"/>
        <v>531664.95450413681</v>
      </c>
      <c r="G38">
        <f>SQRT('Sampling &amp; Combined Error'!$E$14)*$B$2*44/12</f>
        <v>39079.761084041042</v>
      </c>
      <c r="H38" s="123"/>
      <c r="I38">
        <v>217.375</v>
      </c>
      <c r="J38">
        <v>379.66660000000002</v>
      </c>
      <c r="K38">
        <v>1554.49771021999</v>
      </c>
      <c r="L38">
        <v>1107.5355199999999</v>
      </c>
      <c r="M38">
        <v>12306.966700000001</v>
      </c>
      <c r="N38">
        <v>6153.4832999999999</v>
      </c>
      <c r="O38">
        <f t="shared" si="11"/>
        <v>-7197.487190219992</v>
      </c>
      <c r="Q38" s="1">
        <v>2056</v>
      </c>
      <c r="R38">
        <f t="shared" si="12"/>
        <v>14458.506010219991</v>
      </c>
      <c r="S38">
        <f t="shared" si="13"/>
        <v>7261.0188199999993</v>
      </c>
      <c r="T38">
        <v>31</v>
      </c>
      <c r="U38" s="123">
        <f t="shared" si="14"/>
        <v>87461.969106805249</v>
      </c>
      <c r="V38">
        <f t="shared" si="15"/>
        <v>7197.487190219992</v>
      </c>
      <c r="W38" s="123">
        <f t="shared" si="16"/>
        <v>492585.19342009578</v>
      </c>
      <c r="X38" s="123">
        <f t="shared" si="17"/>
        <v>412320.71150351048</v>
      </c>
    </row>
    <row r="39" spans="1:24" x14ac:dyDescent="0.2">
      <c r="A39">
        <v>2057</v>
      </c>
      <c r="B39">
        <v>12.242065367040601</v>
      </c>
      <c r="C39" s="1">
        <v>4.2750580500000002</v>
      </c>
      <c r="D39">
        <f t="shared" si="9"/>
        <v>7.9670073170406006</v>
      </c>
      <c r="F39" s="4">
        <f t="shared" si="10"/>
        <v>531664.95495717612</v>
      </c>
      <c r="G39">
        <f>SQRT('Sampling &amp; Combined Error'!$E$14)*$B$2*44/12</f>
        <v>39079.761084041042</v>
      </c>
      <c r="H39" s="123"/>
      <c r="I39">
        <v>217.375</v>
      </c>
      <c r="J39">
        <v>379.66660000000002</v>
      </c>
      <c r="K39">
        <v>1554.49771021999</v>
      </c>
      <c r="L39">
        <v>1107.5355199999999</v>
      </c>
      <c r="M39">
        <v>12306.966700000001</v>
      </c>
      <c r="N39">
        <v>6153.4832999999999</v>
      </c>
      <c r="O39">
        <f t="shared" si="11"/>
        <v>-7197.487190219992</v>
      </c>
      <c r="Q39" s="1">
        <v>2057</v>
      </c>
      <c r="R39">
        <f t="shared" si="12"/>
        <v>14458.506010219991</v>
      </c>
      <c r="S39">
        <f t="shared" si="13"/>
        <v>7261.0188199999993</v>
      </c>
      <c r="T39">
        <v>32</v>
      </c>
      <c r="U39" s="123">
        <f t="shared" si="14"/>
        <v>87461.969186087124</v>
      </c>
      <c r="V39">
        <f t="shared" si="15"/>
        <v>7197.487190219992</v>
      </c>
      <c r="W39" s="123">
        <f t="shared" si="16"/>
        <v>492585.19387313508</v>
      </c>
      <c r="X39" s="123">
        <f t="shared" si="17"/>
        <v>412320.71187726792</v>
      </c>
    </row>
    <row r="40" spans="1:24" x14ac:dyDescent="0.2">
      <c r="A40">
        <v>2058</v>
      </c>
      <c r="B40">
        <v>12.2420648537191</v>
      </c>
      <c r="C40" s="1">
        <v>4.2750575299999998</v>
      </c>
      <c r="D40">
        <f t="shared" si="9"/>
        <v>7.9670073237191001</v>
      </c>
      <c r="F40" s="4">
        <f t="shared" si="10"/>
        <v>531664.95540285471</v>
      </c>
      <c r="G40">
        <f>SQRT('Sampling &amp; Combined Error'!$E$14)*$B$2*44/12</f>
        <v>39079.761084041042</v>
      </c>
      <c r="H40" s="123"/>
      <c r="I40">
        <v>217.375</v>
      </c>
      <c r="J40">
        <v>379.66660000000002</v>
      </c>
      <c r="K40">
        <v>1554.49771021999</v>
      </c>
      <c r="L40">
        <v>1107.5355199999999</v>
      </c>
      <c r="M40">
        <v>12306.966700000001</v>
      </c>
      <c r="N40">
        <v>6153.4832999999999</v>
      </c>
      <c r="O40">
        <f t="shared" si="11"/>
        <v>-7197.487190219992</v>
      </c>
      <c r="Q40" s="1">
        <v>2058</v>
      </c>
      <c r="R40">
        <f t="shared" si="12"/>
        <v>14458.506010219991</v>
      </c>
      <c r="S40">
        <f t="shared" si="13"/>
        <v>7261.0188199999993</v>
      </c>
      <c r="T40">
        <v>33</v>
      </c>
      <c r="U40" s="123">
        <f t="shared" si="14"/>
        <v>87461.969264080879</v>
      </c>
      <c r="V40">
        <f t="shared" si="15"/>
        <v>7197.487190219992</v>
      </c>
      <c r="W40" s="123">
        <f t="shared" si="16"/>
        <v>492585.19431881368</v>
      </c>
      <c r="X40" s="123">
        <f t="shared" si="17"/>
        <v>412320.7122449528</v>
      </c>
    </row>
    <row r="41" spans="1:24" x14ac:dyDescent="0.2">
      <c r="A41">
        <v>2059</v>
      </c>
      <c r="B41">
        <v>12.242064350100099</v>
      </c>
      <c r="C41" s="1">
        <v>4.2750570200000002</v>
      </c>
      <c r="D41">
        <f t="shared" si="9"/>
        <v>7.967007330100099</v>
      </c>
      <c r="F41" s="4">
        <f t="shared" si="10"/>
        <v>531664.95582867996</v>
      </c>
      <c r="G41">
        <f>SQRT('Sampling &amp; Combined Error'!$E$14)*$B$2*44/12</f>
        <v>39079.761084041042</v>
      </c>
      <c r="H41" s="123"/>
      <c r="I41">
        <v>217.375</v>
      </c>
      <c r="J41">
        <v>379.66660000000002</v>
      </c>
      <c r="K41">
        <v>1554.49771021999</v>
      </c>
      <c r="L41">
        <v>1107.5355199999999</v>
      </c>
      <c r="M41">
        <v>12306.966700000001</v>
      </c>
      <c r="N41">
        <v>6153.4832999999999</v>
      </c>
      <c r="O41">
        <f t="shared" si="11"/>
        <v>-7197.487190219992</v>
      </c>
      <c r="Q41" s="1">
        <v>2059</v>
      </c>
      <c r="R41">
        <f t="shared" si="12"/>
        <v>14458.506010219991</v>
      </c>
      <c r="S41">
        <f t="shared" si="13"/>
        <v>7261.0188199999993</v>
      </c>
      <c r="T41">
        <v>34</v>
      </c>
      <c r="U41" s="123">
        <f t="shared" si="14"/>
        <v>87461.969338600305</v>
      </c>
      <c r="V41">
        <f t="shared" si="15"/>
        <v>7197.487190219992</v>
      </c>
      <c r="W41" s="123">
        <f t="shared" si="16"/>
        <v>492585.19474463892</v>
      </c>
      <c r="X41" s="123">
        <f t="shared" si="17"/>
        <v>412320.71259625861</v>
      </c>
    </row>
    <row r="42" spans="1:24" x14ac:dyDescent="0.2">
      <c r="A42">
        <v>2060</v>
      </c>
      <c r="B42">
        <v>12.242063856000399</v>
      </c>
      <c r="C42" s="1">
        <v>4.2750565199999997</v>
      </c>
      <c r="D42">
        <f t="shared" si="9"/>
        <v>7.9670073360003997</v>
      </c>
      <c r="F42" s="4">
        <f t="shared" si="10"/>
        <v>531664.95622242661</v>
      </c>
      <c r="G42">
        <f>SQRT('Sampling &amp; Combined Error'!$E$14)*$B$2*44/12</f>
        <v>39079.761084041042</v>
      </c>
      <c r="H42" s="123"/>
      <c r="I42">
        <v>217.375</v>
      </c>
      <c r="J42">
        <v>379.66660000000002</v>
      </c>
      <c r="K42">
        <v>1554.49771021999</v>
      </c>
      <c r="L42">
        <v>1107.5355199999999</v>
      </c>
      <c r="M42">
        <v>12306.966700000001</v>
      </c>
      <c r="N42">
        <v>6153.4832999999999</v>
      </c>
      <c r="O42">
        <f t="shared" si="11"/>
        <v>-7197.487190219992</v>
      </c>
      <c r="Q42" s="1">
        <v>2060</v>
      </c>
      <c r="R42">
        <f t="shared" si="12"/>
        <v>14458.506010219991</v>
      </c>
      <c r="S42">
        <f t="shared" si="13"/>
        <v>7261.0188199999993</v>
      </c>
      <c r="T42">
        <v>35</v>
      </c>
      <c r="U42" s="123">
        <f t="shared" si="14"/>
        <v>87461.969407505967</v>
      </c>
      <c r="V42">
        <f t="shared" si="15"/>
        <v>7197.487190219992</v>
      </c>
      <c r="W42" s="123">
        <f t="shared" si="16"/>
        <v>492585.19513838558</v>
      </c>
      <c r="X42" s="123">
        <f t="shared" si="17"/>
        <v>412320.71292109962</v>
      </c>
    </row>
    <row r="43" spans="1:24" x14ac:dyDescent="0.2">
      <c r="A43">
        <v>2061</v>
      </c>
      <c r="B43">
        <v>12.24206337124</v>
      </c>
      <c r="C43" s="1">
        <v>4.27505603</v>
      </c>
      <c r="D43">
        <f t="shared" si="9"/>
        <v>7.9670073412400004</v>
      </c>
      <c r="F43" s="4">
        <f t="shared" si="10"/>
        <v>531664.95657208271</v>
      </c>
      <c r="G43">
        <f>SQRT('Sampling &amp; Combined Error'!$E$14)*$B$2*44/12</f>
        <v>39079.761084041042</v>
      </c>
      <c r="H43" s="123"/>
      <c r="I43">
        <v>217.375</v>
      </c>
      <c r="J43">
        <v>379.66660000000002</v>
      </c>
      <c r="K43">
        <v>1554.49771021999</v>
      </c>
      <c r="L43">
        <v>1107.5355199999999</v>
      </c>
      <c r="M43">
        <v>12306.966700000001</v>
      </c>
      <c r="N43">
        <v>6153.4832999999999</v>
      </c>
      <c r="O43">
        <f t="shared" si="11"/>
        <v>-7197.487190219992</v>
      </c>
      <c r="Q43" s="1">
        <v>2061</v>
      </c>
      <c r="R43">
        <f t="shared" si="12"/>
        <v>14458.506010219991</v>
      </c>
      <c r="S43">
        <f t="shared" si="13"/>
        <v>7261.0188199999993</v>
      </c>
      <c r="T43">
        <v>36</v>
      </c>
      <c r="U43" s="123">
        <f t="shared" si="14"/>
        <v>87461.969468695781</v>
      </c>
      <c r="V43">
        <f t="shared" si="15"/>
        <v>7197.487190219992</v>
      </c>
      <c r="W43" s="123">
        <f t="shared" si="16"/>
        <v>492585.19548804167</v>
      </c>
      <c r="X43" s="123">
        <f t="shared" si="17"/>
        <v>412320.71320956585</v>
      </c>
    </row>
    <row r="44" spans="1:24" x14ac:dyDescent="0.2">
      <c r="A44">
        <v>2062</v>
      </c>
      <c r="B44">
        <v>12.2420628956424</v>
      </c>
      <c r="C44" s="1">
        <v>4.2750555500000003</v>
      </c>
      <c r="D44">
        <f t="shared" si="9"/>
        <v>7.9670073456423998</v>
      </c>
      <c r="F44" s="4">
        <f t="shared" si="10"/>
        <v>531664.95686586946</v>
      </c>
      <c r="G44">
        <f>SQRT('Sampling &amp; Combined Error'!$E$14)*$B$2*44/12</f>
        <v>39079.761084041042</v>
      </c>
      <c r="H44" s="123"/>
      <c r="I44">
        <v>217.375</v>
      </c>
      <c r="J44">
        <v>379.66660000000002</v>
      </c>
      <c r="K44">
        <v>1554.49771021999</v>
      </c>
      <c r="L44">
        <v>1107.5355199999999</v>
      </c>
      <c r="M44">
        <v>12306.966700000001</v>
      </c>
      <c r="N44">
        <v>6153.4832999999999</v>
      </c>
      <c r="O44">
        <f t="shared" si="11"/>
        <v>-7197.487190219992</v>
      </c>
      <c r="Q44" s="1">
        <v>2062</v>
      </c>
      <c r="R44">
        <f t="shared" si="12"/>
        <v>14458.506010219991</v>
      </c>
      <c r="S44">
        <f t="shared" si="13"/>
        <v>7261.0188199999993</v>
      </c>
      <c r="T44">
        <v>37</v>
      </c>
      <c r="U44" s="123">
        <f t="shared" si="14"/>
        <v>87461.969520108469</v>
      </c>
      <c r="V44">
        <f t="shared" si="15"/>
        <v>7197.487190219992</v>
      </c>
      <c r="W44" s="123">
        <f t="shared" si="16"/>
        <v>492585.19578182843</v>
      </c>
      <c r="X44" s="123">
        <f t="shared" si="17"/>
        <v>412320.71345193993</v>
      </c>
    </row>
    <row r="45" spans="1:24" x14ac:dyDescent="0.2">
      <c r="A45">
        <v>2063</v>
      </c>
      <c r="B45">
        <v>12.2420624290344</v>
      </c>
      <c r="C45" s="1">
        <v>4.2750550699999996</v>
      </c>
      <c r="D45">
        <f t="shared" si="9"/>
        <v>7.9670073590344002</v>
      </c>
      <c r="F45" s="4">
        <f t="shared" si="10"/>
        <v>531664.9577595623</v>
      </c>
      <c r="G45">
        <f>SQRT('Sampling &amp; Combined Error'!$E$14)*$B$2*44/12</f>
        <v>39079.761084041042</v>
      </c>
      <c r="H45" s="123"/>
      <c r="I45">
        <v>217.375</v>
      </c>
      <c r="J45">
        <v>379.66660000000002</v>
      </c>
      <c r="K45">
        <v>1554.49771021999</v>
      </c>
      <c r="L45">
        <v>1107.5355199999999</v>
      </c>
      <c r="M45">
        <v>12306.966700000001</v>
      </c>
      <c r="N45">
        <v>6153.4832999999999</v>
      </c>
      <c r="O45">
        <f t="shared" si="11"/>
        <v>-7197.487190219992</v>
      </c>
      <c r="Q45" s="1">
        <v>2063</v>
      </c>
      <c r="R45">
        <f t="shared" si="12"/>
        <v>14458.506010219991</v>
      </c>
      <c r="S45">
        <f t="shared" si="13"/>
        <v>7261.0188199999993</v>
      </c>
      <c r="T45">
        <v>38</v>
      </c>
      <c r="U45" s="123">
        <f t="shared" si="14"/>
        <v>87461.969676504712</v>
      </c>
      <c r="V45">
        <f t="shared" si="15"/>
        <v>7197.487190219992</v>
      </c>
      <c r="W45" s="123">
        <f t="shared" si="16"/>
        <v>492585.19667552126</v>
      </c>
      <c r="X45" s="123">
        <f t="shared" si="17"/>
        <v>412320.71418923652</v>
      </c>
    </row>
    <row r="46" spans="1:24" x14ac:dyDescent="0.2">
      <c r="A46">
        <v>2064</v>
      </c>
      <c r="B46">
        <v>12.242061971246001</v>
      </c>
      <c r="C46" s="1">
        <v>4.2750546099999998</v>
      </c>
      <c r="D46">
        <f t="shared" si="9"/>
        <v>7.9670073612460008</v>
      </c>
      <c r="F46" s="4">
        <f t="shared" si="10"/>
        <v>531664.95790714968</v>
      </c>
      <c r="G46">
        <f>SQRT('Sampling &amp; Combined Error'!$E$14)*$B$2*44/12</f>
        <v>39079.761084041042</v>
      </c>
      <c r="H46" s="123"/>
      <c r="I46">
        <v>217.375</v>
      </c>
      <c r="J46">
        <v>379.66660000000002</v>
      </c>
      <c r="K46">
        <v>1554.49771021999</v>
      </c>
      <c r="L46">
        <v>1107.5355199999999</v>
      </c>
      <c r="M46">
        <v>12306.966700000001</v>
      </c>
      <c r="N46">
        <v>6153.4832999999999</v>
      </c>
      <c r="O46">
        <f t="shared" si="11"/>
        <v>-7197.487190219992</v>
      </c>
      <c r="Q46" s="1">
        <v>2064</v>
      </c>
      <c r="R46">
        <f t="shared" si="12"/>
        <v>14458.506010219991</v>
      </c>
      <c r="S46">
        <f t="shared" si="13"/>
        <v>7261.0188199999993</v>
      </c>
      <c r="T46">
        <v>39</v>
      </c>
      <c r="U46" s="123">
        <f t="shared" si="14"/>
        <v>87461.969702332499</v>
      </c>
      <c r="V46">
        <f t="shared" si="15"/>
        <v>7197.487190219992</v>
      </c>
      <c r="W46" s="123">
        <f t="shared" si="16"/>
        <v>492585.19682310865</v>
      </c>
      <c r="X46" s="123">
        <f t="shared" si="17"/>
        <v>412320.71431099612</v>
      </c>
    </row>
    <row r="47" spans="1:24" x14ac:dyDescent="0.2">
      <c r="A47">
        <v>2065</v>
      </c>
      <c r="B47">
        <v>12.2420615221106</v>
      </c>
      <c r="C47" s="1">
        <v>4.2750541599999998</v>
      </c>
      <c r="D47">
        <f t="shared" si="9"/>
        <v>7.9670073621105999</v>
      </c>
      <c r="F47" s="4">
        <f t="shared" si="10"/>
        <v>531664.95796484745</v>
      </c>
      <c r="G47">
        <f>SQRT('Sampling &amp; Combined Error'!$E$14)*$B$2*44/12</f>
        <v>39079.761084041042</v>
      </c>
      <c r="H47" s="123"/>
      <c r="I47">
        <v>217.375</v>
      </c>
      <c r="J47">
        <v>379.66660000000002</v>
      </c>
      <c r="K47">
        <v>1554.49771021999</v>
      </c>
      <c r="L47">
        <v>1107.5355199999999</v>
      </c>
      <c r="M47">
        <v>12306.966700000001</v>
      </c>
      <c r="N47">
        <v>6153.4832999999999</v>
      </c>
      <c r="O47">
        <f t="shared" si="11"/>
        <v>-7197.487190219992</v>
      </c>
      <c r="Q47" s="1">
        <v>2065</v>
      </c>
      <c r="R47">
        <f t="shared" si="12"/>
        <v>14458.506010219991</v>
      </c>
      <c r="S47">
        <f t="shared" si="13"/>
        <v>7261.0188199999993</v>
      </c>
      <c r="T47">
        <v>40</v>
      </c>
      <c r="U47" s="123">
        <f t="shared" si="14"/>
        <v>87461.969712429607</v>
      </c>
      <c r="V47">
        <f t="shared" si="15"/>
        <v>7197.487190219992</v>
      </c>
      <c r="W47" s="123">
        <f t="shared" si="16"/>
        <v>492585.19688080641</v>
      </c>
      <c r="X47" s="123">
        <f t="shared" si="17"/>
        <v>412320.71435859677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3A44-7711-EE4F-8675-041414C547FC}">
  <dimension ref="A1:AN250"/>
  <sheetViews>
    <sheetView topLeftCell="A17" workbookViewId="0">
      <selection activeCell="A9" sqref="A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0D8A-58D3-6D40-99AB-4E4A0991CD17}">
  <dimension ref="A1:AR259"/>
  <sheetViews>
    <sheetView topLeftCell="A73" zoomScale="125" workbookViewId="0">
      <selection activeCell="B21" sqref="B21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98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9" t="s">
        <v>218</v>
      </c>
      <c r="C86" s="129"/>
      <c r="D86" s="129"/>
      <c r="E86" s="129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5F8F-A858-2649-9EF6-FFC6C1EB0602}">
  <dimension ref="A2:H14"/>
  <sheetViews>
    <sheetView zoomScale="125" workbookViewId="0">
      <selection activeCell="E15" sqref="E15"/>
    </sheetView>
  </sheetViews>
  <sheetFormatPr baseColWidth="10" defaultRowHeight="16" x14ac:dyDescent="0.2"/>
  <cols>
    <col min="4" max="4" width="27.5" customWidth="1"/>
    <col min="5" max="5" width="22.6640625" customWidth="1"/>
    <col min="6" max="6" width="16.1640625" customWidth="1"/>
    <col min="8" max="8" width="19" customWidth="1"/>
  </cols>
  <sheetData>
    <row r="2" spans="1:8" x14ac:dyDescent="0.2">
      <c r="A2" t="s">
        <v>35</v>
      </c>
      <c r="B2" t="s">
        <v>235</v>
      </c>
      <c r="C2" t="s">
        <v>224</v>
      </c>
      <c r="D2" t="s">
        <v>225</v>
      </c>
      <c r="E2" t="s">
        <v>226</v>
      </c>
      <c r="F2" t="s">
        <v>227</v>
      </c>
      <c r="G2" t="s">
        <v>4</v>
      </c>
      <c r="H2" t="s">
        <v>228</v>
      </c>
    </row>
    <row r="3" spans="1:8" x14ac:dyDescent="0.2">
      <c r="A3" t="s">
        <v>230</v>
      </c>
      <c r="B3">
        <f>110/117 * 91000 * 0.2</f>
        <v>17111.111111111109</v>
      </c>
      <c r="C3">
        <v>110</v>
      </c>
      <c r="D3">
        <f>4.20750878</f>
        <v>4.2075087800000004</v>
      </c>
      <c r="E3">
        <v>40.001069999999999</v>
      </c>
      <c r="F3">
        <v>0.23394320927168599</v>
      </c>
      <c r="G3">
        <f>E3-D3</f>
        <v>35.793561220000001</v>
      </c>
      <c r="H3">
        <f>(B3^2)/(C3*(C3-1))*G3^2</f>
        <v>31285785.224715352</v>
      </c>
    </row>
    <row r="4" spans="1:8" x14ac:dyDescent="0.2">
      <c r="A4" t="s">
        <v>229</v>
      </c>
      <c r="B4">
        <f>7/117 * 91000 * 0.2</f>
        <v>1088.8888888888889</v>
      </c>
      <c r="C4">
        <v>7</v>
      </c>
      <c r="D4">
        <f t="shared" ref="D4" si="0">4.20750878</f>
        <v>4.2075087800000004</v>
      </c>
      <c r="E4">
        <v>33.741840000000003</v>
      </c>
      <c r="F4">
        <v>4.1568867613368497E-2</v>
      </c>
      <c r="G4">
        <f t="shared" ref="G4" si="1">E4-D4</f>
        <v>29.534331220000002</v>
      </c>
      <c r="H4">
        <f t="shared" ref="H4" si="2">(B4^2)/(C4*(C4-1))*G4^2</f>
        <v>24624766.680670351</v>
      </c>
    </row>
    <row r="9" spans="1:8" x14ac:dyDescent="0.2">
      <c r="A9" s="3" t="s">
        <v>234</v>
      </c>
      <c r="B9" s="3">
        <f>SUM(B3:B8)</f>
        <v>18200</v>
      </c>
      <c r="C9" s="3">
        <f>SUM(C3:C8)</f>
        <v>117</v>
      </c>
      <c r="D9" s="3"/>
      <c r="E9" s="3"/>
      <c r="F9" s="3"/>
      <c r="G9" s="3"/>
      <c r="H9" s="3">
        <f>SUM(H3:H8)</f>
        <v>55910551.905385703</v>
      </c>
    </row>
    <row r="11" spans="1:8" x14ac:dyDescent="0.2">
      <c r="D11" s="122" t="s">
        <v>231</v>
      </c>
      <c r="E11" s="22"/>
    </row>
    <row r="12" spans="1:8" x14ac:dyDescent="0.2">
      <c r="D12" s="22" t="s">
        <v>232</v>
      </c>
      <c r="E12" s="22">
        <f>H9/(B9^2)</f>
        <v>0.16879166738734966</v>
      </c>
    </row>
    <row r="13" spans="1:8" x14ac:dyDescent="0.2">
      <c r="D13" s="22" t="s">
        <v>236</v>
      </c>
      <c r="E13" s="22">
        <f>'Baseline Model Error'!B80^2 + 'Project Model Error'!B89</f>
        <v>0.17414834807849217</v>
      </c>
    </row>
    <row r="14" spans="1:8" x14ac:dyDescent="0.2">
      <c r="D14" s="22" t="s">
        <v>233</v>
      </c>
      <c r="E14" s="22">
        <f>SUM(E12:E13)</f>
        <v>0.34294001546584185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2025-10-03T14:35:38Z</dcterms:modified>
</cp:coreProperties>
</file>