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hermofisher-my.sharepoint.com/personal/venkatesh_panneerselvam_thermofisher_com/Documents/Desktop/Target CoGS/"/>
    </mc:Choice>
  </mc:AlternateContent>
  <xr:revisionPtr revIDLastSave="127" documentId="11_071AB576A902651720CB99CFE639126223D43042" xr6:coauthVersionLast="47" xr6:coauthVersionMax="47" xr10:uidLastSave="{65C8DD7B-AA8D-45EB-B2C9-E0B61BBDC615}"/>
  <bookViews>
    <workbookView xWindow="67080" yWindow="2865" windowWidth="29040" windowHeight="15720" tabRatio="519" xr2:uid="{00000000-000D-0000-FFFF-FFFF00000000}"/>
  </bookViews>
  <sheets>
    <sheet name="Workflow" sheetId="7" r:id="rId1"/>
    <sheet name="Calculator Form" sheetId="1" r:id="rId2"/>
    <sheet name="Sensitivity" sheetId="3" r:id="rId3"/>
    <sheet name="Action Tracker" sheetId="4" r:id="rId4"/>
    <sheet name="Read Me" sheetId="5" r:id="rId5"/>
    <sheet name="Help" sheetId="2" r:id="rId6"/>
    <sheet name="RACI"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A49" i="1"/>
  <c r="B48" i="1"/>
  <c r="A48" i="1"/>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B9" i="3"/>
  <c r="B8" i="3"/>
  <c r="B21" i="3" s="1"/>
  <c r="B6" i="3"/>
  <c r="B5" i="3"/>
  <c r="B4" i="3"/>
  <c r="F12" i="3" s="1"/>
  <c r="C60" i="1"/>
  <c r="A60" i="1"/>
  <c r="C59" i="1"/>
  <c r="A59" i="1"/>
  <c r="C58" i="1"/>
  <c r="A58" i="1"/>
  <c r="C57" i="1"/>
  <c r="A57" i="1"/>
  <c r="C56" i="1"/>
  <c r="A56" i="1"/>
  <c r="C55" i="1"/>
  <c r="A55" i="1"/>
  <c r="C54" i="1"/>
  <c r="A54" i="1"/>
  <c r="C50" i="1"/>
  <c r="C68" i="1" s="1"/>
  <c r="C39" i="1"/>
  <c r="C67" i="1" s="1"/>
  <c r="C21" i="1"/>
  <c r="C26" i="1" s="1"/>
  <c r="C28" i="1" s="1"/>
  <c r="C19" i="1"/>
  <c r="F69" i="1" l="1"/>
  <c r="K56" i="4"/>
  <c r="E3" i="4" s="1"/>
  <c r="B12" i="3"/>
  <c r="C12" i="3"/>
  <c r="D12" i="3"/>
  <c r="C21" i="3"/>
  <c r="C23" i="3" s="1"/>
  <c r="D21" i="3"/>
  <c r="D22" i="3" s="1"/>
  <c r="E21" i="3"/>
  <c r="E22" i="3" s="1"/>
  <c r="F21" i="3"/>
  <c r="F23" i="3" s="1"/>
  <c r="B3" i="3"/>
  <c r="F16" i="3" s="1"/>
  <c r="C61" i="1"/>
  <c r="F73" i="1" s="1"/>
  <c r="B23" i="3"/>
  <c r="B22" i="3"/>
  <c r="C70" i="1"/>
  <c r="C25" i="1"/>
  <c r="E12" i="3"/>
  <c r="E17" i="3" s="1"/>
  <c r="D23" i="3" l="1"/>
  <c r="F70" i="1"/>
  <c r="F74" i="1"/>
  <c r="F75" i="1" s="1"/>
  <c r="F76" i="1" s="1"/>
  <c r="C22" i="3"/>
  <c r="B13" i="3"/>
  <c r="F13" i="3"/>
  <c r="D17" i="3"/>
  <c r="B16" i="3"/>
  <c r="C14" i="3"/>
  <c r="D14" i="3"/>
  <c r="C17" i="3"/>
  <c r="C69" i="1"/>
  <c r="F17" i="3"/>
  <c r="B14" i="3"/>
  <c r="F14" i="3"/>
  <c r="C16" i="3"/>
  <c r="C13" i="3"/>
  <c r="C73" i="1"/>
  <c r="F15" i="3"/>
  <c r="C15" i="3"/>
  <c r="D15" i="3"/>
  <c r="F22" i="3"/>
  <c r="C74" i="1"/>
  <c r="B17" i="3"/>
  <c r="E23" i="3"/>
  <c r="B15" i="3"/>
  <c r="D16" i="3"/>
  <c r="D13" i="3"/>
  <c r="E13" i="3"/>
  <c r="E16" i="3"/>
  <c r="E15" i="3"/>
  <c r="B3" i="4"/>
  <c r="E14" i="3"/>
  <c r="C81" i="1" l="1"/>
  <c r="F68" i="1"/>
  <c r="F67" i="1"/>
  <c r="C79" i="1" s="1"/>
  <c r="C80" i="1" s="1"/>
  <c r="H3" i="4"/>
  <c r="J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12" authorId="0" shapeId="0" xr:uid="{00000000-0006-0000-0000-000001000000}">
      <text>
        <r>
          <rPr>
            <sz val="11"/>
            <color theme="1"/>
            <rFont val="Calibri"/>
            <family val="2"/>
            <scheme val="minor"/>
          </rPr>
          <t>Beat competition: target selling price starts from competitor ASP, and comparison is between competitor COGS and your target COGS. Margin improvement: competition inputs are collected for context only; performance is assessed against GM/OM target.</t>
        </r>
      </text>
    </comment>
    <comment ref="C22" authorId="0" shapeId="0" xr:uid="{00000000-0006-0000-0000-000002000000}">
      <text>
        <r>
          <rPr>
            <sz val="11"/>
            <color theme="1"/>
            <rFont val="Calibri"/>
            <family val="2"/>
            <scheme val="minor"/>
          </rPr>
          <t>GM = Gross Margin. OM = Operating Margin. Use OM only when SG&amp;A / service burden changes materially.</t>
        </r>
      </text>
    </comment>
    <comment ref="C24" authorId="0" shapeId="0" xr:uid="{00000000-0006-0000-0000-000003000000}">
      <text>
        <r>
          <rPr>
            <sz val="11"/>
            <color theme="1"/>
            <rFont val="Calibri"/>
            <family val="2"/>
            <scheme val="minor"/>
          </rPr>
          <t>Only required if OM is selected.</t>
        </r>
      </text>
    </comment>
  </commentList>
</comments>
</file>

<file path=xl/sharedStrings.xml><?xml version="1.0" encoding="utf-8"?>
<sst xmlns="http://schemas.openxmlformats.org/spreadsheetml/2006/main" count="641" uniqueCount="425">
  <si>
    <t>Enter inputs from top to bottom. Yellow cells are user inputs. Competitor comparison is used only in Beat competition mode.</t>
  </si>
  <si>
    <t>1) Program Goal, Competitive Context, and Price Basis</t>
  </si>
  <si>
    <t>Goal type</t>
  </si>
  <si>
    <t>Beat competition or improve margin on an existing product</t>
  </si>
  <si>
    <t>Beat competition</t>
  </si>
  <si>
    <t>Competition ASP (best estimate)</t>
  </si>
  <si>
    <t>Competitor selling price / net ASP estimate used for market context</t>
  </si>
  <si>
    <t>Competition COGS (best estimate)</t>
  </si>
  <si>
    <t>Best estimate of competitor unit cost; used for comparison only in Beat competition mode</t>
  </si>
  <si>
    <t>Current list ASP</t>
  </si>
  <si>
    <t>Your current list ASP before discounts / rebates</t>
  </si>
  <si>
    <t>Avg discount %</t>
  </si>
  <si>
    <t>Average discount vs list</t>
  </si>
  <si>
    <t>Avg rebate / promo %</t>
  </si>
  <si>
    <t>Average rebate / promo leakage</t>
  </si>
  <si>
    <t>Avg credits / other %</t>
  </si>
  <si>
    <t>Any additional price leakage</t>
  </si>
  <si>
    <t>Current Net ASP</t>
  </si>
  <si>
    <t>Your realized current net ASP after the price waterfall</t>
  </si>
  <si>
    <t>Planned ASP change % (margin improvement case)</t>
  </si>
  <si>
    <t>Used only if goal = Margin improvement</t>
  </si>
  <si>
    <t>Target selling price used</t>
  </si>
  <si>
    <t>Beat competition = competition ASP. Margin improvement = current net ASP plus planned ASP change</t>
  </si>
  <si>
    <t>Corporate margin type</t>
  </si>
  <si>
    <t>GM for existing business model; OM if SG&amp;A / service burden changes materially</t>
  </si>
  <si>
    <t>GM</t>
  </si>
  <si>
    <t>Corporate target margin %</t>
  </si>
  <si>
    <t>Single target margin input</t>
  </si>
  <si>
    <t>SG&amp;A per unit (OM only)</t>
  </si>
  <si>
    <t>Required only if OM is selected</t>
  </si>
  <si>
    <t>Target profit / unit</t>
  </si>
  <si>
    <t>Target margin dollars at target selling price</t>
  </si>
  <si>
    <t>Allowable target COGS before buffer</t>
  </si>
  <si>
    <t>Target cost ceiling before risk buffer</t>
  </si>
  <si>
    <t>Risk buffer %</t>
  </si>
  <si>
    <t>Execution buffer</t>
  </si>
  <si>
    <t>Final allowable target COGS</t>
  </si>
  <si>
    <t>Target COGS ceiling after buffer</t>
  </si>
  <si>
    <t>2) Baseline Current Product COGS Split</t>
  </si>
  <si>
    <t>BOM</t>
  </si>
  <si>
    <t>Current BOM cost per unit</t>
  </si>
  <si>
    <t>Direct Labor</t>
  </si>
  <si>
    <t>Current direct labor cost per unit</t>
  </si>
  <si>
    <t>Variable OH</t>
  </si>
  <si>
    <t>Current variable overhead per unit</t>
  </si>
  <si>
    <t>Fixed OH</t>
  </si>
  <si>
    <t>Current fixed overhead per unit</t>
  </si>
  <si>
    <t>Freight / Duty</t>
  </si>
  <si>
    <t>Current logistics, duty, inbound / outbound per unit</t>
  </si>
  <si>
    <t>Warranty / Service</t>
  </si>
  <si>
    <t>Other</t>
  </si>
  <si>
    <t>Other current COGS items per unit</t>
  </si>
  <si>
    <t>Baseline Total COGS</t>
  </si>
  <si>
    <t>Current total COGS structure</t>
  </si>
  <si>
    <t>2A) Baseline Should Cost Split</t>
  </si>
  <si>
    <t>BOM Should Cost</t>
  </si>
  <si>
    <t>Baseline should-cost BOM per unit</t>
  </si>
  <si>
    <t>Direct Labor Should Cost</t>
  </si>
  <si>
    <t>Baseline should-cost direct labor per unit</t>
  </si>
  <si>
    <t>Variable OH Should Cost</t>
  </si>
  <si>
    <t>Baseline should-cost variable OH per unit</t>
  </si>
  <si>
    <t>Fixed OH Should Cost</t>
  </si>
  <si>
    <t>Baseline should-cost fixed OH per unit</t>
  </si>
  <si>
    <t>Freight / Duty Should Cost</t>
  </si>
  <si>
    <t>Baseline should-cost freight / duty per unit</t>
  </si>
  <si>
    <t>Baseline Total Should Cost</t>
  </si>
  <si>
    <t>Total baseline should-cost structure</t>
  </si>
  <si>
    <t>3) Desired COGS Reduction by Cost Element (%)</t>
  </si>
  <si>
    <t>Cost element</t>
  </si>
  <si>
    <t>Reduction %</t>
  </si>
  <si>
    <t>Target cost / unit</t>
  </si>
  <si>
    <t>Feasible target COGS from category reductions</t>
  </si>
  <si>
    <t>4) Executive Decision Dashboard</t>
  </si>
  <si>
    <t>Cost Position</t>
  </si>
  <si>
    <t>Gap Analysis</t>
  </si>
  <si>
    <t>Baseline COGS</t>
  </si>
  <si>
    <t>Gap vs Target</t>
  </si>
  <si>
    <t>Should Cost Baseline</t>
  </si>
  <si>
    <t>Gap vs Should</t>
  </si>
  <si>
    <t>Feasible COGS</t>
  </si>
  <si>
    <t>Structural Gap</t>
  </si>
  <si>
    <t>Target COGS</t>
  </si>
  <si>
    <t>Strategic Gap</t>
  </si>
  <si>
    <t>Profit Check</t>
  </si>
  <si>
    <t>Action Closure</t>
  </si>
  <si>
    <t>Achieved GM</t>
  </si>
  <si>
    <t>Required Cost Down</t>
  </si>
  <si>
    <t>Achieved OM</t>
  </si>
  <si>
    <t>Identified Savings</t>
  </si>
  <si>
    <t>Applied Savings</t>
  </si>
  <si>
    <t>Remaining Gap</t>
  </si>
  <si>
    <t>Decision</t>
  </si>
  <si>
    <t>Status</t>
  </si>
  <si>
    <t>Interpretation</t>
  </si>
  <si>
    <t>Target Feasibility Flag</t>
  </si>
  <si>
    <t>Help / User Guide – Target Costing Calculator</t>
  </si>
  <si>
    <t>Use this tab as the in-workbook guide for the Calculator Form, Action Tracker, and Sensitivity tabs.</t>
  </si>
  <si>
    <t>1. Purpose of the Workbook</t>
  </si>
  <si>
    <t>Step</t>
  </si>
  <si>
    <t>Area</t>
  </si>
  <si>
    <t>What it does</t>
  </si>
  <si>
    <t>Guidance</t>
  </si>
  <si>
    <t>1</t>
  </si>
  <si>
    <t>Workbook purpose</t>
  </si>
  <si>
    <t>This workbook helps set and manage target COGS for refresh, feature-add, margin improvement, or competitive repositioning programs.</t>
  </si>
  <si>
    <t>Use it to connect pricing, margin, baseline cost, cost-down targets, and action closure in one workflow.</t>
  </si>
  <si>
    <t>2</t>
  </si>
  <si>
    <t>Tabs included</t>
  </si>
  <si>
    <t>Calculator Form = main working sheet. Action Tracker = savings actions and maturity. Sensitivity = scenario analysis for ASP, margin, and volume.</t>
  </si>
  <si>
    <t>Use Calculator Form first, then Action Tracker, then Sensitivity.</t>
  </si>
  <si>
    <t>2. Calculator Form – How to use it</t>
  </si>
  <si>
    <t>Section / Field</t>
  </si>
  <si>
    <t>Meaning</t>
  </si>
  <si>
    <t>Recommended use</t>
  </si>
  <si>
    <t>Choose Beat competition or Margin improvement.</t>
  </si>
  <si>
    <t>Beat competition = competitor cost position matters. Margin improvement = achieved GM/OM vs target matters.</t>
  </si>
  <si>
    <t>Estimated competitor market selling price / net ASP.</t>
  </si>
  <si>
    <t>Use for market context. Keep the basis documented.</t>
  </si>
  <si>
    <t>3</t>
  </si>
  <si>
    <t>Estimated competitor cost position.</t>
  </si>
  <si>
    <t>Use only as a directional benchmark; it is not a precise fact.</t>
  </si>
  <si>
    <t>4</t>
  </si>
  <si>
    <t>Your current list ASP before discounts, rebates, and credits.</t>
  </si>
  <si>
    <t>Use the current commercial baseline.</t>
  </si>
  <si>
    <t>5</t>
  </si>
  <si>
    <t>Avg discount %, rebate %, credits %</t>
  </si>
  <si>
    <t>Price waterfall assumptions used to derive current net ASP.</t>
  </si>
  <si>
    <t>Use historical realized values, not aspiration.</t>
  </si>
  <si>
    <t>6</t>
  </si>
  <si>
    <t>Calculated realized ASP after deductions.</t>
  </si>
  <si>
    <t>Do not overwrite; this is formula-driven.</t>
  </si>
  <si>
    <t>7</t>
  </si>
  <si>
    <t>Planned ASP change %</t>
  </si>
  <si>
    <t>Used in Margin improvement mode to model a refresh price move.</t>
  </si>
  <si>
    <t>Keep conservative unless there is strong commercial support.</t>
  </si>
  <si>
    <t>8</t>
  </si>
  <si>
    <t>Price basis the model uses for target-cost math.</t>
  </si>
  <si>
    <t>Beat competition = competition ASP. Margin improvement = current net ASP adjusted by planned ASP change.</t>
  </si>
  <si>
    <t>9</t>
  </si>
  <si>
    <t>Select GM or OM as the controlling metric.</t>
  </si>
  <si>
    <t>Use GM for typical refresh programs. Use OM when SG&amp;A / support burden changes materially.</t>
  </si>
  <si>
    <t>10</t>
  </si>
  <si>
    <t>Required target GM% or OM%.</t>
  </si>
  <si>
    <t>This is the main profit requirement input.</t>
  </si>
  <si>
    <t>11</t>
  </si>
  <si>
    <t>Selling, general and administrative cost per unit.</t>
  </si>
  <si>
    <t>Only relevant when OM is selected.</t>
  </si>
  <si>
    <t>12</t>
  </si>
  <si>
    <t>Margin dollars implied by selling price and target margin.</t>
  </si>
  <si>
    <t>Formula-driven.</t>
  </si>
  <si>
    <t>13</t>
  </si>
  <si>
    <t>Maximum cost allowed before applying execution risk buffer.</t>
  </si>
  <si>
    <t>14</t>
  </si>
  <si>
    <t>Conservative buffer to protect against execution risk.</t>
  </si>
  <si>
    <t>Typical range is 2% to 5%.</t>
  </si>
  <si>
    <t>15</t>
  </si>
  <si>
    <t>Target COGS ceiling after buffer.</t>
  </si>
  <si>
    <t>This is the core target-cost output used by the dashboard.</t>
  </si>
  <si>
    <t>3. Baseline Current Product COGS Split</t>
  </si>
  <si>
    <t>A</t>
  </si>
  <si>
    <t>Current baseline bill of materials cost per unit.</t>
  </si>
  <si>
    <t>Use latest standard cost / should-cost / actual roll-up.</t>
  </si>
  <si>
    <t>Current direct labor cost per unit.</t>
  </si>
  <si>
    <t>Use the current manufacturing assumption.</t>
  </si>
  <si>
    <t>Current variable overhead per unit.</t>
  </si>
  <si>
    <t>Include costs that vary directly with production.</t>
  </si>
  <si>
    <t>Current fixed overhead cost per unit.</t>
  </si>
  <si>
    <t>Use current absorbed fixed overhead per unit.</t>
  </si>
  <si>
    <t>Current logistics, freight, tariffs, and duty per unit.</t>
  </si>
  <si>
    <t>Use the current landed-cost basis.</t>
  </si>
  <si>
    <t>Current warranty or service reserve per unit.</t>
  </si>
  <si>
    <t>Use a realistic current reserve, not zero by default.</t>
  </si>
  <si>
    <t>Any remaining current COGS items not captured above.</t>
  </si>
  <si>
    <t>Use sparingly and document what is included.</t>
  </si>
  <si>
    <t>Total current product COGS.</t>
  </si>
  <si>
    <t>This is the baseline reference for the cost-down plan.</t>
  </si>
  <si>
    <t>4. Desired COGS Reduction by Cost Element</t>
  </si>
  <si>
    <t>Field</t>
  </si>
  <si>
    <t>Enter the expected reduction versus the baseline cost element.</t>
  </si>
  <si>
    <t>Enter only realistic, supportable savings assumptions.</t>
  </si>
  <si>
    <t>Calculated cost for each element after the reduction.</t>
  </si>
  <si>
    <t>Total feasible refreshed-product COGS after applying all cost-element reductions.</t>
  </si>
  <si>
    <t>This is the model's feasible cost outcome before considering action-tracker maturity separately.</t>
  </si>
  <si>
    <t>5. Decision Dashboard</t>
  </si>
  <si>
    <t>Output</t>
  </si>
  <si>
    <t>What it tells you</t>
  </si>
  <si>
    <t>How to interpret</t>
  </si>
  <si>
    <t>Price basis used</t>
  </si>
  <si>
    <t>The selling price basis used in target-cost math.</t>
  </si>
  <si>
    <t>Check this first to confirm the model is anchored correctly.</t>
  </si>
  <si>
    <t>The target COGS ceiling after buffer.</t>
  </si>
  <si>
    <t>This is the main target to beat.</t>
  </si>
  <si>
    <t>Feasible target COGS</t>
  </si>
  <si>
    <t>The cost outcome based on your entered cost reductions.</t>
  </si>
  <si>
    <t>Compare this directly against Final allowable target COGS.</t>
  </si>
  <si>
    <t>Competitor COGS</t>
  </si>
  <si>
    <t>Competitor benchmark cost, shown only in Beat competition mode.</t>
  </si>
  <si>
    <t>Use only as directional market comparison.</t>
  </si>
  <si>
    <t>Gap to target COGS</t>
  </si>
  <si>
    <t>Positive means feasible COGS is still above target.</t>
  </si>
  <si>
    <t>This drives Required cost-down to target.</t>
  </si>
  <si>
    <t>Gap vs competitor COGS</t>
  </si>
  <si>
    <t>Positive means feasible COGS is still above competitor COGS.</t>
  </si>
  <si>
    <t>Relevant only in Beat competition mode.</t>
  </si>
  <si>
    <t>Achieved GM / Achieved OM</t>
  </si>
  <si>
    <t>Margin outcome at feasible cost.</t>
  </si>
  <si>
    <t>In Margin improvement mode, these are the key pass / fail checks.</t>
  </si>
  <si>
    <t>Price uplift needed to hit target</t>
  </si>
  <si>
    <t>How much price would need to increase if cost cannot be reduced enough.</t>
  </si>
  <si>
    <t>Use as a decision-support output, not a default answer.</t>
  </si>
  <si>
    <t>Required cost-down to target</t>
  </si>
  <si>
    <t>How much more cost needs to come out to hit target.</t>
  </si>
  <si>
    <t>This cell is color-highlighted by decision status.</t>
  </si>
  <si>
    <t>Identified savings from Action Tracker</t>
  </si>
  <si>
    <t>Expected savings currently identified in the tracker.</t>
  </si>
  <si>
    <t>Pulled directly from the Action Tracker summary.</t>
  </si>
  <si>
    <t>Remaining savings gap after tracker</t>
  </si>
  <si>
    <t>How much gap still remains after identified savings are considered.</t>
  </si>
  <si>
    <t>This is the remaining closure challenge.</t>
  </si>
  <si>
    <t>Decision status</t>
  </si>
  <si>
    <t>Green / Yellow / Red summary.</t>
  </si>
  <si>
    <t>Green = meets target. Yellow = near target or partial success. Red = significant miss.</t>
  </si>
  <si>
    <t>Recommended action</t>
  </si>
  <si>
    <t>Suggested next step based on the decision status.</t>
  </si>
  <si>
    <t>Use as the narrative prompt for program reviews.</t>
  </si>
  <si>
    <t>6. Action Tracker Tab</t>
  </si>
  <si>
    <t>Delta reduction required</t>
  </si>
  <si>
    <t>Required cost-down pulled from the dashboard.</t>
  </si>
  <si>
    <t>This is the gap the tracker is trying to close.</t>
  </si>
  <si>
    <t>Savings identified so far</t>
  </si>
  <si>
    <t>Total expected savings from all action lines.</t>
  </si>
  <si>
    <t>Pulled from the bottom summary of the tracker.</t>
  </si>
  <si>
    <t>Remaining gap</t>
  </si>
  <si>
    <t>Gap still open after identified savings are applied.</t>
  </si>
  <si>
    <t>Calculated as MAX(0, required gap - MIN(required gap, identified savings)).</t>
  </si>
  <si>
    <t>Applied savings capped at gap</t>
  </si>
  <si>
    <t>Savings counted toward closure, capped to avoid overstating closure.</t>
  </si>
  <si>
    <t>This prevents savings from exceeding the required gap.</t>
  </si>
  <si>
    <t>Action</t>
  </si>
  <si>
    <t>Name of the cost-down action.</t>
  </si>
  <si>
    <t>Use specific action wording, not generic labels.</t>
  </si>
  <si>
    <t>Owner</t>
  </si>
  <si>
    <t>Responsible function or person.</t>
  </si>
  <si>
    <t>Every action should have one accountable owner.</t>
  </si>
  <si>
    <t>Subsystem / Cost bucket</t>
  </si>
  <si>
    <t>Where the action applies.</t>
  </si>
  <si>
    <t>Use BOM, Direct Labor, Variable OH, Fixed OH, Freight/Warranty/Other as applicable.</t>
  </si>
  <si>
    <t>Commitment</t>
  </si>
  <si>
    <t>Committed or Opportunity.</t>
  </si>
  <si>
    <t>Committed = approved/expected. Opportunity = not yet fully secured.</t>
  </si>
  <si>
    <t>Timing</t>
  </si>
  <si>
    <t>Expected landing period.</t>
  </si>
  <si>
    <t>Use for action sequencing.</t>
  </si>
  <si>
    <t>Maturity level</t>
  </si>
  <si>
    <t>Idea, Scoping, Validated, Committed, Implemented.</t>
  </si>
  <si>
    <t>Use this to judge savings credibility.</t>
  </si>
  <si>
    <t>Savings $/unit</t>
  </si>
  <si>
    <t>Nominal savings for the action.</t>
  </si>
  <si>
    <t>Enter per-unit value.</t>
  </si>
  <si>
    <t>Probability %</t>
  </si>
  <si>
    <t>Probability-weighted confidence of the savings landing.</t>
  </si>
  <si>
    <t>Use realistic weighting.</t>
  </si>
  <si>
    <t>Weighted savings</t>
  </si>
  <si>
    <t>Savings multiplied by probability.</t>
  </si>
  <si>
    <t>7. Sensitivity Tab</t>
  </si>
  <si>
    <t>How to use it</t>
  </si>
  <si>
    <t>Top driver block</t>
  </si>
  <si>
    <t>Shows the base price, margin, margin type, SG&amp;A, annual volume, fixed OH per unit, and competitor COGS context.</t>
  </si>
  <si>
    <t>Use it to confirm the sensitivity assumptions are tied to the current model.</t>
  </si>
  <si>
    <t>Allowable target COGS by ASP x Margin</t>
  </si>
  <si>
    <t>Shows how allowable target COGS changes as ASP and margin assumptions move.</t>
  </si>
  <si>
    <t>Use this to test commercial and finance scenarios.</t>
  </si>
  <si>
    <t>Feasible COGS and Gap by Volume</t>
  </si>
  <si>
    <t>Shows the effect of volume on fixed OH absorption and gap to target.</t>
  </si>
  <si>
    <t>Use this to understand how volume changes affect cost competitiveness.</t>
  </si>
  <si>
    <t>Only shown in Beat competition mode.</t>
  </si>
  <si>
    <t>Use to test whether a different volume improves competitive cost position.</t>
  </si>
  <si>
    <t>8. GM vs OM – When to use which</t>
  </si>
  <si>
    <t>Metric</t>
  </si>
  <si>
    <t>When to use it</t>
  </si>
  <si>
    <t>Notes</t>
  </si>
  <si>
    <t>Use for most refresh or feature-add programs where the business model and SG&amp;A burden are stable.</t>
  </si>
  <si>
    <t>Best for engineering / sourcing design-to-cost control.</t>
  </si>
  <si>
    <t>OM</t>
  </si>
  <si>
    <t>Use when service model, support burden, channel model, or SG&amp;A per unit changes materially.</t>
  </si>
  <si>
    <t>Best when full operating profitability is the real governing constraint.</t>
  </si>
  <si>
    <t>9. Acronyms</t>
  </si>
  <si>
    <t>Acronym</t>
  </si>
  <si>
    <t>COGS</t>
  </si>
  <si>
    <t>Cost of Goods Sold</t>
  </si>
  <si>
    <t>Gross Margin</t>
  </si>
  <si>
    <t>Operating Margin</t>
  </si>
  <si>
    <t>ASP</t>
  </si>
  <si>
    <t>Average Selling Price</t>
  </si>
  <si>
    <t>SG&amp;A</t>
  </si>
  <si>
    <t>Selling, General &amp; Administrative</t>
  </si>
  <si>
    <t>Bill of Materials</t>
  </si>
  <si>
    <t>OH</t>
  </si>
  <si>
    <t>Overhead</t>
  </si>
  <si>
    <t>VE</t>
  </si>
  <si>
    <t>Value Engineering</t>
  </si>
  <si>
    <t>10. Best Practices and Limitations</t>
  </si>
  <si>
    <t>Topic</t>
  </si>
  <si>
    <t>Description</t>
  </si>
  <si>
    <t>Recommendation</t>
  </si>
  <si>
    <t>Baseline quality</t>
  </si>
  <si>
    <t>The model is only as good as the baseline cost inputs.</t>
  </si>
  <si>
    <t>Use the latest validated cost roll-up.</t>
  </si>
  <si>
    <t>Competitor cost is an estimate, not a verified fact.</t>
  </si>
  <si>
    <t>Document the benchmark basis externally or in review notes.</t>
  </si>
  <si>
    <t>Cost-down realism</t>
  </si>
  <si>
    <t>Aggressive reductions can make the tool look better than reality.</t>
  </si>
  <si>
    <t>Enter only supportable reductions and track closure in the Action Tracker.</t>
  </si>
  <si>
    <t>Savings governance</t>
  </si>
  <si>
    <t>Savings should not be counted twice between the cost-reduction section and the tracker.</t>
  </si>
  <si>
    <t>Use the tracker to manage closure actions, not to override baseline logic.</t>
  </si>
  <si>
    <t>Sensitivity use</t>
  </si>
  <si>
    <t>The Sensitivity tab is for scenario testing, not for replacing the main target-setting logic.</t>
  </si>
  <si>
    <t>Use it after the main form is complete.</t>
  </si>
  <si>
    <t>Formatting legend: Yellow = user input | Blue text = editable input | Teal = formula / key output</t>
  </si>
  <si>
    <t>11. Section 2A – Baseline Should Cost</t>
  </si>
  <si>
    <t>Purpose</t>
  </si>
  <si>
    <t>Captures what the product should cost structurally at baseline using should-cost logic rather than current actual cost.</t>
  </si>
  <si>
    <t>Use it to distinguish structural inefficiency from execution shortfall.</t>
  </si>
  <si>
    <t>Beat competition context</t>
  </si>
  <si>
    <t>Should Cost helps judge whether the product can realistically approach competitor-like cost levels.</t>
  </si>
  <si>
    <t>If Should Cost is above Target COGS, the target may be unrealistic even before execution is considered.</t>
  </si>
  <si>
    <t>Margin improvement context</t>
  </si>
  <si>
    <t>Should Cost helps test whether margin goals are strategically achievable at a structural level.</t>
  </si>
  <si>
    <t>If Should Cost can meet the margin target but Feasible COGS cannot, the gap is execution-related.</t>
  </si>
  <si>
    <t>Dashboard linkage</t>
  </si>
  <si>
    <t>The Executive Decision Dashboard now compares Baseline, Should Cost, Feasible, and Target together.</t>
  </si>
  <si>
    <t>Review Gap vs Should, Structural Gap, and Strategic Gap before deciding on actions or target changes.</t>
  </si>
  <si>
    <t>Sensitivity</t>
  </si>
  <si>
    <t>Base target selling price</t>
  </si>
  <si>
    <t>Logic note</t>
  </si>
  <si>
    <t>Base target margin %</t>
  </si>
  <si>
    <t>Table 1 = allowable target COGS sensitivity to ASP and target margin.</t>
  </si>
  <si>
    <t>Margin type</t>
  </si>
  <si>
    <t>Table 2 = feasible COGS sensitivity to volume through fixed OH absorption.</t>
  </si>
  <si>
    <t>SG&amp;A / unit</t>
  </si>
  <si>
    <t>Beat competition mode also shows gap vs competitor COGS.</t>
  </si>
  <si>
    <t>Baseline annual volume</t>
  </si>
  <si>
    <t>Target fixed OH / unit</t>
  </si>
  <si>
    <t>Competitor COGS (context)</t>
  </si>
  <si>
    <t>ASP Δ</t>
  </si>
  <si>
    <t>Feasible COGS and Gap by Volume (fixed OH effect)</t>
  </si>
  <si>
    <t>Metric / Volume</t>
  </si>
  <si>
    <t>Feasible COGS with volume-adjusted fixed OH</t>
  </si>
  <si>
    <t>Gap vs allowable target</t>
  </si>
  <si>
    <t>Gap vs competitor COGS (Beat competition only)</t>
  </si>
  <si>
    <t>Action Tracker – Gap Closure Plan</t>
  </si>
  <si>
    <t>Maturity guide</t>
  </si>
  <si>
    <t>Idea = concept only</t>
  </si>
  <si>
    <t>#</t>
  </si>
  <si>
    <t>Subsystem</t>
  </si>
  <si>
    <t>Cost bucket</t>
  </si>
  <si>
    <t>Scoping = under study</t>
  </si>
  <si>
    <t>Idea</t>
  </si>
  <si>
    <t>Validated = technically validated</t>
  </si>
  <si>
    <t>Committed = approved for execution</t>
  </si>
  <si>
    <t>Implemented = already landed</t>
  </si>
  <si>
    <t>Committed savings total</t>
  </si>
  <si>
    <t>Opportunity weighted savings total</t>
  </si>
  <si>
    <t>Total expected savings</t>
  </si>
  <si>
    <t>Read Me</t>
  </si>
  <si>
    <t>What changed in this version</t>
  </si>
  <si>
    <t>This version is organized as a simple form with linear inputs and no subsystem BOM section.</t>
  </si>
  <si>
    <t>1) Program goal, competitive context, and price basis</t>
  </si>
  <si>
    <t>2) Baseline current product COGS split</t>
  </si>
  <si>
    <t>3) Desired cost reduction by cost element</t>
  </si>
  <si>
    <t>4) Decision dashboard + linked action tracker</t>
  </si>
  <si>
    <t>5) Goal-specific waterfall view</t>
  </si>
  <si>
    <t>Competition ASP. Compare target COGS to competitor COGS and allowable target COGS.</t>
  </si>
  <si>
    <t>Margin improvement</t>
  </si>
  <si>
    <t>Current net ASP adjusted by planned ASP change. Compare achieved GM / OM to the target margin. Competitor inputs are context only.</t>
  </si>
  <si>
    <t>Decision logic</t>
  </si>
  <si>
    <t>Green</t>
  </si>
  <si>
    <t>Feasible target COGS is at or below allowable target COGS and at or below competitor COGS.</t>
  </si>
  <si>
    <t>Achieved GM or OM at feasible cost meets or exceeds the selected target margin.</t>
  </si>
  <si>
    <t>Yellow</t>
  </si>
  <si>
    <t>Near miss</t>
  </si>
  <si>
    <t>Within ~5 percentage points of margin target, or meets only one of the two competition conditions.</t>
  </si>
  <si>
    <t>Red</t>
  </si>
  <si>
    <t>Miss</t>
  </si>
  <si>
    <t>Misses the controlling conditions for the selected goal type.</t>
  </si>
  <si>
    <t>Acronyms</t>
  </si>
  <si>
    <t>Note</t>
  </si>
  <si>
    <t>Waterfall view removed to keep the tool simpler and reduce confusion.</t>
  </si>
  <si>
    <t>Tool assessment</t>
  </si>
  <si>
    <t>This tool is appropriate for target COGS setting on refresh, feature-add, and margin-improvement programs because it combines market price logic, margin logic, current cost structure, feasible cost-down planning, and action tracking in one workflow.</t>
  </si>
  <si>
    <t>Its strongest use is to set an initial target COGS, quantify the gap, and manage closure actions. It is especially practical when baseline standard cost and credible reduction levers are available.</t>
  </si>
  <si>
    <t>For Beat competition mode, competitor COGS is an estimate and should be supported by a documented rationale. It is a directional benchmark, not a precise source of truth.</t>
  </si>
  <si>
    <t>For organization-wide governance, pair this workbook with a simple assumption review: price basis owner, competitor benchmark source, baseline cost date, and action-owner accountability.</t>
  </si>
  <si>
    <t>Action Maturity Level</t>
  </si>
  <si>
    <t>Early concept. Not yet validated.</t>
  </si>
  <si>
    <t>Scoping</t>
  </si>
  <si>
    <t>Being assessed for feasibility, timing, or savings.</t>
  </si>
  <si>
    <t>Validated</t>
  </si>
  <si>
    <t>Savings logic and technical path are validated.</t>
  </si>
  <si>
    <t>Committed</t>
  </si>
  <si>
    <t>Approved and planned for execution.</t>
  </si>
  <si>
    <t>Implemented</t>
  </si>
  <si>
    <t>Action already executed; savings should move into actuals.</t>
  </si>
  <si>
    <t>Action 1</t>
  </si>
  <si>
    <t>R&amp;D</t>
  </si>
  <si>
    <t>Subsystem 1</t>
  </si>
  <si>
    <t>Opportunity</t>
  </si>
  <si>
    <t>Q4</t>
  </si>
  <si>
    <t>Action 2</t>
  </si>
  <si>
    <t>Subsystem 2</t>
  </si>
  <si>
    <t>Action 3</t>
  </si>
  <si>
    <t>Subsystem 3</t>
  </si>
  <si>
    <t>Action 4</t>
  </si>
  <si>
    <t>Ops</t>
  </si>
  <si>
    <t>Assembly</t>
  </si>
  <si>
    <t>Action 5</t>
  </si>
  <si>
    <t>Target Costing Calculator</t>
  </si>
  <si>
    <t>Install/Warranty</t>
  </si>
  <si>
    <t>Program Name</t>
  </si>
  <si>
    <t>Group</t>
  </si>
  <si>
    <t>Division</t>
  </si>
  <si>
    <t>Business Unit</t>
  </si>
  <si>
    <t>Product Family</t>
  </si>
  <si>
    <t xml:space="preserve">Product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</si>
</sst>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
    <numFmt numFmtId="166" formatCode="#,##0;[Red]\(#,##0\);\-"/>
  </numFmts>
  <fonts count="10" x14ac:knownFonts="1">
    <font>
      <sz val="11"/>
      <color theme="1"/>
      <name val="Calibri"/>
      <family val="2"/>
      <scheme val="minor"/>
    </font>
    <font>
      <b/>
      <sz val="14"/>
      <color rgb="FFFFFFFF"/>
      <name val="Calibri"/>
    </font>
    <font>
      <i/>
      <sz val="9"/>
      <color rgb="FF666666"/>
      <name val="Calibri"/>
    </font>
    <font>
      <b/>
      <sz val="11"/>
      <color rgb="FFFFFFFF"/>
      <name val="Calibri"/>
    </font>
    <font>
      <sz val="11"/>
      <color rgb="FF0000FF"/>
      <name val="Calibri"/>
    </font>
    <font>
      <b/>
      <sz val="11"/>
      <color rgb="FF000000"/>
      <name val="Calibri"/>
    </font>
    <font>
      <sz val="11"/>
      <color rgb="FF000000"/>
      <name val="Calibri"/>
    </font>
    <font>
      <b/>
      <sz val="11"/>
      <name val="Calibri"/>
    </font>
    <font>
      <sz val="11"/>
      <name val="Calibri"/>
    </font>
    <font>
      <b/>
      <i/>
      <sz val="9"/>
      <color rgb="FF666666"/>
      <name val="Calibri"/>
      <family val="2"/>
    </font>
  </fonts>
  <fills count="8">
    <fill>
      <patternFill patternType="none"/>
    </fill>
    <fill>
      <patternFill patternType="gray125"/>
    </fill>
    <fill>
      <patternFill patternType="solid">
        <fgColor rgb="FF1F4E78"/>
      </patternFill>
    </fill>
    <fill>
      <patternFill patternType="solid">
        <fgColor rgb="FFFFF2CC"/>
      </patternFill>
    </fill>
    <fill>
      <patternFill patternType="solid">
        <fgColor rgb="FFDDEBF7"/>
      </patternFill>
    </fill>
    <fill>
      <patternFill patternType="solid">
        <fgColor rgb="FFEAF3F8"/>
      </patternFill>
    </fill>
    <fill>
      <patternFill patternType="solid">
        <fgColor rgb="FFFFFF00"/>
        <bgColor indexed="64"/>
      </patternFill>
    </fill>
    <fill>
      <patternFill patternType="solid">
        <fgColor theme="4" tint="0.79998168889431442"/>
        <bgColor indexed="64"/>
      </patternFill>
    </fill>
  </fills>
  <borders count="6">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0" fillId="0" borderId="0" xfId="0" applyAlignment="1">
      <alignment vertical="center" wrapText="1"/>
    </xf>
    <xf numFmtId="0" fontId="3" fillId="2" borderId="0" xfId="0" applyFont="1" applyFill="1" applyAlignment="1">
      <alignment vertical="center" wrapText="1"/>
    </xf>
    <xf numFmtId="0" fontId="0" fillId="0" borderId="1" xfId="0" applyBorder="1" applyAlignment="1">
      <alignment vertical="center" wrapText="1"/>
    </xf>
    <xf numFmtId="0" fontId="4" fillId="3" borderId="1" xfId="0" applyFont="1" applyFill="1" applyBorder="1" applyAlignment="1">
      <alignment vertical="center" wrapText="1"/>
    </xf>
    <xf numFmtId="164" fontId="4" fillId="3" borderId="1" xfId="0" applyNumberFormat="1" applyFont="1" applyFill="1" applyBorder="1" applyAlignment="1">
      <alignment vertical="center" wrapText="1"/>
    </xf>
    <xf numFmtId="165" fontId="4" fillId="3" borderId="1" xfId="0" applyNumberFormat="1" applyFont="1" applyFill="1" applyBorder="1" applyAlignment="1">
      <alignment vertical="center" wrapText="1"/>
    </xf>
    <xf numFmtId="0" fontId="3" fillId="2" borderId="1" xfId="0" applyFont="1" applyFill="1" applyBorder="1" applyAlignment="1">
      <alignment vertical="center" wrapText="1"/>
    </xf>
    <xf numFmtId="164" fontId="6" fillId="5" borderId="1" xfId="0" applyNumberFormat="1" applyFont="1" applyFill="1" applyBorder="1" applyAlignment="1">
      <alignment vertical="center" wrapText="1"/>
    </xf>
    <xf numFmtId="0" fontId="7" fillId="0" borderId="1" xfId="0" applyFont="1" applyBorder="1" applyAlignment="1">
      <alignment vertical="center" wrapText="1"/>
    </xf>
    <xf numFmtId="164" fontId="6" fillId="4" borderId="1" xfId="0" applyNumberFormat="1" applyFont="1" applyFill="1" applyBorder="1" applyAlignment="1">
      <alignment vertical="center" wrapText="1"/>
    </xf>
    <xf numFmtId="0" fontId="6" fillId="5" borderId="1" xfId="0" applyFont="1" applyFill="1" applyBorder="1" applyAlignment="1">
      <alignment vertical="center" wrapText="1"/>
    </xf>
    <xf numFmtId="165" fontId="6" fillId="5" borderId="1" xfId="0" applyNumberFormat="1" applyFont="1" applyFill="1" applyBorder="1" applyAlignment="1">
      <alignment vertical="center" wrapText="1"/>
    </xf>
    <xf numFmtId="166" fontId="4" fillId="3" borderId="1" xfId="0" applyNumberFormat="1" applyFont="1" applyFill="1" applyBorder="1" applyAlignment="1">
      <alignment vertical="center" wrapText="1"/>
    </xf>
    <xf numFmtId="164" fontId="0" fillId="0" borderId="0" xfId="0" applyNumberFormat="1" applyAlignment="1">
      <alignment vertical="center" wrapText="1"/>
    </xf>
    <xf numFmtId="0" fontId="7" fillId="0" borderId="0" xfId="0" applyFont="1" applyAlignment="1">
      <alignment vertical="center" wrapText="1"/>
    </xf>
    <xf numFmtId="0" fontId="3" fillId="2" borderId="0" xfId="0" applyFont="1" applyFill="1"/>
    <xf numFmtId="0" fontId="0" fillId="0" borderId="0" xfId="0" applyAlignment="1">
      <alignment wrapText="1"/>
    </xf>
    <xf numFmtId="164" fontId="7" fillId="4" borderId="1" xfId="0" applyNumberFormat="1" applyFont="1" applyFill="1" applyBorder="1" applyAlignment="1">
      <alignment horizontal="right" vertical="center"/>
    </xf>
    <xf numFmtId="0" fontId="7" fillId="0" borderId="0" xfId="0" applyFont="1" applyAlignment="1">
      <alignment wrapText="1"/>
    </xf>
    <xf numFmtId="164" fontId="7" fillId="4" borderId="1" xfId="0" applyNumberFormat="1" applyFont="1" applyFill="1" applyBorder="1" applyAlignment="1">
      <alignment vertical="center" wrapText="1"/>
    </xf>
    <xf numFmtId="164" fontId="8" fillId="4" borderId="1" xfId="0" applyNumberFormat="1" applyFont="1" applyFill="1" applyBorder="1" applyAlignment="1">
      <alignment vertical="center" wrapText="1"/>
    </xf>
    <xf numFmtId="164" fontId="0" fillId="0" borderId="0" xfId="0" applyNumberFormat="1"/>
    <xf numFmtId="164" fontId="5" fillId="5" borderId="1" xfId="0" applyNumberFormat="1" applyFont="1" applyFill="1" applyBorder="1" applyAlignment="1">
      <alignment vertical="center" wrapText="1"/>
    </xf>
    <xf numFmtId="0" fontId="0" fillId="0" borderId="0" xfId="0" applyAlignment="1">
      <alignment vertical="top" wrapText="1"/>
    </xf>
    <xf numFmtId="164" fontId="0" fillId="5" borderId="0" xfId="0" applyNumberFormat="1" applyFill="1" applyAlignment="1">
      <alignment vertical="center" wrapText="1"/>
    </xf>
    <xf numFmtId="165" fontId="3" fillId="2" borderId="0" xfId="0" applyNumberFormat="1" applyFont="1" applyFill="1" applyAlignment="1">
      <alignment vertical="center" wrapText="1"/>
    </xf>
    <xf numFmtId="166" fontId="3" fillId="2" borderId="0" xfId="0" applyNumberFormat="1" applyFont="1" applyFill="1" applyAlignment="1">
      <alignment vertical="center" wrapText="1"/>
    </xf>
    <xf numFmtId="165" fontId="8" fillId="4" borderId="1" xfId="0" applyNumberFormat="1" applyFont="1" applyFill="1" applyBorder="1" applyAlignment="1">
      <alignment vertical="center" wrapText="1"/>
    </xf>
    <xf numFmtId="0" fontId="7" fillId="4" borderId="1" xfId="0" applyFont="1" applyFill="1" applyBorder="1" applyAlignment="1">
      <alignment vertical="center" wrapText="1"/>
    </xf>
    <xf numFmtId="0" fontId="0" fillId="0" borderId="0" xfId="0" applyAlignment="1">
      <alignment vertical="center"/>
    </xf>
    <xf numFmtId="0" fontId="8" fillId="0" borderId="4" xfId="0" applyFont="1" applyBorder="1"/>
    <xf numFmtId="164" fontId="8" fillId="0" borderId="4" xfId="0" applyNumberFormat="1" applyFont="1" applyBorder="1"/>
    <xf numFmtId="0" fontId="7" fillId="4" borderId="1" xfId="0" applyFont="1" applyFill="1" applyBorder="1" applyAlignment="1">
      <alignment horizontal="center" vertical="center"/>
    </xf>
    <xf numFmtId="0" fontId="0" fillId="0" borderId="1" xfId="0" applyBorder="1" applyAlignment="1">
      <alignment vertical="top" wrapText="1"/>
    </xf>
    <xf numFmtId="0" fontId="7" fillId="4" borderId="1" xfId="0" applyFont="1" applyFill="1" applyBorder="1"/>
    <xf numFmtId="164" fontId="0" fillId="4" borderId="1" xfId="0" applyNumberFormat="1" applyFill="1" applyBorder="1" applyAlignment="1">
      <alignment vertical="center" wrapText="1"/>
    </xf>
    <xf numFmtId="165" fontId="7" fillId="4" borderId="1" xfId="0" applyNumberFormat="1" applyFont="1" applyFill="1" applyBorder="1" applyAlignment="1">
      <alignment vertical="center" wrapText="1"/>
    </xf>
    <xf numFmtId="0" fontId="0" fillId="4" borderId="1" xfId="0" applyFill="1" applyBorder="1" applyAlignment="1">
      <alignment vertical="center" wrapText="1"/>
    </xf>
    <xf numFmtId="0" fontId="0" fillId="0" borderId="5" xfId="0" applyBorder="1" applyAlignment="1">
      <alignment vertical="center" wrapText="1"/>
    </xf>
    <xf numFmtId="0" fontId="4" fillId="3" borderId="5" xfId="0" applyFont="1" applyFill="1" applyBorder="1" applyAlignment="1">
      <alignment horizontal="center" vertical="center"/>
    </xf>
    <xf numFmtId="0" fontId="0" fillId="0" borderId="4" xfId="0" applyBorder="1" applyAlignment="1">
      <alignment vertical="center" wrapText="1"/>
    </xf>
    <xf numFmtId="0" fontId="0" fillId="0" borderId="4" xfId="0" applyBorder="1"/>
    <xf numFmtId="0" fontId="3" fillId="2" borderId="5" xfId="0" applyFont="1" applyFill="1" applyBorder="1" applyAlignment="1">
      <alignment horizontal="center" vertical="center" wrapText="1"/>
    </xf>
    <xf numFmtId="0" fontId="0" fillId="0" borderId="5" xfId="0" applyBorder="1" applyAlignment="1">
      <alignment horizontal="center" vertical="center" wrapText="1"/>
    </xf>
    <xf numFmtId="164" fontId="4" fillId="3" borderId="5" xfId="0" applyNumberFormat="1" applyFont="1" applyFill="1" applyBorder="1" applyAlignment="1">
      <alignment vertical="center" wrapText="1"/>
    </xf>
    <xf numFmtId="165" fontId="7" fillId="3" borderId="5" xfId="0" applyNumberFormat="1" applyFont="1" applyFill="1" applyBorder="1" applyAlignment="1">
      <alignment wrapText="1"/>
    </xf>
    <xf numFmtId="164" fontId="4" fillId="3" borderId="5" xfId="0" applyNumberFormat="1" applyFont="1" applyFill="1" applyBorder="1" applyAlignment="1">
      <alignment horizontal="center" vertical="center" wrapText="1"/>
    </xf>
    <xf numFmtId="165" fontId="4" fillId="3" borderId="5" xfId="0" applyNumberFormat="1" applyFont="1" applyFill="1" applyBorder="1" applyAlignment="1">
      <alignment horizontal="center" vertical="center" wrapText="1"/>
    </xf>
    <xf numFmtId="164" fontId="8" fillId="4" borderId="5" xfId="0" applyNumberFormat="1" applyFont="1" applyFill="1" applyBorder="1" applyAlignment="1">
      <alignment horizontal="center" vertical="center" wrapText="1"/>
    </xf>
    <xf numFmtId="164" fontId="7" fillId="4" borderId="5" xfId="0" applyNumberFormat="1" applyFont="1" applyFill="1" applyBorder="1" applyAlignment="1">
      <alignment horizontal="center" vertical="center"/>
    </xf>
    <xf numFmtId="0" fontId="7" fillId="0" borderId="5" xfId="0" applyFont="1" applyBorder="1" applyAlignment="1">
      <alignment wrapText="1"/>
    </xf>
    <xf numFmtId="0" fontId="0" fillId="0" borderId="5" xfId="0" applyBorder="1" applyAlignment="1">
      <alignment horizontal="left" vertical="center" wrapText="1"/>
    </xf>
    <xf numFmtId="0" fontId="3" fillId="2" borderId="5" xfId="0" applyFont="1" applyFill="1" applyBorder="1" applyAlignment="1">
      <alignment wrapText="1"/>
    </xf>
    <xf numFmtId="0" fontId="0" fillId="0" borderId="5" xfId="0" applyBorder="1" applyAlignment="1">
      <alignment wrapText="1"/>
    </xf>
    <xf numFmtId="0" fontId="0" fillId="6" borderId="1" xfId="0" applyFill="1" applyBorder="1" applyAlignment="1">
      <alignment vertical="center" wrapText="1"/>
    </xf>
    <xf numFmtId="165" fontId="3" fillId="2" borderId="0" xfId="0" applyNumberFormat="1" applyFont="1" applyFill="1" applyAlignment="1">
      <alignment horizontal="center" vertical="center" wrapText="1"/>
    </xf>
    <xf numFmtId="165" fontId="0" fillId="5" borderId="0" xfId="0" applyNumberFormat="1" applyFill="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vertical="center"/>
    </xf>
    <xf numFmtId="0" fontId="1" fillId="2" borderId="0" xfId="0" applyFont="1" applyFill="1" applyAlignment="1">
      <alignment horizontal="center" vertical="center" wrapText="1"/>
    </xf>
    <xf numFmtId="0" fontId="0" fillId="0" borderId="0" xfId="0" applyAlignment="1">
      <alignment horizontal="center"/>
    </xf>
    <xf numFmtId="0" fontId="0" fillId="0" borderId="2" xfId="0" applyBorder="1"/>
    <xf numFmtId="0" fontId="0" fillId="0" borderId="3" xfId="0" applyBorder="1"/>
    <xf numFmtId="0" fontId="2" fillId="0" borderId="0" xfId="0" applyFont="1" applyAlignment="1">
      <alignment vertical="center" wrapText="1"/>
    </xf>
    <xf numFmtId="0" fontId="0" fillId="0" borderId="0" xfId="0"/>
    <xf numFmtId="0" fontId="1" fillId="2" borderId="0" xfId="0" applyFont="1" applyFill="1" applyAlignment="1">
      <alignment vertical="center" wrapText="1"/>
    </xf>
    <xf numFmtId="0" fontId="3" fillId="2" borderId="0" xfId="0" applyFont="1" applyFill="1"/>
    <xf numFmtId="0" fontId="3" fillId="2" borderId="0" xfId="0" applyFont="1" applyFill="1" applyAlignment="1">
      <alignment vertical="center" wrapText="1"/>
    </xf>
    <xf numFmtId="0" fontId="3" fillId="2" borderId="0" xfId="0" applyFont="1" applyFill="1" applyAlignment="1">
      <alignment vertical="center"/>
    </xf>
    <xf numFmtId="0" fontId="2" fillId="0" borderId="0" xfId="0" applyFont="1" applyAlignment="1">
      <alignment wrapText="1"/>
    </xf>
    <xf numFmtId="0" fontId="0" fillId="5" borderId="0" xfId="0" applyFill="1" applyAlignment="1">
      <alignment wrapText="1"/>
    </xf>
    <xf numFmtId="0" fontId="1" fillId="2" borderId="0" xfId="0" applyFont="1" applyFill="1" applyAlignment="1">
      <alignment horizontal="center" vertical="center"/>
    </xf>
    <xf numFmtId="0" fontId="0" fillId="0" borderId="5" xfId="0" applyBorder="1"/>
    <xf numFmtId="0" fontId="9" fillId="7" borderId="5" xfId="0" applyFont="1" applyFill="1" applyBorder="1" applyAlignment="1">
      <alignment vertical="center" wrapText="1"/>
    </xf>
    <xf numFmtId="0" fontId="7" fillId="0" borderId="0" xfId="0" applyFont="1" applyAlignment="1">
      <alignment horizontal="center" vertical="center" wrapText="1"/>
    </xf>
  </cellXfs>
  <cellStyles count="1">
    <cellStyle name="Normal" xfId="0" builtinId="0"/>
  </cellStyles>
  <dxfs count="26">
    <dxf>
      <fill>
        <patternFill patternType="solid">
          <fgColor rgb="FFF4CCCC"/>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ont>
        <b/>
      </font>
      <fill>
        <patternFill>
          <bgColor rgb="FFF4CCCC"/>
        </patternFill>
      </fill>
    </dxf>
    <dxf>
      <font>
        <b/>
      </font>
      <fill>
        <patternFill>
          <bgColor rgb="FFFFE699"/>
        </patternFill>
      </fill>
    </dxf>
    <dxf>
      <font>
        <b/>
      </font>
      <fill>
        <patternFill>
          <b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ont>
        <b/>
      </font>
      <fill>
        <patternFill patternType="solid">
          <fgColor rgb="FFF4CCCC"/>
        </patternFill>
      </fill>
    </dxf>
    <dxf>
      <font>
        <b/>
      </font>
      <fill>
        <patternFill patternType="solid">
          <fgColor rgb="FFFFE699"/>
        </patternFill>
      </fill>
    </dxf>
    <dxf>
      <font>
        <b/>
      </font>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ont>
        <color rgb="FF7F7F7F"/>
      </font>
      <fill>
        <patternFill>
          <bgColor rgb="FFD9D9D9"/>
        </patternFill>
      </fill>
    </dxf>
    <dxf>
      <font>
        <color rgb="FF7F7F7F"/>
      </font>
      <fill>
        <patternFill>
          <bgColor rgb="FFD9D9D9"/>
        </patternFill>
      </fill>
    </dxf>
    <dxf>
      <font>
        <color rgb="FF7F7F7F"/>
      </font>
      <fill>
        <patternFill patternType="solid">
          <fgColor rgb="FFD9D9D9"/>
        </patternFill>
      </fill>
    </dxf>
    <dxf>
      <font>
        <color rgb="FF7F7F7F"/>
      </font>
      <fill>
        <patternFill>
          <bgColor rgb="FFD9D9D9"/>
        </patternFill>
      </fill>
    </dxf>
    <dxf>
      <font>
        <color rgb="FF7F7F7F"/>
      </font>
      <fill>
        <patternFill>
          <bgColor rgb="FFD9D9D9"/>
        </patternFill>
      </fill>
    </dxf>
    <dxf>
      <fill>
        <patternFill>
          <bgColor rgb="FFEAF3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133350</xdr:rowOff>
    </xdr:to>
    <xdr:sp macro="" textlink="">
      <xdr:nvSpPr>
        <xdr:cNvPr id="7169" name="AutoShape 1" descr="Target COGS workflow visualized">
          <a:extLst>
            <a:ext uri="{FF2B5EF4-FFF2-40B4-BE49-F238E27FC236}">
              <a16:creationId xmlns:a16="http://schemas.microsoft.com/office/drawing/2014/main" id="{0A7CB123-AF1D-80DA-B3BA-0C009C2602A3}"/>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133350</xdr:rowOff>
    </xdr:to>
    <xdr:sp macro="" textlink="">
      <xdr:nvSpPr>
        <xdr:cNvPr id="7170" name="AutoShape 2" descr="Target COGS workflow visualized">
          <a:extLst>
            <a:ext uri="{FF2B5EF4-FFF2-40B4-BE49-F238E27FC236}">
              <a16:creationId xmlns:a16="http://schemas.microsoft.com/office/drawing/2014/main" id="{587E814D-7245-DC0E-E006-12C55211255A}"/>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7171" name="AutoShape 3" descr="Target COGS workflow visualized">
          <a:extLst>
            <a:ext uri="{FF2B5EF4-FFF2-40B4-BE49-F238E27FC236}">
              <a16:creationId xmlns:a16="http://schemas.microsoft.com/office/drawing/2014/main" id="{311F9080-2F0E-DE65-DD5E-277AACF7335E}"/>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7172" name="AutoShape 4" descr="Target COGS workflow visualized">
          <a:extLst>
            <a:ext uri="{FF2B5EF4-FFF2-40B4-BE49-F238E27FC236}">
              <a16:creationId xmlns:a16="http://schemas.microsoft.com/office/drawing/2014/main" id="{5D93ED46-1303-AA18-FC37-706D522DFEDE}"/>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24</xdr:col>
      <xdr:colOff>0</xdr:colOff>
      <xdr:row>54</xdr:row>
      <xdr:rowOff>60960</xdr:rowOff>
    </xdr:to>
    <xdr:pic>
      <xdr:nvPicPr>
        <xdr:cNvPr id="3" name="Picture 2">
          <a:extLst>
            <a:ext uri="{FF2B5EF4-FFF2-40B4-BE49-F238E27FC236}">
              <a16:creationId xmlns:a16="http://schemas.microsoft.com/office/drawing/2014/main" id="{F84C8650-6401-AF74-C4FE-D7398AF7B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
          <a:ext cx="14630400" cy="975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448135</xdr:colOff>
      <xdr:row>39</xdr:row>
      <xdr:rowOff>161925</xdr:rowOff>
    </xdr:to>
    <xdr:pic>
      <xdr:nvPicPr>
        <xdr:cNvPr id="2" name="Picture 1">
          <a:extLst>
            <a:ext uri="{FF2B5EF4-FFF2-40B4-BE49-F238E27FC236}">
              <a16:creationId xmlns:a16="http://schemas.microsoft.com/office/drawing/2014/main" id="{A23EC7F6-188B-C76F-133E-EBFFA362A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0975"/>
          <a:ext cx="12640135" cy="703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21</xdr:col>
      <xdr:colOff>444325</xdr:colOff>
      <xdr:row>39</xdr:row>
      <xdr:rowOff>167640</xdr:rowOff>
    </xdr:to>
    <xdr:pic>
      <xdr:nvPicPr>
        <xdr:cNvPr id="3" name="Picture 2">
          <a:extLst>
            <a:ext uri="{FF2B5EF4-FFF2-40B4-BE49-F238E27FC236}">
              <a16:creationId xmlns:a16="http://schemas.microsoft.com/office/drawing/2014/main" id="{A34F43A1-00D3-4C68-8375-4C2656F4C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0975"/>
          <a:ext cx="12636325" cy="7044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BD73-854E-4E2E-A165-AB06CCF6E457}">
  <dimension ref="A1"/>
  <sheetViews>
    <sheetView showGridLines="0" tabSelected="1" workbookViewId="0">
      <selection activeCell="AB5" sqref="AB5"/>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showGridLines="0" workbookViewId="0">
      <selection activeCell="B4" sqref="B4"/>
    </sheetView>
  </sheetViews>
  <sheetFormatPr defaultRowHeight="14.4" x14ac:dyDescent="0.3"/>
  <cols>
    <col min="1" max="1" width="28" customWidth="1"/>
    <col min="2" max="2" width="30" customWidth="1"/>
    <col min="3" max="3" width="18" customWidth="1"/>
    <col min="4" max="4" width="24" customWidth="1"/>
    <col min="5" max="6" width="18" customWidth="1"/>
  </cols>
  <sheetData>
    <row r="1" spans="1:3" ht="33" customHeight="1" x14ac:dyDescent="0.3">
      <c r="A1" s="60" t="s">
        <v>417</v>
      </c>
      <c r="B1" s="61"/>
      <c r="C1" s="61"/>
    </row>
    <row r="2" spans="1:3" ht="25.8" customHeight="1" x14ac:dyDescent="0.3">
      <c r="A2" s="64" t="s">
        <v>0</v>
      </c>
      <c r="B2" s="65"/>
      <c r="C2" s="65"/>
    </row>
    <row r="3" spans="1:3" ht="25.8" customHeight="1" x14ac:dyDescent="0.3">
      <c r="A3" s="74" t="s">
        <v>420</v>
      </c>
      <c r="B3" s="73"/>
    </row>
    <row r="4" spans="1:3" ht="25.8" customHeight="1" x14ac:dyDescent="0.3">
      <c r="A4" s="74" t="s">
        <v>421</v>
      </c>
      <c r="B4" s="73"/>
    </row>
    <row r="5" spans="1:3" ht="25.8" customHeight="1" x14ac:dyDescent="0.3">
      <c r="A5" s="74" t="s">
        <v>422</v>
      </c>
      <c r="B5" s="73"/>
    </row>
    <row r="6" spans="1:3" ht="25.8" customHeight="1" x14ac:dyDescent="0.3">
      <c r="A6" s="74" t="s">
        <v>423</v>
      </c>
      <c r="B6" s="73"/>
    </row>
    <row r="7" spans="1:3" ht="25.8" customHeight="1" x14ac:dyDescent="0.3">
      <c r="A7" s="74" t="s">
        <v>424</v>
      </c>
      <c r="B7" s="73"/>
    </row>
    <row r="8" spans="1:3" ht="25.8" customHeight="1" x14ac:dyDescent="0.3">
      <c r="A8" s="74" t="s">
        <v>419</v>
      </c>
      <c r="B8" s="73"/>
    </row>
    <row r="9" spans="1:3" ht="25.8" customHeight="1" x14ac:dyDescent="0.3">
      <c r="A9" s="58"/>
    </row>
    <row r="10" spans="1:3" x14ac:dyDescent="0.3">
      <c r="A10" s="1"/>
      <c r="B10" s="1"/>
      <c r="C10" s="1"/>
    </row>
    <row r="11" spans="1:3" ht="22.05" customHeight="1" x14ac:dyDescent="0.3">
      <c r="A11" s="59" t="s">
        <v>1</v>
      </c>
      <c r="B11" s="62"/>
      <c r="C11" s="63"/>
    </row>
    <row r="12" spans="1:3" ht="28.8" x14ac:dyDescent="0.3">
      <c r="A12" s="3" t="s">
        <v>2</v>
      </c>
      <c r="B12" s="3" t="s">
        <v>3</v>
      </c>
      <c r="C12" s="4" t="s">
        <v>4</v>
      </c>
    </row>
    <row r="13" spans="1:3" ht="28.8" x14ac:dyDescent="0.3">
      <c r="A13" s="3" t="s">
        <v>5</v>
      </c>
      <c r="B13" s="3" t="s">
        <v>6</v>
      </c>
      <c r="C13" s="5">
        <v>5000</v>
      </c>
    </row>
    <row r="14" spans="1:3" ht="43.2" x14ac:dyDescent="0.3">
      <c r="A14" s="3" t="s">
        <v>7</v>
      </c>
      <c r="B14" s="3" t="s">
        <v>8</v>
      </c>
      <c r="C14" s="5">
        <v>2500</v>
      </c>
    </row>
    <row r="15" spans="1:3" ht="28.8" x14ac:dyDescent="0.3">
      <c r="A15" s="3" t="s">
        <v>9</v>
      </c>
      <c r="B15" s="3" t="s">
        <v>10</v>
      </c>
      <c r="C15" s="5">
        <v>8000</v>
      </c>
    </row>
    <row r="16" spans="1:3" x14ac:dyDescent="0.3">
      <c r="A16" s="3" t="s">
        <v>11</v>
      </c>
      <c r="B16" s="3" t="s">
        <v>12</v>
      </c>
      <c r="C16" s="6">
        <v>0.05</v>
      </c>
    </row>
    <row r="17" spans="1:3" x14ac:dyDescent="0.3">
      <c r="A17" s="3" t="s">
        <v>13</v>
      </c>
      <c r="B17" s="3" t="s">
        <v>14</v>
      </c>
      <c r="C17" s="6">
        <v>0</v>
      </c>
    </row>
    <row r="18" spans="1:3" x14ac:dyDescent="0.3">
      <c r="A18" s="3" t="s">
        <v>15</v>
      </c>
      <c r="B18" s="3" t="s">
        <v>16</v>
      </c>
      <c r="C18" s="6">
        <v>0</v>
      </c>
    </row>
    <row r="19" spans="1:3" ht="28.8" x14ac:dyDescent="0.3">
      <c r="A19" s="3" t="s">
        <v>17</v>
      </c>
      <c r="B19" s="3" t="s">
        <v>18</v>
      </c>
      <c r="C19" s="21">
        <f>C15*(1-C16-C17-C18)</f>
        <v>7600</v>
      </c>
    </row>
    <row r="20" spans="1:3" ht="28.8" x14ac:dyDescent="0.3">
      <c r="A20" s="3" t="s">
        <v>19</v>
      </c>
      <c r="B20" s="3" t="s">
        <v>20</v>
      </c>
      <c r="C20" s="6">
        <v>0</v>
      </c>
    </row>
    <row r="21" spans="1:3" ht="57.6" x14ac:dyDescent="0.3">
      <c r="A21" s="3" t="s">
        <v>21</v>
      </c>
      <c r="B21" s="3" t="s">
        <v>22</v>
      </c>
      <c r="C21" s="21">
        <f>IF(C12="Beat competition",C13,C19*(1+C20))</f>
        <v>5000</v>
      </c>
    </row>
    <row r="22" spans="1:3" ht="43.2" x14ac:dyDescent="0.3">
      <c r="A22" s="3" t="s">
        <v>23</v>
      </c>
      <c r="B22" s="3" t="s">
        <v>24</v>
      </c>
      <c r="C22" s="4" t="s">
        <v>25</v>
      </c>
    </row>
    <row r="23" spans="1:3" x14ac:dyDescent="0.3">
      <c r="A23" s="3" t="s">
        <v>26</v>
      </c>
      <c r="B23" s="3" t="s">
        <v>27</v>
      </c>
      <c r="C23" s="6">
        <v>0.5</v>
      </c>
    </row>
    <row r="24" spans="1:3" x14ac:dyDescent="0.3">
      <c r="A24" s="3" t="s">
        <v>28</v>
      </c>
      <c r="B24" s="3" t="s">
        <v>29</v>
      </c>
      <c r="C24" s="5">
        <v>0</v>
      </c>
    </row>
    <row r="25" spans="1:3" ht="28.8" x14ac:dyDescent="0.3">
      <c r="A25" s="3" t="s">
        <v>30</v>
      </c>
      <c r="B25" s="3" t="s">
        <v>31</v>
      </c>
      <c r="C25" s="21">
        <f>C21*C23</f>
        <v>2500</v>
      </c>
    </row>
    <row r="26" spans="1:3" ht="28.8" x14ac:dyDescent="0.3">
      <c r="A26" s="3" t="s">
        <v>32</v>
      </c>
      <c r="B26" s="3" t="s">
        <v>33</v>
      </c>
      <c r="C26" s="21">
        <f>IF(C22="GM",C21*(1-C23),C21*(1-C23)-C24)</f>
        <v>2500</v>
      </c>
    </row>
    <row r="27" spans="1:3" x14ac:dyDescent="0.3">
      <c r="A27" s="3" t="s">
        <v>34</v>
      </c>
      <c r="B27" s="3" t="s">
        <v>35</v>
      </c>
      <c r="C27" s="6">
        <v>0.02</v>
      </c>
    </row>
    <row r="28" spans="1:3" x14ac:dyDescent="0.3">
      <c r="A28" s="3" t="s">
        <v>36</v>
      </c>
      <c r="B28" s="3" t="s">
        <v>37</v>
      </c>
      <c r="C28" s="20">
        <f>C26*(1-C27)</f>
        <v>2450</v>
      </c>
    </row>
    <row r="29" spans="1:3" ht="22.05" customHeight="1" x14ac:dyDescent="0.3">
      <c r="A29" s="1"/>
      <c r="B29" s="1"/>
      <c r="C29" s="1"/>
    </row>
    <row r="30" spans="1:3" ht="22.05" customHeight="1" x14ac:dyDescent="0.3">
      <c r="A30" s="1"/>
      <c r="B30" s="1"/>
      <c r="C30" s="1"/>
    </row>
    <row r="31" spans="1:3" ht="22.05" customHeight="1" x14ac:dyDescent="0.3">
      <c r="A31" s="59" t="s">
        <v>38</v>
      </c>
      <c r="B31" s="62"/>
      <c r="C31" s="63"/>
    </row>
    <row r="32" spans="1:3" x14ac:dyDescent="0.3">
      <c r="A32" s="3" t="s">
        <v>39</v>
      </c>
      <c r="B32" s="3" t="s">
        <v>40</v>
      </c>
      <c r="C32" s="5">
        <v>2300</v>
      </c>
    </row>
    <row r="33" spans="1:5" x14ac:dyDescent="0.3">
      <c r="A33" s="3" t="s">
        <v>41</v>
      </c>
      <c r="B33" s="3" t="s">
        <v>42</v>
      </c>
      <c r="C33" s="5">
        <v>1000</v>
      </c>
    </row>
    <row r="34" spans="1:5" x14ac:dyDescent="0.3">
      <c r="A34" s="3" t="s">
        <v>43</v>
      </c>
      <c r="B34" s="3" t="s">
        <v>44</v>
      </c>
      <c r="C34" s="5">
        <v>250</v>
      </c>
    </row>
    <row r="35" spans="1:5" x14ac:dyDescent="0.3">
      <c r="A35" s="3" t="s">
        <v>45</v>
      </c>
      <c r="B35" s="3" t="s">
        <v>46</v>
      </c>
      <c r="C35" s="5">
        <v>700</v>
      </c>
    </row>
    <row r="36" spans="1:5" ht="28.8" x14ac:dyDescent="0.3">
      <c r="A36" s="3" t="s">
        <v>47</v>
      </c>
      <c r="B36" s="3" t="s">
        <v>48</v>
      </c>
      <c r="C36" s="5">
        <v>150</v>
      </c>
    </row>
    <row r="37" spans="1:5" x14ac:dyDescent="0.3">
      <c r="A37" s="55" t="s">
        <v>50</v>
      </c>
      <c r="B37" s="3" t="s">
        <v>51</v>
      </c>
      <c r="C37" s="5">
        <v>10</v>
      </c>
      <c r="E37" t="s">
        <v>418</v>
      </c>
    </row>
    <row r="38" spans="1:5" x14ac:dyDescent="0.3">
      <c r="A38" s="3" t="s">
        <v>50</v>
      </c>
      <c r="B38" s="3" t="s">
        <v>51</v>
      </c>
      <c r="C38" s="5">
        <v>0</v>
      </c>
    </row>
    <row r="39" spans="1:5" x14ac:dyDescent="0.3">
      <c r="A39" s="3" t="s">
        <v>52</v>
      </c>
      <c r="B39" s="3" t="s">
        <v>53</v>
      </c>
      <c r="C39" s="20">
        <f>SUM(C32:C38)</f>
        <v>4410</v>
      </c>
    </row>
    <row r="40" spans="1:5" ht="22.05" customHeight="1" x14ac:dyDescent="0.3">
      <c r="A40" s="1"/>
      <c r="B40" s="1"/>
      <c r="C40" s="1"/>
    </row>
    <row r="41" spans="1:5" ht="22.05" customHeight="1" x14ac:dyDescent="0.3">
      <c r="A41" s="1"/>
      <c r="B41" s="1"/>
      <c r="C41" s="1"/>
    </row>
    <row r="42" spans="1:5" ht="22.05" customHeight="1" x14ac:dyDescent="0.3">
      <c r="A42" s="59" t="s">
        <v>54</v>
      </c>
      <c r="B42" s="59"/>
      <c r="C42" s="59"/>
    </row>
    <row r="43" spans="1:5" x14ac:dyDescent="0.3">
      <c r="A43" s="3" t="s">
        <v>55</v>
      </c>
      <c r="B43" s="3" t="s">
        <v>56</v>
      </c>
      <c r="C43" s="5">
        <v>1700</v>
      </c>
    </row>
    <row r="44" spans="1:5" ht="28.8" x14ac:dyDescent="0.3">
      <c r="A44" s="3" t="s">
        <v>57</v>
      </c>
      <c r="B44" s="3" t="s">
        <v>58</v>
      </c>
      <c r="C44" s="5">
        <v>750</v>
      </c>
    </row>
    <row r="45" spans="1:5" ht="28.8" x14ac:dyDescent="0.3">
      <c r="A45" s="3" t="s">
        <v>59</v>
      </c>
      <c r="B45" s="3" t="s">
        <v>60</v>
      </c>
      <c r="C45" s="5">
        <v>150</v>
      </c>
    </row>
    <row r="46" spans="1:5" ht="28.8" x14ac:dyDescent="0.3">
      <c r="A46" s="3" t="s">
        <v>61</v>
      </c>
      <c r="B46" s="3" t="s">
        <v>62</v>
      </c>
      <c r="C46" s="5">
        <v>700</v>
      </c>
    </row>
    <row r="47" spans="1:5" ht="28.8" x14ac:dyDescent="0.3">
      <c r="A47" s="3" t="s">
        <v>63</v>
      </c>
      <c r="B47" s="3" t="s">
        <v>64</v>
      </c>
      <c r="C47" s="5">
        <v>100</v>
      </c>
    </row>
    <row r="48" spans="1:5" x14ac:dyDescent="0.3">
      <c r="A48" s="3" t="str">
        <f>A37</f>
        <v>Other</v>
      </c>
      <c r="B48" s="3" t="str">
        <f>B37</f>
        <v>Other current COGS items per unit</v>
      </c>
      <c r="C48" s="5">
        <v>10</v>
      </c>
    </row>
    <row r="49" spans="1:6" x14ac:dyDescent="0.3">
      <c r="A49" s="3" t="str">
        <f>A38</f>
        <v>Other</v>
      </c>
      <c r="B49" s="3" t="str">
        <f>B38</f>
        <v>Other current COGS items per unit</v>
      </c>
      <c r="C49" s="5">
        <v>0</v>
      </c>
    </row>
    <row r="50" spans="1:6" ht="28.8" x14ac:dyDescent="0.3">
      <c r="A50" s="3" t="s">
        <v>65</v>
      </c>
      <c r="B50" s="3" t="s">
        <v>66</v>
      </c>
      <c r="C50" s="20">
        <f>SUM(C43:C49)</f>
        <v>3410</v>
      </c>
    </row>
    <row r="51" spans="1:6" ht="22.05" customHeight="1" x14ac:dyDescent="0.3"/>
    <row r="52" spans="1:6" ht="22.05" customHeight="1" x14ac:dyDescent="0.3">
      <c r="A52" s="59" t="s">
        <v>67</v>
      </c>
      <c r="B52" s="59"/>
      <c r="C52" s="59"/>
    </row>
    <row r="53" spans="1:6" ht="22.05" customHeight="1" x14ac:dyDescent="0.3">
      <c r="A53" s="7" t="s">
        <v>68</v>
      </c>
      <c r="B53" s="7" t="s">
        <v>69</v>
      </c>
      <c r="C53" s="7" t="s">
        <v>70</v>
      </c>
    </row>
    <row r="54" spans="1:6" x14ac:dyDescent="0.3">
      <c r="A54" s="3" t="str">
        <f t="shared" ref="A54:A60" si="0">A32</f>
        <v>BOM</v>
      </c>
      <c r="B54" s="6">
        <v>0.15</v>
      </c>
      <c r="C54" s="10">
        <f t="shared" ref="C54:C60" si="1">C32*(1-B54)</f>
        <v>1955</v>
      </c>
    </row>
    <row r="55" spans="1:6" x14ac:dyDescent="0.3">
      <c r="A55" s="3" t="str">
        <f t="shared" si="0"/>
        <v>Direct Labor</v>
      </c>
      <c r="B55" s="6">
        <v>0.05</v>
      </c>
      <c r="C55" s="10">
        <f t="shared" si="1"/>
        <v>950</v>
      </c>
    </row>
    <row r="56" spans="1:6" x14ac:dyDescent="0.3">
      <c r="A56" s="3" t="str">
        <f t="shared" si="0"/>
        <v>Variable OH</v>
      </c>
      <c r="B56" s="6">
        <v>0</v>
      </c>
      <c r="C56" s="10">
        <f t="shared" si="1"/>
        <v>250</v>
      </c>
    </row>
    <row r="57" spans="1:6" x14ac:dyDescent="0.3">
      <c r="A57" s="3" t="str">
        <f t="shared" si="0"/>
        <v>Fixed OH</v>
      </c>
      <c r="B57" s="6">
        <v>0</v>
      </c>
      <c r="C57" s="10">
        <f t="shared" si="1"/>
        <v>700</v>
      </c>
    </row>
    <row r="58" spans="1:6" x14ac:dyDescent="0.3">
      <c r="A58" s="3" t="str">
        <f t="shared" si="0"/>
        <v>Freight / Duty</v>
      </c>
      <c r="B58" s="6">
        <v>0.1</v>
      </c>
      <c r="C58" s="10">
        <f t="shared" si="1"/>
        <v>135</v>
      </c>
    </row>
    <row r="59" spans="1:6" x14ac:dyDescent="0.3">
      <c r="A59" s="3" t="str">
        <f t="shared" si="0"/>
        <v>Other</v>
      </c>
      <c r="B59" s="6">
        <v>0</v>
      </c>
      <c r="C59" s="10">
        <f t="shared" si="1"/>
        <v>10</v>
      </c>
    </row>
    <row r="60" spans="1:6" x14ac:dyDescent="0.3">
      <c r="A60" s="3" t="str">
        <f t="shared" si="0"/>
        <v>Other</v>
      </c>
      <c r="B60" s="6">
        <v>0</v>
      </c>
      <c r="C60" s="36">
        <f t="shared" si="1"/>
        <v>0</v>
      </c>
    </row>
    <row r="61" spans="1:6" ht="28.8" x14ac:dyDescent="0.3">
      <c r="A61" s="9" t="s">
        <v>71</v>
      </c>
      <c r="B61" s="3"/>
      <c r="C61" s="20">
        <f>SUM(C54:C60)</f>
        <v>4000</v>
      </c>
    </row>
    <row r="62" spans="1:6" ht="22.05" customHeight="1" x14ac:dyDescent="0.3">
      <c r="A62" s="1"/>
      <c r="B62" s="1"/>
      <c r="C62" s="1"/>
    </row>
    <row r="63" spans="1:6" ht="22.05" customHeight="1" x14ac:dyDescent="0.3">
      <c r="A63" s="1"/>
    </row>
    <row r="64" spans="1:6" ht="22.05" customHeight="1" x14ac:dyDescent="0.3">
      <c r="A64" s="59" t="s">
        <v>72</v>
      </c>
      <c r="B64" s="59"/>
      <c r="C64" s="59"/>
      <c r="D64" s="59"/>
      <c r="E64" s="59"/>
      <c r="F64" s="59"/>
    </row>
    <row r="65" spans="1:6" ht="22.05" customHeight="1" x14ac:dyDescent="0.3">
      <c r="A65" s="3"/>
      <c r="B65" s="3"/>
      <c r="C65" s="21"/>
    </row>
    <row r="66" spans="1:6" ht="22.05" customHeight="1" x14ac:dyDescent="0.3">
      <c r="A66" s="59" t="s">
        <v>73</v>
      </c>
      <c r="B66" s="59"/>
      <c r="C66" s="59"/>
      <c r="D66" s="59" t="s">
        <v>74</v>
      </c>
      <c r="E66" s="59"/>
      <c r="F66" s="59"/>
    </row>
    <row r="67" spans="1:6" ht="22.05" customHeight="1" x14ac:dyDescent="0.3">
      <c r="A67" s="3" t="s">
        <v>75</v>
      </c>
      <c r="B67" s="3"/>
      <c r="C67" s="20">
        <f>C39</f>
        <v>4410</v>
      </c>
      <c r="D67" s="3" t="s">
        <v>76</v>
      </c>
      <c r="F67" s="36">
        <f>C70-C69</f>
        <v>-1550</v>
      </c>
    </row>
    <row r="68" spans="1:6" ht="22.05" customHeight="1" x14ac:dyDescent="0.3">
      <c r="A68" s="3" t="s">
        <v>77</v>
      </c>
      <c r="B68" s="3"/>
      <c r="C68" s="20">
        <f>C50</f>
        <v>3410</v>
      </c>
      <c r="D68" s="3" t="s">
        <v>78</v>
      </c>
      <c r="F68" s="36">
        <f>C68-C69</f>
        <v>-590</v>
      </c>
    </row>
    <row r="69" spans="1:6" ht="22.05" customHeight="1" x14ac:dyDescent="0.3">
      <c r="A69" s="3" t="s">
        <v>79</v>
      </c>
      <c r="B69" s="3"/>
      <c r="C69" s="20">
        <f>C61</f>
        <v>4000</v>
      </c>
      <c r="D69" s="3" t="s">
        <v>80</v>
      </c>
      <c r="F69" s="36">
        <f>C68-C67</f>
        <v>-1000</v>
      </c>
    </row>
    <row r="70" spans="1:6" ht="22.05" customHeight="1" x14ac:dyDescent="0.3">
      <c r="A70" s="3" t="s">
        <v>81</v>
      </c>
      <c r="B70" s="3"/>
      <c r="C70" s="20">
        <f>C28</f>
        <v>2450</v>
      </c>
      <c r="D70" s="3" t="s">
        <v>82</v>
      </c>
      <c r="F70" s="36">
        <f>C70-C68</f>
        <v>-960</v>
      </c>
    </row>
    <row r="71" spans="1:6" ht="22.05" customHeight="1" x14ac:dyDescent="0.3">
      <c r="A71" s="3"/>
      <c r="B71" s="3"/>
      <c r="C71" s="28"/>
    </row>
    <row r="72" spans="1:6" ht="22.05" customHeight="1" x14ac:dyDescent="0.3">
      <c r="A72" s="59" t="s">
        <v>83</v>
      </c>
      <c r="B72" s="59"/>
      <c r="C72" s="59"/>
      <c r="D72" s="59" t="s">
        <v>84</v>
      </c>
      <c r="E72" s="59"/>
      <c r="F72" s="59"/>
    </row>
    <row r="73" spans="1:6" ht="22.05" customHeight="1" x14ac:dyDescent="0.3">
      <c r="A73" s="3" t="s">
        <v>85</v>
      </c>
      <c r="B73" s="3"/>
      <c r="C73" s="28">
        <f>IFERROR((C21-C61)/C21,"")</f>
        <v>0.2</v>
      </c>
      <c r="D73" s="3" t="s">
        <v>86</v>
      </c>
      <c r="F73" s="20">
        <f>MAX(0,C61-C28)</f>
        <v>1550</v>
      </c>
    </row>
    <row r="74" spans="1:6" ht="22.05" customHeight="1" x14ac:dyDescent="0.3">
      <c r="A74" s="3" t="s">
        <v>87</v>
      </c>
      <c r="B74" s="3"/>
      <c r="C74" s="37">
        <f>IFERROR((C21-C61-C24)/C21,"")</f>
        <v>0.2</v>
      </c>
      <c r="D74" s="3" t="s">
        <v>88</v>
      </c>
      <c r="F74" s="36">
        <f>'Action Tracker'!K56</f>
        <v>336.5</v>
      </c>
    </row>
    <row r="75" spans="1:6" ht="22.05" customHeight="1" x14ac:dyDescent="0.3">
      <c r="A75" s="3"/>
      <c r="B75" s="3"/>
      <c r="C75" s="20"/>
      <c r="D75" s="3" t="s">
        <v>89</v>
      </c>
      <c r="F75" s="36">
        <f>MIN(F73,F74)</f>
        <v>336.5</v>
      </c>
    </row>
    <row r="76" spans="1:6" ht="22.05" customHeight="1" x14ac:dyDescent="0.3">
      <c r="A76" s="3"/>
      <c r="B76" s="3"/>
      <c r="C76" s="20"/>
      <c r="D76" s="3" t="s">
        <v>90</v>
      </c>
      <c r="F76" s="20">
        <f>MAX(0,F73-F75)</f>
        <v>1213.5</v>
      </c>
    </row>
    <row r="77" spans="1:6" ht="22.05" customHeight="1" x14ac:dyDescent="0.3">
      <c r="A77" s="9"/>
      <c r="B77" s="3"/>
      <c r="C77" s="29"/>
    </row>
    <row r="78" spans="1:6" ht="22.05" customHeight="1" x14ac:dyDescent="0.3">
      <c r="A78" s="59" t="s">
        <v>91</v>
      </c>
      <c r="B78" s="59"/>
      <c r="C78" s="59"/>
      <c r="D78" s="59"/>
      <c r="E78" s="59"/>
      <c r="F78" s="59"/>
    </row>
    <row r="79" spans="1:6" ht="22.05" customHeight="1" x14ac:dyDescent="0.3">
      <c r="A79" s="3" t="s">
        <v>92</v>
      </c>
      <c r="C79" s="29" t="str">
        <f>IF(C12="Beat competition",IF(AND(F67&lt;=0,C69&lt;=C14),"GREEN",IF(OR(F67&lt;=0,C69&lt;=C14),"YELLOW","RED")),IF(C22="GM",IF(C73&gt;=C23,"GREEN",IF(C23-C73&lt;=0.02,"YELLOW","RED")),IF(C74&gt;=C23,"GREEN",IF(C23-C74&lt;=0.02,"YELLOW","RED"))))</f>
        <v>YELLOW</v>
      </c>
    </row>
    <row r="80" spans="1:6" ht="30" customHeight="1" x14ac:dyDescent="0.3">
      <c r="A80" s="3" t="s">
        <v>93</v>
      </c>
      <c r="C80" s="38" t="str">
        <f>IF(C79="GREEN","Meets target logic",IF(C79="YELLOW","Near target / partial pass","Gap remains"))</f>
        <v>Near target / partial pass</v>
      </c>
    </row>
    <row r="81" spans="1:7" ht="38.4" customHeight="1" x14ac:dyDescent="0.3">
      <c r="A81" s="3" t="s">
        <v>94</v>
      </c>
      <c r="C81" s="38" t="str">
        <f>IF(C68&gt;C70,"UNREALISTIC TARGET",IF(C69&gt;C68,"EXECUTION GAP","ON TRACK"))</f>
        <v>UNREALISTIC TARGET</v>
      </c>
    </row>
    <row r="82" spans="1:7" ht="22.05" customHeight="1" x14ac:dyDescent="0.3">
      <c r="A82" s="31"/>
      <c r="B82" s="31"/>
      <c r="C82" s="31"/>
      <c r="D82" s="31"/>
      <c r="E82" s="31"/>
      <c r="F82" s="31"/>
      <c r="G82" s="31"/>
    </row>
    <row r="83" spans="1:7" ht="22.05" customHeight="1" x14ac:dyDescent="0.3">
      <c r="A83" s="31"/>
      <c r="B83" s="31"/>
      <c r="C83" s="32"/>
      <c r="D83" s="31"/>
      <c r="E83" s="31"/>
      <c r="F83" s="31"/>
      <c r="G83" s="31"/>
    </row>
    <row r="84" spans="1:7" ht="22.05" customHeight="1" x14ac:dyDescent="0.3">
      <c r="A84" s="31"/>
      <c r="B84" s="31"/>
      <c r="C84" s="32"/>
      <c r="D84" s="31"/>
      <c r="E84" s="31"/>
      <c r="F84" s="31"/>
      <c r="G84" s="31"/>
    </row>
    <row r="85" spans="1:7" ht="22.05" customHeight="1" x14ac:dyDescent="0.3">
      <c r="A85" s="31"/>
      <c r="B85" s="31"/>
      <c r="C85" s="32"/>
      <c r="D85" s="31"/>
      <c r="E85" s="31"/>
      <c r="F85" s="31"/>
      <c r="G85" s="31"/>
    </row>
    <row r="86" spans="1:7" ht="22.05" customHeight="1" x14ac:dyDescent="0.3">
      <c r="A86" s="31"/>
      <c r="B86" s="31"/>
      <c r="C86" s="32"/>
      <c r="D86" s="31"/>
      <c r="E86" s="31"/>
      <c r="F86" s="31"/>
      <c r="G86" s="31"/>
    </row>
    <row r="87" spans="1:7" ht="40.049999999999997" customHeight="1" x14ac:dyDescent="0.3">
      <c r="A87" s="31"/>
      <c r="B87" s="31"/>
      <c r="C87" s="32"/>
      <c r="D87" s="31"/>
      <c r="E87" s="31"/>
      <c r="F87" s="31"/>
      <c r="G87" s="31"/>
    </row>
    <row r="88" spans="1:7" x14ac:dyDescent="0.3">
      <c r="A88" s="31"/>
      <c r="B88" s="31"/>
      <c r="C88" s="31"/>
      <c r="D88" s="31"/>
      <c r="E88" s="31"/>
      <c r="F88" s="31"/>
      <c r="G88" s="31"/>
    </row>
    <row r="89" spans="1:7" x14ac:dyDescent="0.3">
      <c r="A89" s="31"/>
      <c r="B89" s="31"/>
      <c r="C89" s="32"/>
      <c r="D89" s="31"/>
      <c r="E89" s="31"/>
      <c r="F89" s="31"/>
      <c r="G89" s="31"/>
    </row>
    <row r="90" spans="1:7" x14ac:dyDescent="0.3">
      <c r="A90" s="31"/>
      <c r="B90" s="31"/>
      <c r="C90" s="32"/>
      <c r="D90" s="31"/>
      <c r="E90" s="31"/>
      <c r="F90" s="31"/>
      <c r="G90" s="31"/>
    </row>
    <row r="91" spans="1:7" x14ac:dyDescent="0.3">
      <c r="A91" s="31"/>
      <c r="B91" s="31"/>
      <c r="C91" s="32"/>
      <c r="D91" s="31"/>
      <c r="E91" s="31"/>
      <c r="F91" s="31"/>
      <c r="G91" s="31"/>
    </row>
    <row r="92" spans="1:7" x14ac:dyDescent="0.3">
      <c r="A92" s="31"/>
      <c r="B92" s="31"/>
      <c r="C92" s="32"/>
      <c r="D92" s="31"/>
      <c r="E92" s="31"/>
      <c r="F92" s="31"/>
      <c r="G92" s="31"/>
    </row>
    <row r="93" spans="1:7" x14ac:dyDescent="0.3">
      <c r="A93" s="31"/>
      <c r="B93" s="31"/>
      <c r="C93" s="32"/>
      <c r="D93" s="31"/>
      <c r="E93" s="31"/>
      <c r="F93" s="31"/>
      <c r="G93" s="31"/>
    </row>
    <row r="94" spans="1:7" x14ac:dyDescent="0.3">
      <c r="A94" s="31"/>
      <c r="B94" s="31"/>
      <c r="C94" s="31"/>
      <c r="D94" s="31"/>
      <c r="E94" s="31"/>
      <c r="F94" s="31"/>
      <c r="G94" s="31"/>
    </row>
    <row r="95" spans="1:7" x14ac:dyDescent="0.3">
      <c r="A95" s="31"/>
      <c r="B95" s="31"/>
      <c r="C95" s="31"/>
      <c r="D95" s="31"/>
      <c r="E95" s="31"/>
      <c r="F95" s="31"/>
      <c r="G95" s="31"/>
    </row>
    <row r="96" spans="1:7" x14ac:dyDescent="0.3">
      <c r="A96" s="31"/>
      <c r="B96" s="31"/>
      <c r="C96" s="31"/>
      <c r="D96" s="31"/>
      <c r="E96" s="31"/>
      <c r="F96" s="31"/>
      <c r="G96" s="31"/>
    </row>
    <row r="97" spans="1:7" x14ac:dyDescent="0.3">
      <c r="A97" s="31"/>
      <c r="B97" s="31"/>
      <c r="C97" s="31"/>
      <c r="D97" s="31"/>
      <c r="E97" s="31"/>
      <c r="F97" s="31"/>
      <c r="G97" s="31"/>
    </row>
    <row r="98" spans="1:7" x14ac:dyDescent="0.3">
      <c r="A98" s="31"/>
      <c r="B98" s="31"/>
      <c r="C98" s="31"/>
      <c r="D98" s="31"/>
      <c r="E98" s="31"/>
      <c r="F98" s="31"/>
      <c r="G98" s="31"/>
    </row>
    <row r="99" spans="1:7" x14ac:dyDescent="0.3">
      <c r="A99" s="31"/>
      <c r="B99" s="31"/>
      <c r="C99" s="31"/>
      <c r="D99" s="31"/>
      <c r="E99" s="31"/>
      <c r="F99" s="31"/>
      <c r="G99" s="31"/>
    </row>
    <row r="100" spans="1:7" x14ac:dyDescent="0.3">
      <c r="A100" s="31"/>
      <c r="B100" s="31"/>
      <c r="C100" s="31"/>
      <c r="D100" s="31"/>
      <c r="E100" s="31"/>
      <c r="F100" s="31"/>
      <c r="G100" s="31"/>
    </row>
    <row r="101" spans="1:7" x14ac:dyDescent="0.3">
      <c r="A101" s="31"/>
      <c r="B101" s="31"/>
      <c r="C101" s="31"/>
      <c r="D101" s="31"/>
      <c r="E101" s="31"/>
      <c r="F101" s="31"/>
      <c r="G101" s="31"/>
    </row>
  </sheetData>
  <mergeCells count="12">
    <mergeCell ref="A78:F78"/>
    <mergeCell ref="D72:F72"/>
    <mergeCell ref="A1:C1"/>
    <mergeCell ref="A42:C42"/>
    <mergeCell ref="A52:C52"/>
    <mergeCell ref="D66:F66"/>
    <mergeCell ref="A66:C66"/>
    <mergeCell ref="A72:C72"/>
    <mergeCell ref="A64:F64"/>
    <mergeCell ref="A11:C11"/>
    <mergeCell ref="A31:C31"/>
    <mergeCell ref="A2:C2"/>
  </mergeCells>
  <conditionalFormatting sqref="A13:C14">
    <cfRule type="expression" dxfId="25" priority="2">
      <formula>$C$12="Margin improvement"</formula>
    </cfRule>
  </conditionalFormatting>
  <conditionalFormatting sqref="A20:C20">
    <cfRule type="expression" dxfId="24" priority="1">
      <formula>$C$12="Beat competition"</formula>
    </cfRule>
  </conditionalFormatting>
  <conditionalFormatting sqref="A24:C24">
    <cfRule type="expression" dxfId="23" priority="3">
      <formula>$C$22="GM"</formula>
    </cfRule>
  </conditionalFormatting>
  <conditionalFormatting sqref="A67:C69">
    <cfRule type="expression" dxfId="22" priority="9">
      <formula>$C$12="Margin improvement"</formula>
    </cfRule>
  </conditionalFormatting>
  <conditionalFormatting sqref="A78:C78">
    <cfRule type="expression" dxfId="21" priority="7">
      <formula>$C$12="Margin improvement"</formula>
    </cfRule>
  </conditionalFormatting>
  <conditionalFormatting sqref="A80:C80">
    <cfRule type="expression" dxfId="20" priority="8">
      <formula>$C$12="Margin improvement"</formula>
    </cfRule>
  </conditionalFormatting>
  <conditionalFormatting sqref="C65">
    <cfRule type="expression" dxfId="19" priority="13">
      <formula>LEFT($C$68,5)="GREEN"</formula>
    </cfRule>
    <cfRule type="expression" dxfId="18" priority="14">
      <formula>LEFT($C$68,6)="YELLOW"</formula>
    </cfRule>
    <cfRule type="expression" dxfId="17" priority="15">
      <formula>LEFT($C$68,3)="RED"</formula>
    </cfRule>
  </conditionalFormatting>
  <conditionalFormatting sqref="C68">
    <cfRule type="expression" dxfId="16" priority="10">
      <formula>LEFT($C$68,5)="GREEN"</formula>
    </cfRule>
    <cfRule type="expression" dxfId="15" priority="11">
      <formula>LEFT($C$68,6)="YELLOW"</formula>
    </cfRule>
    <cfRule type="expression" dxfId="14" priority="12">
      <formula>LEFT($C$68,3)="RED"</formula>
    </cfRule>
  </conditionalFormatting>
  <conditionalFormatting sqref="C70">
    <cfRule type="expression" dxfId="13" priority="16">
      <formula>$C$70="GREEN"</formula>
    </cfRule>
    <cfRule type="expression" dxfId="12" priority="17">
      <formula>$C$70="YELLOW"</formula>
    </cfRule>
    <cfRule type="expression" dxfId="11" priority="18">
      <formula>$C$70="RED"</formula>
    </cfRule>
  </conditionalFormatting>
  <conditionalFormatting sqref="C79">
    <cfRule type="expression" dxfId="10" priority="19">
      <formula>$C$79="GREEN"</formula>
    </cfRule>
    <cfRule type="expression" dxfId="9" priority="20">
      <formula>$C$79="YELLOW"</formula>
    </cfRule>
    <cfRule type="expression" dxfId="8" priority="21">
      <formula>$C$79="RED"</formula>
    </cfRule>
  </conditionalFormatting>
  <conditionalFormatting sqref="C86">
    <cfRule type="expression" dxfId="7" priority="4">
      <formula>LEFT($C$86,5)="GREEN"</formula>
    </cfRule>
    <cfRule type="expression" dxfId="6" priority="5">
      <formula>LEFT($C$86,6)="YELLOW"</formula>
    </cfRule>
    <cfRule type="expression" dxfId="5" priority="6">
      <formula>LEFT($C$86,3)="RED"</formula>
    </cfRule>
  </conditionalFormatting>
  <dataValidations count="3">
    <dataValidation type="list" sqref="C12" xr:uid="{00000000-0002-0000-0000-000000000000}">
      <formula1>"Beat competition,Margin improvement"</formula1>
    </dataValidation>
    <dataValidation type="list" sqref="C22" xr:uid="{00000000-0002-0000-0000-000001000000}">
      <formula1>"GM,OM"</formula1>
    </dataValidation>
    <dataValidation type="list" allowBlank="1" showInputMessage="1" showErrorMessage="1" sqref="B3" xr:uid="{DA750891-BAE9-49D7-82AC-35B99FD50C63}">
      <formula1>"AIG, BPG, LSG, SDG, LPG"</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
  <sheetViews>
    <sheetView showGridLines="0" workbookViewId="0">
      <selection activeCell="J20" sqref="J20"/>
    </sheetView>
  </sheetViews>
  <sheetFormatPr defaultRowHeight="14.4" x14ac:dyDescent="0.3"/>
  <cols>
    <col min="1" max="1" width="22" customWidth="1"/>
    <col min="2" max="7" width="14" customWidth="1"/>
    <col min="8" max="8" width="34" customWidth="1"/>
  </cols>
  <sheetData>
    <row r="1" spans="1:8" x14ac:dyDescent="0.3">
      <c r="A1" s="66" t="s">
        <v>333</v>
      </c>
      <c r="B1" s="65"/>
      <c r="C1" s="65"/>
      <c r="D1" s="65"/>
      <c r="E1" s="65"/>
      <c r="F1" s="65"/>
      <c r="G1" s="65"/>
    </row>
    <row r="2" spans="1:8" x14ac:dyDescent="0.3">
      <c r="A2" s="1"/>
      <c r="B2" s="1"/>
      <c r="C2" s="1"/>
      <c r="D2" s="1"/>
      <c r="E2" s="1"/>
      <c r="F2" s="1"/>
      <c r="G2" s="1"/>
    </row>
    <row r="3" spans="1:8" x14ac:dyDescent="0.3">
      <c r="A3" s="15" t="s">
        <v>334</v>
      </c>
      <c r="B3" s="23">
        <f>'Calculator Form'!C21</f>
        <v>5000</v>
      </c>
      <c r="C3" s="1"/>
      <c r="D3" s="1"/>
      <c r="E3" s="1"/>
      <c r="F3" s="1"/>
      <c r="G3" s="1"/>
      <c r="H3" s="24" t="s">
        <v>335</v>
      </c>
    </row>
    <row r="4" spans="1:8" ht="28.8" x14ac:dyDescent="0.3">
      <c r="A4" s="15" t="s">
        <v>336</v>
      </c>
      <c r="B4" s="12">
        <f>'Calculator Form'!C23</f>
        <v>0.5</v>
      </c>
      <c r="C4" s="1"/>
      <c r="D4" s="1"/>
      <c r="E4" s="1"/>
      <c r="F4" s="1"/>
      <c r="G4" s="1"/>
      <c r="H4" s="24" t="s">
        <v>337</v>
      </c>
    </row>
    <row r="5" spans="1:8" ht="28.8" x14ac:dyDescent="0.3">
      <c r="A5" s="15" t="s">
        <v>338</v>
      </c>
      <c r="B5" s="11" t="str">
        <f>'Calculator Form'!C22</f>
        <v>GM</v>
      </c>
      <c r="C5" s="1"/>
      <c r="D5" s="1"/>
      <c r="E5" s="1"/>
      <c r="F5" s="1"/>
      <c r="G5" s="1"/>
      <c r="H5" s="24" t="s">
        <v>339</v>
      </c>
    </row>
    <row r="6" spans="1:8" ht="28.8" x14ac:dyDescent="0.3">
      <c r="A6" s="15" t="s">
        <v>340</v>
      </c>
      <c r="B6" s="8">
        <f>'Calculator Form'!C24</f>
        <v>0</v>
      </c>
      <c r="C6" s="1"/>
      <c r="D6" s="1"/>
      <c r="E6" s="1"/>
      <c r="F6" s="1"/>
      <c r="G6" s="1"/>
      <c r="H6" s="24" t="s">
        <v>341</v>
      </c>
    </row>
    <row r="7" spans="1:8" x14ac:dyDescent="0.3">
      <c r="A7" s="15" t="s">
        <v>342</v>
      </c>
      <c r="B7" s="13">
        <v>10000</v>
      </c>
      <c r="C7" s="1"/>
      <c r="D7" s="1"/>
      <c r="E7" s="1"/>
      <c r="F7" s="1"/>
      <c r="G7" s="1"/>
    </row>
    <row r="8" spans="1:8" x14ac:dyDescent="0.3">
      <c r="A8" s="15" t="s">
        <v>343</v>
      </c>
      <c r="B8" s="8">
        <f>'Calculator Form'!C35</f>
        <v>700</v>
      </c>
      <c r="C8" s="1"/>
      <c r="D8" s="1"/>
      <c r="E8" s="1"/>
      <c r="F8" s="1"/>
      <c r="G8" s="1"/>
    </row>
    <row r="9" spans="1:8" ht="28.8" x14ac:dyDescent="0.3">
      <c r="A9" s="15" t="s">
        <v>344</v>
      </c>
      <c r="B9" s="25">
        <f>IF('Calculator Form'!C12="Beat competition",'Calculator Form'!C14,"")</f>
        <v>2500</v>
      </c>
      <c r="C9" s="1"/>
      <c r="D9" s="1"/>
      <c r="E9" s="1"/>
      <c r="F9" s="1"/>
      <c r="G9" s="1"/>
    </row>
    <row r="10" spans="1:8" x14ac:dyDescent="0.3">
      <c r="A10" s="1"/>
      <c r="B10" s="1"/>
      <c r="C10" s="1"/>
      <c r="D10" s="1"/>
      <c r="E10" s="1"/>
      <c r="F10" s="1"/>
      <c r="G10" s="1"/>
    </row>
    <row r="11" spans="1:8" x14ac:dyDescent="0.3">
      <c r="A11" s="75" t="s">
        <v>269</v>
      </c>
      <c r="B11" s="75"/>
      <c r="C11" s="75"/>
      <c r="D11" s="75"/>
      <c r="E11" s="75"/>
      <c r="F11" s="75"/>
      <c r="G11" s="1"/>
    </row>
    <row r="12" spans="1:8" x14ac:dyDescent="0.3">
      <c r="A12" s="56" t="s">
        <v>345</v>
      </c>
      <c r="B12" s="26">
        <f>B4+(-0.1)</f>
        <v>0.4</v>
      </c>
      <c r="C12" s="26">
        <f>B4+(-0.05)</f>
        <v>0.45</v>
      </c>
      <c r="D12" s="26">
        <f>B4</f>
        <v>0.5</v>
      </c>
      <c r="E12" s="26">
        <f>B4+(0.05)</f>
        <v>0.55000000000000004</v>
      </c>
      <c r="F12" s="26">
        <f>B4+(0.1)</f>
        <v>0.6</v>
      </c>
      <c r="G12" s="1"/>
    </row>
    <row r="13" spans="1:8" x14ac:dyDescent="0.3">
      <c r="A13" s="57">
        <v>-0.1</v>
      </c>
      <c r="B13" s="14">
        <f t="shared" ref="B13:F17" si="0">IF($B$5="GM",($B$3*(1+$A13))*(1-B$12),($B$3*(1+$A13))*(1-B$12)-$B$6)</f>
        <v>2700</v>
      </c>
      <c r="C13" s="14">
        <f t="shared" si="0"/>
        <v>2475</v>
      </c>
      <c r="D13" s="14">
        <f t="shared" si="0"/>
        <v>2250</v>
      </c>
      <c r="E13" s="14">
        <f t="shared" si="0"/>
        <v>2024.9999999999998</v>
      </c>
      <c r="F13" s="14">
        <f t="shared" si="0"/>
        <v>1800</v>
      </c>
      <c r="G13" s="1"/>
    </row>
    <row r="14" spans="1:8" x14ac:dyDescent="0.3">
      <c r="A14" s="57">
        <v>-0.05</v>
      </c>
      <c r="B14" s="14">
        <f t="shared" si="0"/>
        <v>2850</v>
      </c>
      <c r="C14" s="14">
        <f t="shared" si="0"/>
        <v>2612.5</v>
      </c>
      <c r="D14" s="14">
        <f t="shared" si="0"/>
        <v>2375</v>
      </c>
      <c r="E14" s="14">
        <f t="shared" si="0"/>
        <v>2137.5</v>
      </c>
      <c r="F14" s="14">
        <f t="shared" si="0"/>
        <v>1900</v>
      </c>
      <c r="G14" s="1"/>
    </row>
    <row r="15" spans="1:8" x14ac:dyDescent="0.3">
      <c r="A15" s="57">
        <v>0</v>
      </c>
      <c r="B15" s="14">
        <f t="shared" si="0"/>
        <v>3000</v>
      </c>
      <c r="C15" s="14">
        <f t="shared" si="0"/>
        <v>2750</v>
      </c>
      <c r="D15" s="14">
        <f t="shared" si="0"/>
        <v>2500</v>
      </c>
      <c r="E15" s="14">
        <f t="shared" si="0"/>
        <v>2250</v>
      </c>
      <c r="F15" s="14">
        <f t="shared" si="0"/>
        <v>2000</v>
      </c>
      <c r="G15" s="1"/>
    </row>
    <row r="16" spans="1:8" x14ac:dyDescent="0.3">
      <c r="A16" s="57">
        <v>0.05</v>
      </c>
      <c r="B16" s="14">
        <f t="shared" si="0"/>
        <v>3150</v>
      </c>
      <c r="C16" s="14">
        <f t="shared" si="0"/>
        <v>2887.5000000000005</v>
      </c>
      <c r="D16" s="14">
        <f t="shared" si="0"/>
        <v>2625</v>
      </c>
      <c r="E16" s="14">
        <f t="shared" si="0"/>
        <v>2362.4999999999995</v>
      </c>
      <c r="F16" s="14">
        <f t="shared" si="0"/>
        <v>2100</v>
      </c>
      <c r="G16" s="1"/>
    </row>
    <row r="17" spans="1:7" x14ac:dyDescent="0.3">
      <c r="A17" s="57">
        <v>0.1</v>
      </c>
      <c r="B17" s="14">
        <f t="shared" si="0"/>
        <v>3300</v>
      </c>
      <c r="C17" s="14">
        <f t="shared" si="0"/>
        <v>3025.0000000000005</v>
      </c>
      <c r="D17" s="14">
        <f t="shared" si="0"/>
        <v>2750</v>
      </c>
      <c r="E17" s="14">
        <f t="shared" si="0"/>
        <v>2474.9999999999995</v>
      </c>
      <c r="F17" s="14">
        <f t="shared" si="0"/>
        <v>2200</v>
      </c>
      <c r="G17" s="1"/>
    </row>
    <row r="18" spans="1:7" x14ac:dyDescent="0.3">
      <c r="A18" s="1"/>
      <c r="B18" s="1"/>
      <c r="C18" s="1"/>
      <c r="D18" s="1"/>
      <c r="E18" s="1"/>
      <c r="F18" s="1"/>
      <c r="G18" s="1"/>
    </row>
    <row r="19" spans="1:7" x14ac:dyDescent="0.3">
      <c r="A19" s="75" t="s">
        <v>346</v>
      </c>
      <c r="B19" s="75"/>
      <c r="C19" s="75"/>
      <c r="D19" s="75"/>
      <c r="E19" s="75"/>
      <c r="F19" s="75"/>
      <c r="G19" s="1"/>
    </row>
    <row r="20" spans="1:7" x14ac:dyDescent="0.3">
      <c r="A20" s="2" t="s">
        <v>347</v>
      </c>
      <c r="B20" s="27">
        <v>5000</v>
      </c>
      <c r="C20" s="27">
        <v>7500</v>
      </c>
      <c r="D20" s="27">
        <v>10000</v>
      </c>
      <c r="E20" s="27">
        <v>15000</v>
      </c>
      <c r="F20" s="27">
        <v>20000</v>
      </c>
      <c r="G20" s="1"/>
    </row>
    <row r="21" spans="1:7" ht="43.2" x14ac:dyDescent="0.3">
      <c r="A21" s="15" t="s">
        <v>348</v>
      </c>
      <c r="B21" s="14">
        <f>'Calculator Form'!C52-'Calculator Form'!C35+(IF(B$20=0,0,($B$7*$B$8)/B$20))</f>
        <v>700</v>
      </c>
      <c r="C21" s="14">
        <f>'Calculator Form'!C52-'Calculator Form'!C35+(IF(C$20=0,0,($B$7*$B$8)/C$20))</f>
        <v>233.33333333333337</v>
      </c>
      <c r="D21" s="14">
        <f>'Calculator Form'!C52-'Calculator Form'!C35+(IF(D$20=0,0,($B$7*$B$8)/D$20))</f>
        <v>0</v>
      </c>
      <c r="E21" s="14">
        <f>'Calculator Form'!C52-'Calculator Form'!C35+(IF(E$20=0,0,($B$7*$B$8)/E$20))</f>
        <v>-233.33333333333331</v>
      </c>
      <c r="F21" s="14">
        <f>'Calculator Form'!C52-'Calculator Form'!C35+(IF(F$20=0,0,($B$7*$B$8)/F$20))</f>
        <v>-350</v>
      </c>
      <c r="G21" s="1"/>
    </row>
    <row r="22" spans="1:7" x14ac:dyDescent="0.3">
      <c r="A22" s="15" t="s">
        <v>349</v>
      </c>
      <c r="B22" s="14">
        <f>B21-'Calculator Form'!C28</f>
        <v>-1750</v>
      </c>
      <c r="C22" s="14">
        <f>C21-'Calculator Form'!C28</f>
        <v>-2216.6666666666665</v>
      </c>
      <c r="D22" s="14">
        <f>D21-'Calculator Form'!C28</f>
        <v>-2450</v>
      </c>
      <c r="E22" s="14">
        <f>E21-'Calculator Form'!C28</f>
        <v>-2683.3333333333335</v>
      </c>
      <c r="F22" s="14">
        <f>F21-'Calculator Form'!C28</f>
        <v>-2800</v>
      </c>
      <c r="G22" s="1"/>
    </row>
    <row r="23" spans="1:7" ht="28.8" x14ac:dyDescent="0.3">
      <c r="A23" s="15" t="s">
        <v>350</v>
      </c>
      <c r="B23" s="22">
        <f>IF('Calculator Form'!C12="Beat competition",B21-$B$9,"")</f>
        <v>-1800</v>
      </c>
      <c r="C23" s="22">
        <f>IF('Calculator Form'!C12="Beat competition",C21-$B$9,"")</f>
        <v>-2266.6666666666665</v>
      </c>
      <c r="D23" s="22">
        <f>IF('Calculator Form'!C12="Beat competition",D21-$B$9,"")</f>
        <v>-2500</v>
      </c>
      <c r="E23" s="22">
        <f>IF('Calculator Form'!C12="Beat competition",E21-$B$9,"")</f>
        <v>-2733.3333333333335</v>
      </c>
      <c r="F23" s="22">
        <f>IF('Calculator Form'!C12="Beat competition",F21-$B$9,"")</f>
        <v>-2850</v>
      </c>
    </row>
  </sheetData>
  <mergeCells count="3">
    <mergeCell ref="A1:G1"/>
    <mergeCell ref="A19:F19"/>
    <mergeCell ref="A11:F11"/>
  </mergeCells>
  <conditionalFormatting sqref="B22:F22">
    <cfRule type="expression" dxfId="4" priority="1">
      <formula>B22&lt;=0</formula>
    </cfRule>
  </conditionalFormatting>
  <conditionalFormatting sqref="B23:F23">
    <cfRule type="expression" dxfId="1" priority="4">
      <formula>AND($B$9&lt;&gt;"",B23&lt;=0)</formula>
    </cfRule>
    <cfRule type="expression" dxfId="0" priority="5">
      <formula>AND($B$9&lt;&gt;"",B23&gt;0)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0000000-000E-0000-0200-000002000000}">
            <xm:f>AND(B22&gt;0,B22&lt;=0.05*'Calculator Form'!$C$28)</xm:f>
            <x14:dxf>
              <fill>
                <patternFill patternType="solid">
                  <fgColor rgb="FFFFE699"/>
                </patternFill>
              </fill>
            </x14:dxf>
          </x14:cfRule>
          <x14:cfRule type="expression" priority="3" id="{00000000-000E-0000-0200-000003000000}">
            <xm:f>B22&gt;0.05*'Calculator Form'!$C$28</xm:f>
            <x14:dxf>
              <fill>
                <patternFill patternType="solid">
                  <fgColor rgb="FFF4CCCC"/>
                </patternFill>
              </fill>
            </x14:dxf>
          </x14:cfRule>
          <xm:sqref>B22:F22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6"/>
  <sheetViews>
    <sheetView showGridLines="0" workbookViewId="0">
      <selection activeCell="L17" sqref="L17"/>
    </sheetView>
  </sheetViews>
  <sheetFormatPr defaultRowHeight="14.4" x14ac:dyDescent="0.3"/>
  <cols>
    <col min="1" max="1" width="21.77734375" customWidth="1"/>
    <col min="2" max="2" width="7.88671875" bestFit="1" customWidth="1"/>
    <col min="3" max="3" width="18" customWidth="1"/>
    <col min="4" max="4" width="16" customWidth="1"/>
    <col min="5" max="6" width="14" customWidth="1"/>
    <col min="7" max="7" width="12" customWidth="1"/>
    <col min="8" max="8" width="16" customWidth="1"/>
    <col min="9" max="9" width="24" customWidth="1"/>
    <col min="10" max="10" width="27.77734375" customWidth="1"/>
    <col min="11" max="11" width="12" customWidth="1"/>
    <col min="12" max="12" width="26" customWidth="1"/>
    <col min="13" max="13" width="44.21875" customWidth="1"/>
  </cols>
  <sheetData>
    <row r="1" spans="1:13" x14ac:dyDescent="0.3">
      <c r="A1" s="66" t="s">
        <v>351</v>
      </c>
      <c r="B1" s="65"/>
      <c r="C1" s="65"/>
      <c r="D1" s="65"/>
      <c r="E1" s="65"/>
      <c r="F1" s="65"/>
      <c r="G1" s="65"/>
      <c r="H1" s="65"/>
      <c r="I1" s="65"/>
      <c r="J1" s="65"/>
    </row>
    <row r="2" spans="1:13" x14ac:dyDescent="0.3">
      <c r="A2" s="1"/>
      <c r="B2" s="1"/>
      <c r="C2" s="1"/>
      <c r="D2" s="1"/>
      <c r="E2" s="1"/>
      <c r="F2" s="1"/>
      <c r="G2" s="1"/>
      <c r="I2" s="1"/>
      <c r="J2" s="1"/>
      <c r="K2" s="1"/>
    </row>
    <row r="3" spans="1:13" s="30" customFormat="1" ht="28.8" x14ac:dyDescent="0.3">
      <c r="A3" s="9" t="s">
        <v>226</v>
      </c>
      <c r="B3" s="18">
        <f>MAX(0,'Calculator Form'!F73)</f>
        <v>1550</v>
      </c>
      <c r="C3" s="1"/>
      <c r="D3" s="9" t="s">
        <v>229</v>
      </c>
      <c r="E3" s="18">
        <f>K56</f>
        <v>336.5</v>
      </c>
      <c r="F3" s="1"/>
      <c r="G3" s="9" t="s">
        <v>232</v>
      </c>
      <c r="H3" s="18">
        <f>MAX(0,B3-MIN(B3,E3))</f>
        <v>1213.5</v>
      </c>
      <c r="I3" s="20" t="s">
        <v>235</v>
      </c>
      <c r="J3" s="18">
        <f>MIN(B3,E3)</f>
        <v>336.5</v>
      </c>
      <c r="K3" s="1"/>
    </row>
    <row r="4" spans="1:13" x14ac:dyDescent="0.3">
      <c r="A4" s="1"/>
      <c r="B4" s="1"/>
      <c r="C4" s="1"/>
      <c r="D4" s="1"/>
      <c r="E4" s="1"/>
      <c r="F4" s="1"/>
      <c r="G4" s="1"/>
      <c r="I4" s="1"/>
      <c r="J4" s="1"/>
      <c r="K4" s="1"/>
    </row>
    <row r="5" spans="1:13" ht="28.8" x14ac:dyDescent="0.3">
      <c r="A5" s="43" t="s">
        <v>354</v>
      </c>
      <c r="B5" s="43" t="s">
        <v>238</v>
      </c>
      <c r="C5" s="43" t="s">
        <v>241</v>
      </c>
      <c r="D5" s="43" t="s">
        <v>355</v>
      </c>
      <c r="E5" s="43" t="s">
        <v>356</v>
      </c>
      <c r="F5" s="43" t="s">
        <v>247</v>
      </c>
      <c r="G5" s="43" t="s">
        <v>250</v>
      </c>
      <c r="H5" s="43" t="s">
        <v>253</v>
      </c>
      <c r="I5" s="43" t="s">
        <v>256</v>
      </c>
      <c r="J5" s="43" t="s">
        <v>259</v>
      </c>
      <c r="K5" s="43" t="s">
        <v>262</v>
      </c>
      <c r="M5" s="53" t="s">
        <v>352</v>
      </c>
    </row>
    <row r="6" spans="1:13" x14ac:dyDescent="0.3">
      <c r="A6" s="44">
        <v>1</v>
      </c>
      <c r="B6" s="44" t="s">
        <v>404</v>
      </c>
      <c r="C6" s="44" t="s">
        <v>405</v>
      </c>
      <c r="D6" s="52" t="s">
        <v>406</v>
      </c>
      <c r="E6" s="52" t="s">
        <v>39</v>
      </c>
      <c r="F6" s="52" t="s">
        <v>407</v>
      </c>
      <c r="G6" s="44" t="s">
        <v>408</v>
      </c>
      <c r="H6" s="40" t="s">
        <v>396</v>
      </c>
      <c r="I6" s="47">
        <v>100</v>
      </c>
      <c r="J6" s="48">
        <v>0.5</v>
      </c>
      <c r="K6" s="49">
        <f t="shared" ref="K6:K53" si="0">I6*J6</f>
        <v>50</v>
      </c>
      <c r="M6" s="54" t="s">
        <v>353</v>
      </c>
    </row>
    <row r="7" spans="1:13" x14ac:dyDescent="0.3">
      <c r="A7" s="44">
        <v>2</v>
      </c>
      <c r="B7" s="44" t="s">
        <v>409</v>
      </c>
      <c r="C7" s="44" t="s">
        <v>405</v>
      </c>
      <c r="D7" s="52" t="s">
        <v>410</v>
      </c>
      <c r="E7" s="52" t="s">
        <v>39</v>
      </c>
      <c r="F7" s="52" t="s">
        <v>407</v>
      </c>
      <c r="G7" s="44" t="s">
        <v>408</v>
      </c>
      <c r="H7" s="40" t="s">
        <v>358</v>
      </c>
      <c r="I7" s="47">
        <v>20</v>
      </c>
      <c r="J7" s="48">
        <v>0.5</v>
      </c>
      <c r="K7" s="49">
        <f t="shared" si="0"/>
        <v>10</v>
      </c>
      <c r="M7" s="54" t="s">
        <v>357</v>
      </c>
    </row>
    <row r="8" spans="1:13" x14ac:dyDescent="0.3">
      <c r="A8" s="44">
        <v>3</v>
      </c>
      <c r="B8" s="44" t="s">
        <v>411</v>
      </c>
      <c r="C8" s="44" t="s">
        <v>405</v>
      </c>
      <c r="D8" s="52" t="s">
        <v>412</v>
      </c>
      <c r="E8" s="52" t="s">
        <v>39</v>
      </c>
      <c r="F8" s="52" t="s">
        <v>407</v>
      </c>
      <c r="G8" s="44" t="s">
        <v>408</v>
      </c>
      <c r="H8" s="40" t="s">
        <v>398</v>
      </c>
      <c r="I8" s="47">
        <v>15</v>
      </c>
      <c r="J8" s="48">
        <v>0.7</v>
      </c>
      <c r="K8" s="49">
        <f t="shared" si="0"/>
        <v>10.5</v>
      </c>
      <c r="M8" s="54" t="s">
        <v>359</v>
      </c>
    </row>
    <row r="9" spans="1:13" x14ac:dyDescent="0.3">
      <c r="A9" s="44">
        <v>4</v>
      </c>
      <c r="B9" s="44" t="s">
        <v>413</v>
      </c>
      <c r="C9" s="44" t="s">
        <v>414</v>
      </c>
      <c r="D9" s="52" t="s">
        <v>415</v>
      </c>
      <c r="E9" s="52" t="s">
        <v>41</v>
      </c>
      <c r="F9" s="52" t="s">
        <v>407</v>
      </c>
      <c r="G9" s="44" t="s">
        <v>408</v>
      </c>
      <c r="H9" s="40" t="s">
        <v>400</v>
      </c>
      <c r="I9" s="47">
        <v>20</v>
      </c>
      <c r="J9" s="48">
        <v>0.8</v>
      </c>
      <c r="K9" s="49">
        <f t="shared" si="0"/>
        <v>16</v>
      </c>
      <c r="M9" s="54" t="s">
        <v>360</v>
      </c>
    </row>
    <row r="10" spans="1:13" x14ac:dyDescent="0.3">
      <c r="A10" s="44">
        <v>5</v>
      </c>
      <c r="B10" s="44" t="s">
        <v>416</v>
      </c>
      <c r="C10" s="44" t="s">
        <v>414</v>
      </c>
      <c r="D10" s="52" t="s">
        <v>415</v>
      </c>
      <c r="E10" s="52" t="s">
        <v>41</v>
      </c>
      <c r="F10" s="52" t="s">
        <v>407</v>
      </c>
      <c r="G10" s="44" t="s">
        <v>408</v>
      </c>
      <c r="H10" s="40" t="s">
        <v>402</v>
      </c>
      <c r="I10" s="47">
        <v>250</v>
      </c>
      <c r="J10" s="48">
        <v>1</v>
      </c>
      <c r="K10" s="49">
        <f t="shared" si="0"/>
        <v>250</v>
      </c>
      <c r="M10" s="54" t="s">
        <v>361</v>
      </c>
    </row>
    <row r="11" spans="1:13" x14ac:dyDescent="0.3">
      <c r="A11" s="44">
        <v>6</v>
      </c>
      <c r="B11" s="39"/>
      <c r="C11" s="39"/>
      <c r="D11" s="39"/>
      <c r="E11" s="39"/>
      <c r="F11" s="39"/>
      <c r="G11" s="39"/>
      <c r="H11" s="40" t="s">
        <v>358</v>
      </c>
      <c r="I11" s="47">
        <v>0</v>
      </c>
      <c r="J11" s="48">
        <v>1</v>
      </c>
      <c r="K11" s="49">
        <f t="shared" si="0"/>
        <v>0</v>
      </c>
    </row>
    <row r="12" spans="1:13" x14ac:dyDescent="0.3">
      <c r="A12" s="44">
        <v>7</v>
      </c>
      <c r="B12" s="39"/>
      <c r="C12" s="39"/>
      <c r="D12" s="39"/>
      <c r="E12" s="39"/>
      <c r="F12" s="39"/>
      <c r="G12" s="39"/>
      <c r="H12" s="40" t="s">
        <v>358</v>
      </c>
      <c r="I12" s="47">
        <v>0</v>
      </c>
      <c r="J12" s="48">
        <v>1</v>
      </c>
      <c r="K12" s="49">
        <f t="shared" si="0"/>
        <v>0</v>
      </c>
    </row>
    <row r="13" spans="1:13" x14ac:dyDescent="0.3">
      <c r="A13" s="44">
        <v>8</v>
      </c>
      <c r="B13" s="39"/>
      <c r="C13" s="39"/>
      <c r="D13" s="39"/>
      <c r="E13" s="39"/>
      <c r="F13" s="39"/>
      <c r="G13" s="39"/>
      <c r="H13" s="40" t="s">
        <v>358</v>
      </c>
      <c r="I13" s="47">
        <v>0</v>
      </c>
      <c r="J13" s="48">
        <v>1</v>
      </c>
      <c r="K13" s="49">
        <f t="shared" si="0"/>
        <v>0</v>
      </c>
    </row>
    <row r="14" spans="1:13" x14ac:dyDescent="0.3">
      <c r="A14" s="44">
        <v>9</v>
      </c>
      <c r="B14" s="39"/>
      <c r="C14" s="39"/>
      <c r="D14" s="39"/>
      <c r="E14" s="39"/>
      <c r="F14" s="39"/>
      <c r="G14" s="39"/>
      <c r="H14" s="40" t="s">
        <v>358</v>
      </c>
      <c r="I14" s="47">
        <v>0</v>
      </c>
      <c r="J14" s="48">
        <v>1</v>
      </c>
      <c r="K14" s="49">
        <f t="shared" si="0"/>
        <v>0</v>
      </c>
    </row>
    <row r="15" spans="1:13" x14ac:dyDescent="0.3">
      <c r="A15" s="44">
        <v>10</v>
      </c>
      <c r="B15" s="39"/>
      <c r="C15" s="39"/>
      <c r="D15" s="39"/>
      <c r="E15" s="39"/>
      <c r="F15" s="39"/>
      <c r="G15" s="39"/>
      <c r="H15" s="40" t="s">
        <v>358</v>
      </c>
      <c r="I15" s="47">
        <v>0</v>
      </c>
      <c r="J15" s="48">
        <v>1</v>
      </c>
      <c r="K15" s="49">
        <f t="shared" si="0"/>
        <v>0</v>
      </c>
    </row>
    <row r="16" spans="1:13" x14ac:dyDescent="0.3">
      <c r="A16" s="44">
        <v>11</v>
      </c>
      <c r="B16" s="39"/>
      <c r="C16" s="39"/>
      <c r="D16" s="39"/>
      <c r="E16" s="39"/>
      <c r="F16" s="39"/>
      <c r="G16" s="39"/>
      <c r="H16" s="40" t="s">
        <v>358</v>
      </c>
      <c r="I16" s="47">
        <v>0</v>
      </c>
      <c r="J16" s="48">
        <v>1</v>
      </c>
      <c r="K16" s="49">
        <f t="shared" si="0"/>
        <v>0</v>
      </c>
    </row>
    <row r="17" spans="1:11" x14ac:dyDescent="0.3">
      <c r="A17" s="44">
        <v>12</v>
      </c>
      <c r="B17" s="39"/>
      <c r="C17" s="39"/>
      <c r="D17" s="39"/>
      <c r="E17" s="39"/>
      <c r="F17" s="39"/>
      <c r="G17" s="39"/>
      <c r="H17" s="40" t="s">
        <v>358</v>
      </c>
      <c r="I17" s="47">
        <v>0</v>
      </c>
      <c r="J17" s="48">
        <v>1</v>
      </c>
      <c r="K17" s="49">
        <f t="shared" si="0"/>
        <v>0</v>
      </c>
    </row>
    <row r="18" spans="1:11" x14ac:dyDescent="0.3">
      <c r="A18" s="44">
        <v>13</v>
      </c>
      <c r="B18" s="39"/>
      <c r="C18" s="39"/>
      <c r="D18" s="39"/>
      <c r="E18" s="39"/>
      <c r="F18" s="39"/>
      <c r="G18" s="39"/>
      <c r="H18" s="40" t="s">
        <v>358</v>
      </c>
      <c r="I18" s="47">
        <v>0</v>
      </c>
      <c r="J18" s="48">
        <v>1</v>
      </c>
      <c r="K18" s="49">
        <f t="shared" si="0"/>
        <v>0</v>
      </c>
    </row>
    <row r="19" spans="1:11" x14ac:dyDescent="0.3">
      <c r="A19" s="44">
        <v>14</v>
      </c>
      <c r="B19" s="39"/>
      <c r="C19" s="39"/>
      <c r="D19" s="39"/>
      <c r="E19" s="39"/>
      <c r="F19" s="39"/>
      <c r="G19" s="39"/>
      <c r="H19" s="40" t="s">
        <v>358</v>
      </c>
      <c r="I19" s="47">
        <v>0</v>
      </c>
      <c r="J19" s="48">
        <v>1</v>
      </c>
      <c r="K19" s="49">
        <f t="shared" si="0"/>
        <v>0</v>
      </c>
    </row>
    <row r="20" spans="1:11" x14ac:dyDescent="0.3">
      <c r="A20" s="44">
        <v>15</v>
      </c>
      <c r="B20" s="39"/>
      <c r="C20" s="39"/>
      <c r="D20" s="39"/>
      <c r="E20" s="39"/>
      <c r="F20" s="39"/>
      <c r="G20" s="39"/>
      <c r="H20" s="40" t="s">
        <v>358</v>
      </c>
      <c r="I20" s="47">
        <v>0</v>
      </c>
      <c r="J20" s="48">
        <v>1</v>
      </c>
      <c r="K20" s="49">
        <f t="shared" si="0"/>
        <v>0</v>
      </c>
    </row>
    <row r="21" spans="1:11" x14ac:dyDescent="0.3">
      <c r="A21" s="44">
        <v>16</v>
      </c>
      <c r="B21" s="39"/>
      <c r="C21" s="39"/>
      <c r="D21" s="39"/>
      <c r="E21" s="39"/>
      <c r="F21" s="39"/>
      <c r="G21" s="39"/>
      <c r="H21" s="40" t="s">
        <v>358</v>
      </c>
      <c r="I21" s="47">
        <v>0</v>
      </c>
      <c r="J21" s="48">
        <v>1</v>
      </c>
      <c r="K21" s="49">
        <f t="shared" si="0"/>
        <v>0</v>
      </c>
    </row>
    <row r="22" spans="1:11" x14ac:dyDescent="0.3">
      <c r="A22" s="44">
        <v>17</v>
      </c>
      <c r="B22" s="39"/>
      <c r="C22" s="39"/>
      <c r="D22" s="39"/>
      <c r="E22" s="39"/>
      <c r="F22" s="39"/>
      <c r="G22" s="39"/>
      <c r="H22" s="40" t="s">
        <v>358</v>
      </c>
      <c r="I22" s="47">
        <v>0</v>
      </c>
      <c r="J22" s="48">
        <v>1</v>
      </c>
      <c r="K22" s="49">
        <f t="shared" si="0"/>
        <v>0</v>
      </c>
    </row>
    <row r="23" spans="1:11" x14ac:dyDescent="0.3">
      <c r="A23" s="44">
        <v>18</v>
      </c>
      <c r="B23" s="39"/>
      <c r="C23" s="39"/>
      <c r="D23" s="39"/>
      <c r="E23" s="39"/>
      <c r="F23" s="39"/>
      <c r="G23" s="39"/>
      <c r="H23" s="40" t="s">
        <v>358</v>
      </c>
      <c r="I23" s="47">
        <v>0</v>
      </c>
      <c r="J23" s="48">
        <v>1</v>
      </c>
      <c r="K23" s="49">
        <f t="shared" si="0"/>
        <v>0</v>
      </c>
    </row>
    <row r="24" spans="1:11" x14ac:dyDescent="0.3">
      <c r="A24" s="44">
        <v>19</v>
      </c>
      <c r="B24" s="39"/>
      <c r="C24" s="39"/>
      <c r="D24" s="39"/>
      <c r="E24" s="39"/>
      <c r="F24" s="39"/>
      <c r="G24" s="39"/>
      <c r="H24" s="40" t="s">
        <v>358</v>
      </c>
      <c r="I24" s="47">
        <v>0</v>
      </c>
      <c r="J24" s="48">
        <v>1</v>
      </c>
      <c r="K24" s="49">
        <f t="shared" si="0"/>
        <v>0</v>
      </c>
    </row>
    <row r="25" spans="1:11" x14ac:dyDescent="0.3">
      <c r="A25" s="44">
        <v>20</v>
      </c>
      <c r="B25" s="39"/>
      <c r="C25" s="39"/>
      <c r="D25" s="39"/>
      <c r="E25" s="39"/>
      <c r="F25" s="39"/>
      <c r="G25" s="39"/>
      <c r="H25" s="40" t="s">
        <v>358</v>
      </c>
      <c r="I25" s="47">
        <v>0</v>
      </c>
      <c r="J25" s="48">
        <v>1</v>
      </c>
      <c r="K25" s="49">
        <f t="shared" si="0"/>
        <v>0</v>
      </c>
    </row>
    <row r="26" spans="1:11" x14ac:dyDescent="0.3">
      <c r="A26" s="44">
        <v>21</v>
      </c>
      <c r="B26" s="39"/>
      <c r="C26" s="39"/>
      <c r="D26" s="39"/>
      <c r="E26" s="39"/>
      <c r="F26" s="39"/>
      <c r="G26" s="39"/>
      <c r="H26" s="40" t="s">
        <v>358</v>
      </c>
      <c r="I26" s="47">
        <v>0</v>
      </c>
      <c r="J26" s="48">
        <v>1</v>
      </c>
      <c r="K26" s="49">
        <f t="shared" si="0"/>
        <v>0</v>
      </c>
    </row>
    <row r="27" spans="1:11" x14ac:dyDescent="0.3">
      <c r="A27" s="44">
        <v>22</v>
      </c>
      <c r="B27" s="39"/>
      <c r="C27" s="39"/>
      <c r="D27" s="39"/>
      <c r="E27" s="39"/>
      <c r="F27" s="39"/>
      <c r="G27" s="39"/>
      <c r="H27" s="40" t="s">
        <v>358</v>
      </c>
      <c r="I27" s="47">
        <v>0</v>
      </c>
      <c r="J27" s="48">
        <v>1</v>
      </c>
      <c r="K27" s="49">
        <f t="shared" si="0"/>
        <v>0</v>
      </c>
    </row>
    <row r="28" spans="1:11" x14ac:dyDescent="0.3">
      <c r="A28" s="44">
        <v>23</v>
      </c>
      <c r="B28" s="39"/>
      <c r="C28" s="39"/>
      <c r="D28" s="39"/>
      <c r="E28" s="39"/>
      <c r="F28" s="39"/>
      <c r="G28" s="39"/>
      <c r="H28" s="40" t="s">
        <v>358</v>
      </c>
      <c r="I28" s="47">
        <v>0</v>
      </c>
      <c r="J28" s="48">
        <v>1</v>
      </c>
      <c r="K28" s="49">
        <f t="shared" si="0"/>
        <v>0</v>
      </c>
    </row>
    <row r="29" spans="1:11" x14ac:dyDescent="0.3">
      <c r="A29" s="44">
        <v>24</v>
      </c>
      <c r="B29" s="39"/>
      <c r="C29" s="39"/>
      <c r="D29" s="39"/>
      <c r="E29" s="39"/>
      <c r="F29" s="39"/>
      <c r="G29" s="39"/>
      <c r="H29" s="40" t="s">
        <v>358</v>
      </c>
      <c r="I29" s="47">
        <v>0</v>
      </c>
      <c r="J29" s="48">
        <v>1</v>
      </c>
      <c r="K29" s="49">
        <f t="shared" si="0"/>
        <v>0</v>
      </c>
    </row>
    <row r="30" spans="1:11" x14ac:dyDescent="0.3">
      <c r="A30" s="44">
        <v>25</v>
      </c>
      <c r="B30" s="39"/>
      <c r="C30" s="39"/>
      <c r="D30" s="39"/>
      <c r="E30" s="39"/>
      <c r="F30" s="39"/>
      <c r="G30" s="39"/>
      <c r="H30" s="40" t="s">
        <v>358</v>
      </c>
      <c r="I30" s="47">
        <v>0</v>
      </c>
      <c r="J30" s="48">
        <v>1</v>
      </c>
      <c r="K30" s="49">
        <f t="shared" si="0"/>
        <v>0</v>
      </c>
    </row>
    <row r="31" spans="1:11" x14ac:dyDescent="0.3">
      <c r="A31" s="44">
        <v>26</v>
      </c>
      <c r="B31" s="39"/>
      <c r="C31" s="39"/>
      <c r="D31" s="39"/>
      <c r="E31" s="39"/>
      <c r="F31" s="39"/>
      <c r="G31" s="39"/>
      <c r="H31" s="40" t="s">
        <v>358</v>
      </c>
      <c r="I31" s="47">
        <v>0</v>
      </c>
      <c r="J31" s="48">
        <v>1</v>
      </c>
      <c r="K31" s="49">
        <f t="shared" si="0"/>
        <v>0</v>
      </c>
    </row>
    <row r="32" spans="1:11" x14ac:dyDescent="0.3">
      <c r="A32" s="44">
        <v>27</v>
      </c>
      <c r="B32" s="39"/>
      <c r="C32" s="39"/>
      <c r="D32" s="39"/>
      <c r="E32" s="39"/>
      <c r="F32" s="39"/>
      <c r="G32" s="39"/>
      <c r="H32" s="40" t="s">
        <v>358</v>
      </c>
      <c r="I32" s="47">
        <v>0</v>
      </c>
      <c r="J32" s="48">
        <v>1</v>
      </c>
      <c r="K32" s="49">
        <f t="shared" si="0"/>
        <v>0</v>
      </c>
    </row>
    <row r="33" spans="1:11" x14ac:dyDescent="0.3">
      <c r="A33" s="44">
        <v>28</v>
      </c>
      <c r="B33" s="39"/>
      <c r="C33" s="39"/>
      <c r="D33" s="39"/>
      <c r="E33" s="39"/>
      <c r="F33" s="39"/>
      <c r="G33" s="39"/>
      <c r="H33" s="40" t="s">
        <v>358</v>
      </c>
      <c r="I33" s="47">
        <v>0</v>
      </c>
      <c r="J33" s="48">
        <v>1</v>
      </c>
      <c r="K33" s="49">
        <f t="shared" si="0"/>
        <v>0</v>
      </c>
    </row>
    <row r="34" spans="1:11" x14ac:dyDescent="0.3">
      <c r="A34" s="44">
        <v>29</v>
      </c>
      <c r="B34" s="39"/>
      <c r="C34" s="39"/>
      <c r="D34" s="39"/>
      <c r="E34" s="39"/>
      <c r="F34" s="39"/>
      <c r="G34" s="39"/>
      <c r="H34" s="40" t="s">
        <v>358</v>
      </c>
      <c r="I34" s="47">
        <v>0</v>
      </c>
      <c r="J34" s="48">
        <v>1</v>
      </c>
      <c r="K34" s="49">
        <f t="shared" si="0"/>
        <v>0</v>
      </c>
    </row>
    <row r="35" spans="1:11" x14ac:dyDescent="0.3">
      <c r="A35" s="44">
        <v>30</v>
      </c>
      <c r="B35" s="39"/>
      <c r="C35" s="39"/>
      <c r="D35" s="39"/>
      <c r="E35" s="39"/>
      <c r="F35" s="39"/>
      <c r="G35" s="39"/>
      <c r="H35" s="40" t="s">
        <v>358</v>
      </c>
      <c r="I35" s="47">
        <v>0</v>
      </c>
      <c r="J35" s="48">
        <v>1</v>
      </c>
      <c r="K35" s="49">
        <f t="shared" si="0"/>
        <v>0</v>
      </c>
    </row>
    <row r="36" spans="1:11" x14ac:dyDescent="0.3">
      <c r="A36" s="44">
        <v>31</v>
      </c>
      <c r="B36" s="39"/>
      <c r="C36" s="39"/>
      <c r="D36" s="39"/>
      <c r="E36" s="39"/>
      <c r="F36" s="39"/>
      <c r="G36" s="39"/>
      <c r="H36" s="40" t="s">
        <v>358</v>
      </c>
      <c r="I36" s="47">
        <v>0</v>
      </c>
      <c r="J36" s="48">
        <v>1</v>
      </c>
      <c r="K36" s="49">
        <f t="shared" si="0"/>
        <v>0</v>
      </c>
    </row>
    <row r="37" spans="1:11" x14ac:dyDescent="0.3">
      <c r="A37" s="44">
        <v>32</v>
      </c>
      <c r="B37" s="39"/>
      <c r="C37" s="39"/>
      <c r="D37" s="39"/>
      <c r="E37" s="39"/>
      <c r="F37" s="39"/>
      <c r="G37" s="39"/>
      <c r="H37" s="40" t="s">
        <v>358</v>
      </c>
      <c r="I37" s="47">
        <v>0</v>
      </c>
      <c r="J37" s="48">
        <v>1</v>
      </c>
      <c r="K37" s="49">
        <f t="shared" si="0"/>
        <v>0</v>
      </c>
    </row>
    <row r="38" spans="1:11" x14ac:dyDescent="0.3">
      <c r="A38" s="44">
        <v>33</v>
      </c>
      <c r="B38" s="39"/>
      <c r="C38" s="39"/>
      <c r="D38" s="39"/>
      <c r="E38" s="39"/>
      <c r="F38" s="39"/>
      <c r="G38" s="39"/>
      <c r="H38" s="40" t="s">
        <v>358</v>
      </c>
      <c r="I38" s="47">
        <v>0</v>
      </c>
      <c r="J38" s="48">
        <v>1</v>
      </c>
      <c r="K38" s="49">
        <f t="shared" si="0"/>
        <v>0</v>
      </c>
    </row>
    <row r="39" spans="1:11" x14ac:dyDescent="0.3">
      <c r="A39" s="44">
        <v>34</v>
      </c>
      <c r="B39" s="39"/>
      <c r="C39" s="39"/>
      <c r="D39" s="39"/>
      <c r="E39" s="39"/>
      <c r="F39" s="39"/>
      <c r="G39" s="39"/>
      <c r="H39" s="40" t="s">
        <v>358</v>
      </c>
      <c r="I39" s="47">
        <v>0</v>
      </c>
      <c r="J39" s="48">
        <v>1</v>
      </c>
      <c r="K39" s="49">
        <f t="shared" si="0"/>
        <v>0</v>
      </c>
    </row>
    <row r="40" spans="1:11" x14ac:dyDescent="0.3">
      <c r="A40" s="44">
        <v>35</v>
      </c>
      <c r="B40" s="39"/>
      <c r="C40" s="39"/>
      <c r="D40" s="39"/>
      <c r="E40" s="39"/>
      <c r="F40" s="39"/>
      <c r="G40" s="39"/>
      <c r="H40" s="40" t="s">
        <v>358</v>
      </c>
      <c r="I40" s="47">
        <v>0</v>
      </c>
      <c r="J40" s="48">
        <v>1</v>
      </c>
      <c r="K40" s="49">
        <f t="shared" si="0"/>
        <v>0</v>
      </c>
    </row>
    <row r="41" spans="1:11" x14ac:dyDescent="0.3">
      <c r="A41" s="44">
        <v>36</v>
      </c>
      <c r="B41" s="39"/>
      <c r="C41" s="39"/>
      <c r="D41" s="39"/>
      <c r="E41" s="39"/>
      <c r="F41" s="39"/>
      <c r="G41" s="39"/>
      <c r="H41" s="40" t="s">
        <v>358</v>
      </c>
      <c r="I41" s="47">
        <v>0</v>
      </c>
      <c r="J41" s="48">
        <v>1</v>
      </c>
      <c r="K41" s="49">
        <f t="shared" si="0"/>
        <v>0</v>
      </c>
    </row>
    <row r="42" spans="1:11" x14ac:dyDescent="0.3">
      <c r="A42" s="44">
        <v>37</v>
      </c>
      <c r="B42" s="39"/>
      <c r="C42" s="39"/>
      <c r="D42" s="39"/>
      <c r="E42" s="39"/>
      <c r="F42" s="39"/>
      <c r="G42" s="39"/>
      <c r="H42" s="40" t="s">
        <v>358</v>
      </c>
      <c r="I42" s="47">
        <v>0</v>
      </c>
      <c r="J42" s="48">
        <v>1</v>
      </c>
      <c r="K42" s="49">
        <f t="shared" si="0"/>
        <v>0</v>
      </c>
    </row>
    <row r="43" spans="1:11" x14ac:dyDescent="0.3">
      <c r="A43" s="44">
        <v>38</v>
      </c>
      <c r="B43" s="39"/>
      <c r="C43" s="39"/>
      <c r="D43" s="39"/>
      <c r="E43" s="39"/>
      <c r="F43" s="39"/>
      <c r="G43" s="39"/>
      <c r="H43" s="40" t="s">
        <v>358</v>
      </c>
      <c r="I43" s="47">
        <v>0</v>
      </c>
      <c r="J43" s="48">
        <v>1</v>
      </c>
      <c r="K43" s="49">
        <f t="shared" si="0"/>
        <v>0</v>
      </c>
    </row>
    <row r="44" spans="1:11" x14ac:dyDescent="0.3">
      <c r="A44" s="44">
        <v>39</v>
      </c>
      <c r="B44" s="39"/>
      <c r="C44" s="39"/>
      <c r="D44" s="39"/>
      <c r="E44" s="39"/>
      <c r="F44" s="39"/>
      <c r="G44" s="39"/>
      <c r="H44" s="40" t="s">
        <v>358</v>
      </c>
      <c r="I44" s="47">
        <v>0</v>
      </c>
      <c r="J44" s="48">
        <v>1</v>
      </c>
      <c r="K44" s="49">
        <f t="shared" si="0"/>
        <v>0</v>
      </c>
    </row>
    <row r="45" spans="1:11" x14ac:dyDescent="0.3">
      <c r="A45" s="44">
        <v>40</v>
      </c>
      <c r="B45" s="39"/>
      <c r="C45" s="39"/>
      <c r="D45" s="39"/>
      <c r="E45" s="39"/>
      <c r="F45" s="39"/>
      <c r="G45" s="39"/>
      <c r="H45" s="40" t="s">
        <v>358</v>
      </c>
      <c r="I45" s="47">
        <v>0</v>
      </c>
      <c r="J45" s="48">
        <v>1</v>
      </c>
      <c r="K45" s="49">
        <f t="shared" si="0"/>
        <v>0</v>
      </c>
    </row>
    <row r="46" spans="1:11" x14ac:dyDescent="0.3">
      <c r="A46" s="44">
        <v>41</v>
      </c>
      <c r="B46" s="39"/>
      <c r="C46" s="39"/>
      <c r="D46" s="39"/>
      <c r="E46" s="39"/>
      <c r="F46" s="39"/>
      <c r="G46" s="39"/>
      <c r="H46" s="40" t="s">
        <v>358</v>
      </c>
      <c r="I46" s="47">
        <v>0</v>
      </c>
      <c r="J46" s="48">
        <v>1</v>
      </c>
      <c r="K46" s="49">
        <f t="shared" si="0"/>
        <v>0</v>
      </c>
    </row>
    <row r="47" spans="1:11" x14ac:dyDescent="0.3">
      <c r="A47" s="44">
        <v>42</v>
      </c>
      <c r="B47" s="39"/>
      <c r="C47" s="39"/>
      <c r="D47" s="39"/>
      <c r="E47" s="39"/>
      <c r="F47" s="39"/>
      <c r="G47" s="39"/>
      <c r="H47" s="40" t="s">
        <v>358</v>
      </c>
      <c r="I47" s="47">
        <v>0</v>
      </c>
      <c r="J47" s="48">
        <v>1</v>
      </c>
      <c r="K47" s="49">
        <f t="shared" si="0"/>
        <v>0</v>
      </c>
    </row>
    <row r="48" spans="1:11" x14ac:dyDescent="0.3">
      <c r="A48" s="44">
        <v>43</v>
      </c>
      <c r="B48" s="39"/>
      <c r="C48" s="39"/>
      <c r="D48" s="39"/>
      <c r="E48" s="39"/>
      <c r="F48" s="39"/>
      <c r="G48" s="39"/>
      <c r="H48" s="40" t="s">
        <v>358</v>
      </c>
      <c r="I48" s="47">
        <v>0</v>
      </c>
      <c r="J48" s="48">
        <v>1</v>
      </c>
      <c r="K48" s="49">
        <f t="shared" si="0"/>
        <v>0</v>
      </c>
    </row>
    <row r="49" spans="1:11" x14ac:dyDescent="0.3">
      <c r="A49" s="44">
        <v>44</v>
      </c>
      <c r="B49" s="39"/>
      <c r="C49" s="39"/>
      <c r="D49" s="39"/>
      <c r="E49" s="39"/>
      <c r="F49" s="39"/>
      <c r="G49" s="39"/>
      <c r="H49" s="40" t="s">
        <v>358</v>
      </c>
      <c r="I49" s="47">
        <v>0</v>
      </c>
      <c r="J49" s="48">
        <v>1</v>
      </c>
      <c r="K49" s="49">
        <f t="shared" si="0"/>
        <v>0</v>
      </c>
    </row>
    <row r="50" spans="1:11" x14ac:dyDescent="0.3">
      <c r="A50" s="44">
        <v>45</v>
      </c>
      <c r="B50" s="39"/>
      <c r="C50" s="39"/>
      <c r="D50" s="39"/>
      <c r="E50" s="39"/>
      <c r="F50" s="39"/>
      <c r="G50" s="39"/>
      <c r="H50" s="40" t="s">
        <v>358</v>
      </c>
      <c r="I50" s="47">
        <v>0</v>
      </c>
      <c r="J50" s="48">
        <v>1</v>
      </c>
      <c r="K50" s="49">
        <f t="shared" si="0"/>
        <v>0</v>
      </c>
    </row>
    <row r="51" spans="1:11" x14ac:dyDescent="0.3">
      <c r="A51" s="44">
        <v>46</v>
      </c>
      <c r="B51" s="39"/>
      <c r="C51" s="39"/>
      <c r="D51" s="39"/>
      <c r="E51" s="39"/>
      <c r="F51" s="39"/>
      <c r="G51" s="39"/>
      <c r="H51" s="40" t="s">
        <v>358</v>
      </c>
      <c r="I51" s="47">
        <v>0</v>
      </c>
      <c r="J51" s="48">
        <v>1</v>
      </c>
      <c r="K51" s="49">
        <f t="shared" si="0"/>
        <v>0</v>
      </c>
    </row>
    <row r="52" spans="1:11" x14ac:dyDescent="0.3">
      <c r="A52" s="44">
        <v>47</v>
      </c>
      <c r="B52" s="39"/>
      <c r="C52" s="39"/>
      <c r="D52" s="39"/>
      <c r="E52" s="39"/>
      <c r="F52" s="39"/>
      <c r="G52" s="39"/>
      <c r="H52" s="40" t="s">
        <v>358</v>
      </c>
      <c r="I52" s="47">
        <v>0</v>
      </c>
      <c r="J52" s="48">
        <v>1</v>
      </c>
      <c r="K52" s="49">
        <f t="shared" si="0"/>
        <v>0</v>
      </c>
    </row>
    <row r="53" spans="1:11" x14ac:dyDescent="0.3">
      <c r="A53" s="44">
        <v>48</v>
      </c>
      <c r="B53" s="39"/>
      <c r="C53" s="39"/>
      <c r="D53" s="39"/>
      <c r="E53" s="39"/>
      <c r="F53" s="39"/>
      <c r="G53" s="39"/>
      <c r="H53" s="40" t="s">
        <v>358</v>
      </c>
      <c r="I53" s="47">
        <v>0</v>
      </c>
      <c r="J53" s="48">
        <v>1</v>
      </c>
      <c r="K53" s="49">
        <f t="shared" si="0"/>
        <v>0</v>
      </c>
    </row>
    <row r="54" spans="1:11" x14ac:dyDescent="0.3">
      <c r="A54" s="44"/>
      <c r="B54" s="39"/>
      <c r="C54" s="39"/>
      <c r="D54" s="39"/>
      <c r="E54" s="39"/>
      <c r="F54" s="39"/>
      <c r="G54" s="39"/>
      <c r="H54" s="40"/>
      <c r="I54" s="45"/>
      <c r="J54" s="46" t="s">
        <v>362</v>
      </c>
      <c r="K54" s="50">
        <f>SUMIFS(I6:I55,F6:F55,"Committed")</f>
        <v>0</v>
      </c>
    </row>
    <row r="55" spans="1:11" ht="28.8" x14ac:dyDescent="0.3">
      <c r="A55" s="44"/>
      <c r="B55" s="39"/>
      <c r="C55" s="39"/>
      <c r="D55" s="39"/>
      <c r="E55" s="39"/>
      <c r="F55" s="39"/>
      <c r="G55" s="39"/>
      <c r="H55" s="40"/>
      <c r="I55" s="45"/>
      <c r="J55" s="46" t="s">
        <v>363</v>
      </c>
      <c r="K55" s="50">
        <f>SUMIFS(K6:K55,F6:F55,"Opportunity")</f>
        <v>336.5</v>
      </c>
    </row>
    <row r="56" spans="1:11" x14ac:dyDescent="0.3">
      <c r="A56" s="41"/>
      <c r="B56" s="41"/>
      <c r="C56" s="41"/>
      <c r="D56" s="41"/>
      <c r="E56" s="41"/>
      <c r="F56" s="41"/>
      <c r="G56" s="41"/>
      <c r="H56" s="42"/>
      <c r="I56" s="41"/>
      <c r="J56" s="51" t="s">
        <v>364</v>
      </c>
      <c r="K56" s="50">
        <f>K54+K55</f>
        <v>336.5</v>
      </c>
    </row>
  </sheetData>
  <mergeCells count="1">
    <mergeCell ref="A1:J1"/>
  </mergeCells>
  <dataValidations count="4">
    <dataValidation type="list" sqref="E6:E55" xr:uid="{00000000-0002-0000-0300-000000000000}">
      <formula1>"BOM,Direct Labor,Variable OH,Fixed OH,Freight/Warranty/Other"</formula1>
    </dataValidation>
    <dataValidation type="list" sqref="F6:F55" xr:uid="{00000000-0002-0000-0300-000001000000}">
      <formula1>"Committed,Opportunity"</formula1>
    </dataValidation>
    <dataValidation type="list" sqref="G6:G55" xr:uid="{00000000-0002-0000-0300-000002000000}">
      <formula1>"Now,Q1,Q2,Q3,Q4,Future"</formula1>
    </dataValidation>
    <dataValidation type="list" allowBlank="1" sqref="H6:H55" xr:uid="{00000000-0002-0000-0300-000003000000}">
      <formula1>"Idea,Scoping,Validated,Committed,Implemented"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5"/>
  <sheetViews>
    <sheetView showGridLines="0" topLeftCell="A4" workbookViewId="0">
      <selection activeCell="C11" sqref="A11:C11"/>
    </sheetView>
  </sheetViews>
  <sheetFormatPr defaultRowHeight="14.4" x14ac:dyDescent="0.3"/>
  <cols>
    <col min="1" max="1" width="28" customWidth="1"/>
    <col min="2" max="2" width="20" customWidth="1"/>
    <col min="3" max="3" width="58" customWidth="1"/>
  </cols>
  <sheetData>
    <row r="1" spans="1:3" x14ac:dyDescent="0.3">
      <c r="A1" s="66" t="s">
        <v>365</v>
      </c>
      <c r="B1" s="65"/>
      <c r="C1" s="65"/>
    </row>
    <row r="2" spans="1:3" x14ac:dyDescent="0.3">
      <c r="A2" s="1"/>
      <c r="B2" s="1"/>
      <c r="C2" s="1"/>
    </row>
    <row r="3" spans="1:3" x14ac:dyDescent="0.3">
      <c r="A3" s="68" t="s">
        <v>366</v>
      </c>
      <c r="B3" s="65"/>
      <c r="C3" s="65"/>
    </row>
    <row r="4" spans="1:3" ht="43.2" x14ac:dyDescent="0.3">
      <c r="A4" s="1" t="s">
        <v>367</v>
      </c>
      <c r="B4" s="1"/>
      <c r="C4" s="1"/>
    </row>
    <row r="5" spans="1:3" ht="28.8" x14ac:dyDescent="0.3">
      <c r="A5" s="1" t="s">
        <v>368</v>
      </c>
      <c r="B5" s="1"/>
      <c r="C5" s="1"/>
    </row>
    <row r="6" spans="1:3" ht="28.8" x14ac:dyDescent="0.3">
      <c r="A6" s="1" t="s">
        <v>369</v>
      </c>
      <c r="B6" s="1"/>
      <c r="C6" s="1"/>
    </row>
    <row r="7" spans="1:3" ht="28.8" x14ac:dyDescent="0.3">
      <c r="A7" s="1" t="s">
        <v>370</v>
      </c>
      <c r="B7" s="1"/>
      <c r="C7" s="1"/>
    </row>
    <row r="8" spans="1:3" ht="28.8" x14ac:dyDescent="0.3">
      <c r="A8" s="1" t="s">
        <v>371</v>
      </c>
      <c r="B8" s="1"/>
      <c r="C8" s="1"/>
    </row>
    <row r="9" spans="1:3" x14ac:dyDescent="0.3">
      <c r="A9" s="1" t="s">
        <v>372</v>
      </c>
      <c r="B9" s="1"/>
      <c r="C9" s="1"/>
    </row>
    <row r="10" spans="1:3" x14ac:dyDescent="0.3">
      <c r="A10" s="68"/>
      <c r="B10" s="65"/>
      <c r="C10" s="65"/>
    </row>
    <row r="11" spans="1:3" ht="28.8" x14ac:dyDescent="0.3">
      <c r="A11" s="1" t="s">
        <v>4</v>
      </c>
      <c r="B11" s="1" t="s">
        <v>21</v>
      </c>
      <c r="C11" s="1" t="s">
        <v>373</v>
      </c>
    </row>
    <row r="12" spans="1:3" ht="28.8" x14ac:dyDescent="0.3">
      <c r="A12" s="1" t="s">
        <v>374</v>
      </c>
      <c r="B12" s="1" t="s">
        <v>21</v>
      </c>
      <c r="C12" s="1" t="s">
        <v>375</v>
      </c>
    </row>
    <row r="13" spans="1:3" x14ac:dyDescent="0.3">
      <c r="A13" s="1"/>
      <c r="B13" s="1"/>
      <c r="C13" s="1"/>
    </row>
    <row r="14" spans="1:3" x14ac:dyDescent="0.3">
      <c r="A14" s="1"/>
      <c r="B14" s="1"/>
      <c r="C14" s="1"/>
    </row>
    <row r="15" spans="1:3" x14ac:dyDescent="0.3">
      <c r="A15" s="68" t="s">
        <v>376</v>
      </c>
      <c r="B15" s="65"/>
      <c r="C15" s="65"/>
    </row>
    <row r="16" spans="1:3" ht="28.8" x14ac:dyDescent="0.3">
      <c r="A16" s="1" t="s">
        <v>4</v>
      </c>
      <c r="B16" s="1" t="s">
        <v>377</v>
      </c>
      <c r="C16" s="1" t="s">
        <v>378</v>
      </c>
    </row>
    <row r="17" spans="1:3" ht="28.8" x14ac:dyDescent="0.3">
      <c r="A17" s="1" t="s">
        <v>374</v>
      </c>
      <c r="B17" s="1" t="s">
        <v>377</v>
      </c>
      <c r="C17" s="1" t="s">
        <v>379</v>
      </c>
    </row>
    <row r="18" spans="1:3" ht="28.8" x14ac:dyDescent="0.3">
      <c r="A18" s="1" t="s">
        <v>380</v>
      </c>
      <c r="B18" s="1" t="s">
        <v>381</v>
      </c>
      <c r="C18" s="1" t="s">
        <v>382</v>
      </c>
    </row>
    <row r="19" spans="1:3" x14ac:dyDescent="0.3">
      <c r="A19" s="1" t="s">
        <v>383</v>
      </c>
      <c r="B19" s="1" t="s">
        <v>384</v>
      </c>
      <c r="C19" s="1" t="s">
        <v>385</v>
      </c>
    </row>
    <row r="20" spans="1:3" x14ac:dyDescent="0.3">
      <c r="A20" s="1"/>
      <c r="B20" s="1"/>
      <c r="C20" s="1"/>
    </row>
    <row r="21" spans="1:3" x14ac:dyDescent="0.3">
      <c r="A21" s="1"/>
      <c r="B21" s="1"/>
      <c r="C21" s="1"/>
    </row>
    <row r="22" spans="1:3" x14ac:dyDescent="0.3">
      <c r="A22" s="68" t="s">
        <v>386</v>
      </c>
      <c r="B22" s="65"/>
      <c r="C22" s="65"/>
    </row>
    <row r="23" spans="1:3" x14ac:dyDescent="0.3">
      <c r="A23" s="1" t="s">
        <v>288</v>
      </c>
      <c r="B23" s="1" t="s">
        <v>289</v>
      </c>
      <c r="C23" s="1"/>
    </row>
    <row r="24" spans="1:3" x14ac:dyDescent="0.3">
      <c r="A24" s="1" t="s">
        <v>25</v>
      </c>
      <c r="B24" s="1" t="s">
        <v>290</v>
      </c>
      <c r="C24" s="1"/>
    </row>
    <row r="25" spans="1:3" x14ac:dyDescent="0.3">
      <c r="A25" s="1" t="s">
        <v>283</v>
      </c>
      <c r="B25" s="1" t="s">
        <v>291</v>
      </c>
      <c r="C25" s="1"/>
    </row>
    <row r="26" spans="1:3" x14ac:dyDescent="0.3">
      <c r="A26" s="1" t="s">
        <v>292</v>
      </c>
      <c r="B26" s="1" t="s">
        <v>293</v>
      </c>
      <c r="C26" s="1"/>
    </row>
    <row r="27" spans="1:3" ht="28.8" x14ac:dyDescent="0.3">
      <c r="A27" s="1" t="s">
        <v>294</v>
      </c>
      <c r="B27" s="1" t="s">
        <v>295</v>
      </c>
      <c r="C27" s="1"/>
    </row>
    <row r="28" spans="1:3" x14ac:dyDescent="0.3">
      <c r="A28" s="1" t="s">
        <v>39</v>
      </c>
      <c r="B28" s="1" t="s">
        <v>296</v>
      </c>
      <c r="C28" s="1"/>
    </row>
    <row r="29" spans="1:3" x14ac:dyDescent="0.3">
      <c r="A29" s="1" t="s">
        <v>297</v>
      </c>
      <c r="B29" s="1" t="s">
        <v>298</v>
      </c>
      <c r="C29" s="1"/>
    </row>
    <row r="30" spans="1:3" x14ac:dyDescent="0.3">
      <c r="A30" s="1" t="s">
        <v>299</v>
      </c>
      <c r="B30" s="1" t="s">
        <v>300</v>
      </c>
      <c r="C30" s="1"/>
    </row>
    <row r="32" spans="1:3" x14ac:dyDescent="0.3">
      <c r="A32" s="16" t="s">
        <v>387</v>
      </c>
      <c r="B32" t="s">
        <v>388</v>
      </c>
    </row>
    <row r="33" spans="1:3" x14ac:dyDescent="0.3">
      <c r="A33" s="17"/>
    </row>
    <row r="34" spans="1:3" x14ac:dyDescent="0.3">
      <c r="A34" s="17"/>
    </row>
    <row r="35" spans="1:3" x14ac:dyDescent="0.3">
      <c r="A35" s="17"/>
    </row>
    <row r="36" spans="1:3" x14ac:dyDescent="0.3">
      <c r="A36" s="17"/>
    </row>
    <row r="37" spans="1:3" x14ac:dyDescent="0.3">
      <c r="A37" s="17"/>
    </row>
    <row r="38" spans="1:3" x14ac:dyDescent="0.3">
      <c r="A38" s="17"/>
    </row>
    <row r="40" spans="1:3" x14ac:dyDescent="0.3">
      <c r="A40" s="16"/>
    </row>
    <row r="41" spans="1:3" x14ac:dyDescent="0.3">
      <c r="A41" s="19"/>
      <c r="B41" s="17"/>
    </row>
    <row r="42" spans="1:3" x14ac:dyDescent="0.3">
      <c r="A42" s="19"/>
      <c r="B42" s="17"/>
    </row>
    <row r="44" spans="1:3" x14ac:dyDescent="0.3">
      <c r="A44" s="67" t="s">
        <v>389</v>
      </c>
      <c r="B44" s="65"/>
      <c r="C44" s="65"/>
    </row>
    <row r="45" spans="1:3" ht="129.6" x14ac:dyDescent="0.3">
      <c r="A45" s="17" t="s">
        <v>390</v>
      </c>
    </row>
    <row r="46" spans="1:3" ht="100.8" x14ac:dyDescent="0.3">
      <c r="A46" s="17" t="s">
        <v>391</v>
      </c>
    </row>
    <row r="47" spans="1:3" ht="86.4" x14ac:dyDescent="0.3">
      <c r="A47" s="17" t="s">
        <v>392</v>
      </c>
    </row>
    <row r="48" spans="1:3" ht="100.8" x14ac:dyDescent="0.3">
      <c r="A48" s="17" t="s">
        <v>393</v>
      </c>
    </row>
    <row r="50" spans="1:3" x14ac:dyDescent="0.3">
      <c r="A50" s="67" t="s">
        <v>394</v>
      </c>
      <c r="B50" s="65"/>
      <c r="C50" s="65"/>
    </row>
    <row r="51" spans="1:3" ht="28.8" x14ac:dyDescent="0.3">
      <c r="A51" s="19" t="s">
        <v>358</v>
      </c>
      <c r="B51" s="17" t="s">
        <v>395</v>
      </c>
    </row>
    <row r="52" spans="1:3" ht="43.2" x14ac:dyDescent="0.3">
      <c r="A52" s="19" t="s">
        <v>396</v>
      </c>
      <c r="B52" s="17" t="s">
        <v>397</v>
      </c>
    </row>
    <row r="53" spans="1:3" ht="43.2" x14ac:dyDescent="0.3">
      <c r="A53" s="19" t="s">
        <v>398</v>
      </c>
      <c r="B53" s="17" t="s">
        <v>399</v>
      </c>
    </row>
    <row r="54" spans="1:3" ht="28.8" x14ac:dyDescent="0.3">
      <c r="A54" s="19" t="s">
        <v>400</v>
      </c>
      <c r="B54" s="17" t="s">
        <v>401</v>
      </c>
    </row>
    <row r="55" spans="1:3" ht="57.6" x14ac:dyDescent="0.3">
      <c r="A55" s="19" t="s">
        <v>402</v>
      </c>
      <c r="B55" s="17" t="s">
        <v>403</v>
      </c>
    </row>
  </sheetData>
  <mergeCells count="7">
    <mergeCell ref="A50:C50"/>
    <mergeCell ref="A15:C15"/>
    <mergeCell ref="A10:C10"/>
    <mergeCell ref="A44:C44"/>
    <mergeCell ref="A1:C1"/>
    <mergeCell ref="A22:C2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4"/>
  <sheetViews>
    <sheetView showGridLines="0" workbookViewId="0">
      <pane ySplit="3" topLeftCell="A4" activePane="bottomLeft" state="frozen"/>
      <selection pane="bottomLeft" sqref="A1:D1"/>
    </sheetView>
  </sheetViews>
  <sheetFormatPr defaultRowHeight="14.4" x14ac:dyDescent="0.3"/>
  <cols>
    <col min="1" max="1" width="6" customWidth="1"/>
    <col min="2" max="2" width="34" customWidth="1"/>
    <col min="3" max="3" width="92" customWidth="1"/>
    <col min="4" max="4" width="28" customWidth="1"/>
  </cols>
  <sheetData>
    <row r="1" spans="1:4" ht="22.05" customHeight="1" x14ac:dyDescent="0.3">
      <c r="A1" s="72" t="s">
        <v>95</v>
      </c>
      <c r="B1" s="65"/>
      <c r="C1" s="65"/>
      <c r="D1" s="65"/>
    </row>
    <row r="2" spans="1:4" ht="22.05" customHeight="1" x14ac:dyDescent="0.3">
      <c r="A2" s="70" t="s">
        <v>96</v>
      </c>
      <c r="B2" s="65"/>
      <c r="C2" s="65"/>
      <c r="D2" s="65"/>
    </row>
    <row r="3" spans="1:4" ht="22.05" customHeight="1" x14ac:dyDescent="0.3"/>
    <row r="4" spans="1:4" ht="22.05" customHeight="1" x14ac:dyDescent="0.3">
      <c r="A4" s="69" t="s">
        <v>97</v>
      </c>
      <c r="B4" s="65"/>
      <c r="C4" s="65"/>
      <c r="D4" s="65"/>
    </row>
    <row r="5" spans="1:4" ht="22.05" customHeight="1" x14ac:dyDescent="0.3">
      <c r="A5" s="33" t="s">
        <v>98</v>
      </c>
      <c r="B5" s="33" t="s">
        <v>99</v>
      </c>
      <c r="C5" s="33" t="s">
        <v>100</v>
      </c>
      <c r="D5" s="33" t="s">
        <v>101</v>
      </c>
    </row>
    <row r="6" spans="1:4" ht="22.05" customHeight="1" x14ac:dyDescent="0.3">
      <c r="A6" s="34" t="s">
        <v>102</v>
      </c>
      <c r="B6" s="34" t="s">
        <v>103</v>
      </c>
      <c r="C6" s="34" t="s">
        <v>104</v>
      </c>
      <c r="D6" s="34" t="s">
        <v>105</v>
      </c>
    </row>
    <row r="7" spans="1:4" ht="22.05" customHeight="1" x14ac:dyDescent="0.3">
      <c r="A7" s="34" t="s">
        <v>106</v>
      </c>
      <c r="B7" s="34" t="s">
        <v>107</v>
      </c>
      <c r="C7" s="34" t="s">
        <v>108</v>
      </c>
      <c r="D7" s="34" t="s">
        <v>109</v>
      </c>
    </row>
    <row r="8" spans="1:4" ht="22.05" customHeight="1" x14ac:dyDescent="0.3">
      <c r="A8" s="69" t="s">
        <v>110</v>
      </c>
      <c r="B8" s="65"/>
      <c r="C8" s="65"/>
      <c r="D8" s="65"/>
    </row>
    <row r="9" spans="1:4" ht="22.05" customHeight="1" x14ac:dyDescent="0.3">
      <c r="A9" s="33" t="s">
        <v>98</v>
      </c>
      <c r="B9" s="33" t="s">
        <v>111</v>
      </c>
      <c r="C9" s="33" t="s">
        <v>112</v>
      </c>
      <c r="D9" s="33" t="s">
        <v>113</v>
      </c>
    </row>
    <row r="10" spans="1:4" ht="57.6" x14ac:dyDescent="0.3">
      <c r="A10" s="34" t="s">
        <v>102</v>
      </c>
      <c r="B10" s="34" t="s">
        <v>2</v>
      </c>
      <c r="C10" s="34" t="s">
        <v>114</v>
      </c>
      <c r="D10" s="34" t="s">
        <v>115</v>
      </c>
    </row>
    <row r="11" spans="1:4" ht="28.8" x14ac:dyDescent="0.3">
      <c r="A11" s="34" t="s">
        <v>106</v>
      </c>
      <c r="B11" s="34" t="s">
        <v>5</v>
      </c>
      <c r="C11" s="34" t="s">
        <v>116</v>
      </c>
      <c r="D11" s="34" t="s">
        <v>117</v>
      </c>
    </row>
    <row r="12" spans="1:4" ht="22.05" customHeight="1" x14ac:dyDescent="0.3">
      <c r="A12" s="34" t="s">
        <v>118</v>
      </c>
      <c r="B12" s="34" t="s">
        <v>7</v>
      </c>
      <c r="C12" s="34" t="s">
        <v>119</v>
      </c>
      <c r="D12" s="34" t="s">
        <v>120</v>
      </c>
    </row>
    <row r="13" spans="1:4" ht="22.05" customHeight="1" x14ac:dyDescent="0.3">
      <c r="A13" s="34" t="s">
        <v>121</v>
      </c>
      <c r="B13" s="34" t="s">
        <v>9</v>
      </c>
      <c r="C13" s="34" t="s">
        <v>122</v>
      </c>
      <c r="D13" s="34" t="s">
        <v>123</v>
      </c>
    </row>
    <row r="14" spans="1:4" ht="22.05" customHeight="1" x14ac:dyDescent="0.3">
      <c r="A14" s="34" t="s">
        <v>124</v>
      </c>
      <c r="B14" s="34" t="s">
        <v>125</v>
      </c>
      <c r="C14" s="34" t="s">
        <v>126</v>
      </c>
      <c r="D14" s="34" t="s">
        <v>127</v>
      </c>
    </row>
    <row r="15" spans="1:4" ht="22.05" customHeight="1" x14ac:dyDescent="0.3">
      <c r="A15" s="34" t="s">
        <v>128</v>
      </c>
      <c r="B15" s="34" t="s">
        <v>17</v>
      </c>
      <c r="C15" s="34" t="s">
        <v>129</v>
      </c>
      <c r="D15" s="34" t="s">
        <v>130</v>
      </c>
    </row>
    <row r="16" spans="1:4" ht="22.05" customHeight="1" x14ac:dyDescent="0.3">
      <c r="A16" s="34" t="s">
        <v>131</v>
      </c>
      <c r="B16" s="34" t="s">
        <v>132</v>
      </c>
      <c r="C16" s="34" t="s">
        <v>133</v>
      </c>
      <c r="D16" s="34" t="s">
        <v>134</v>
      </c>
    </row>
    <row r="17" spans="1:4" ht="22.05" customHeight="1" x14ac:dyDescent="0.3">
      <c r="A17" s="34" t="s">
        <v>135</v>
      </c>
      <c r="B17" s="34" t="s">
        <v>21</v>
      </c>
      <c r="C17" s="34" t="s">
        <v>136</v>
      </c>
      <c r="D17" s="34" t="s">
        <v>137</v>
      </c>
    </row>
    <row r="18" spans="1:4" ht="22.05" customHeight="1" x14ac:dyDescent="0.3">
      <c r="A18" s="34" t="s">
        <v>138</v>
      </c>
      <c r="B18" s="34" t="s">
        <v>23</v>
      </c>
      <c r="C18" s="34" t="s">
        <v>139</v>
      </c>
      <c r="D18" s="34" t="s">
        <v>140</v>
      </c>
    </row>
    <row r="19" spans="1:4" ht="22.05" customHeight="1" x14ac:dyDescent="0.3">
      <c r="A19" s="34" t="s">
        <v>141</v>
      </c>
      <c r="B19" s="34" t="s">
        <v>26</v>
      </c>
      <c r="C19" s="34" t="s">
        <v>142</v>
      </c>
      <c r="D19" s="34" t="s">
        <v>143</v>
      </c>
    </row>
    <row r="20" spans="1:4" ht="22.05" customHeight="1" x14ac:dyDescent="0.3">
      <c r="A20" s="34" t="s">
        <v>144</v>
      </c>
      <c r="B20" s="34" t="s">
        <v>28</v>
      </c>
      <c r="C20" s="34" t="s">
        <v>145</v>
      </c>
      <c r="D20" s="34" t="s">
        <v>146</v>
      </c>
    </row>
    <row r="21" spans="1:4" ht="22.05" customHeight="1" x14ac:dyDescent="0.3">
      <c r="A21" s="34" t="s">
        <v>147</v>
      </c>
      <c r="B21" s="34" t="s">
        <v>30</v>
      </c>
      <c r="C21" s="34" t="s">
        <v>148</v>
      </c>
      <c r="D21" s="34" t="s">
        <v>149</v>
      </c>
    </row>
    <row r="22" spans="1:4" ht="22.05" customHeight="1" x14ac:dyDescent="0.3">
      <c r="A22" s="34" t="s">
        <v>150</v>
      </c>
      <c r="B22" s="34" t="s">
        <v>32</v>
      </c>
      <c r="C22" s="34" t="s">
        <v>151</v>
      </c>
      <c r="D22" s="34" t="s">
        <v>149</v>
      </c>
    </row>
    <row r="23" spans="1:4" ht="22.05" customHeight="1" x14ac:dyDescent="0.3">
      <c r="A23" s="34" t="s">
        <v>152</v>
      </c>
      <c r="B23" s="34" t="s">
        <v>34</v>
      </c>
      <c r="C23" s="34" t="s">
        <v>153</v>
      </c>
      <c r="D23" s="34" t="s">
        <v>154</v>
      </c>
    </row>
    <row r="24" spans="1:4" ht="22.05" customHeight="1" x14ac:dyDescent="0.3">
      <c r="A24" s="34" t="s">
        <v>155</v>
      </c>
      <c r="B24" s="34" t="s">
        <v>36</v>
      </c>
      <c r="C24" s="34" t="s">
        <v>156</v>
      </c>
      <c r="D24" s="34" t="s">
        <v>157</v>
      </c>
    </row>
    <row r="25" spans="1:4" ht="22.05" customHeight="1" x14ac:dyDescent="0.3">
      <c r="A25" s="69" t="s">
        <v>158</v>
      </c>
      <c r="B25" s="65"/>
      <c r="C25" s="65"/>
      <c r="D25" s="65"/>
    </row>
    <row r="26" spans="1:4" ht="22.05" customHeight="1" x14ac:dyDescent="0.3">
      <c r="A26" s="35" t="s">
        <v>159</v>
      </c>
      <c r="B26" s="35" t="s">
        <v>68</v>
      </c>
      <c r="C26" s="35" t="s">
        <v>112</v>
      </c>
      <c r="D26" s="35" t="s">
        <v>101</v>
      </c>
    </row>
    <row r="27" spans="1:4" ht="22.05" customHeight="1" x14ac:dyDescent="0.3">
      <c r="A27" s="34" t="s">
        <v>102</v>
      </c>
      <c r="B27" s="34" t="s">
        <v>39</v>
      </c>
      <c r="C27" s="34" t="s">
        <v>160</v>
      </c>
      <c r="D27" s="34" t="s">
        <v>161</v>
      </c>
    </row>
    <row r="28" spans="1:4" ht="22.05" customHeight="1" x14ac:dyDescent="0.3">
      <c r="A28" s="34" t="s">
        <v>106</v>
      </c>
      <c r="B28" s="34" t="s">
        <v>41</v>
      </c>
      <c r="C28" s="34" t="s">
        <v>162</v>
      </c>
      <c r="D28" s="34" t="s">
        <v>163</v>
      </c>
    </row>
    <row r="29" spans="1:4" ht="22.05" customHeight="1" x14ac:dyDescent="0.3">
      <c r="A29" s="34" t="s">
        <v>118</v>
      </c>
      <c r="B29" s="34" t="s">
        <v>43</v>
      </c>
      <c r="C29" s="34" t="s">
        <v>164</v>
      </c>
      <c r="D29" s="34" t="s">
        <v>165</v>
      </c>
    </row>
    <row r="30" spans="1:4" ht="22.05" customHeight="1" x14ac:dyDescent="0.3">
      <c r="A30" s="34" t="s">
        <v>121</v>
      </c>
      <c r="B30" s="34" t="s">
        <v>45</v>
      </c>
      <c r="C30" s="34" t="s">
        <v>166</v>
      </c>
      <c r="D30" s="34" t="s">
        <v>167</v>
      </c>
    </row>
    <row r="31" spans="1:4" ht="22.05" customHeight="1" x14ac:dyDescent="0.3">
      <c r="A31" s="34" t="s">
        <v>124</v>
      </c>
      <c r="B31" s="34" t="s">
        <v>47</v>
      </c>
      <c r="C31" s="34" t="s">
        <v>168</v>
      </c>
      <c r="D31" s="34" t="s">
        <v>169</v>
      </c>
    </row>
    <row r="32" spans="1:4" ht="22.05" customHeight="1" x14ac:dyDescent="0.3">
      <c r="A32" s="34" t="s">
        <v>128</v>
      </c>
      <c r="B32" s="34" t="s">
        <v>49</v>
      </c>
      <c r="C32" s="34" t="s">
        <v>170</v>
      </c>
      <c r="D32" s="34" t="s">
        <v>171</v>
      </c>
    </row>
    <row r="33" spans="1:4" ht="22.05" customHeight="1" x14ac:dyDescent="0.3">
      <c r="A33" s="34" t="s">
        <v>131</v>
      </c>
      <c r="B33" s="34" t="s">
        <v>50</v>
      </c>
      <c r="C33" s="34" t="s">
        <v>172</v>
      </c>
      <c r="D33" s="34" t="s">
        <v>173</v>
      </c>
    </row>
    <row r="34" spans="1:4" ht="22.05" customHeight="1" x14ac:dyDescent="0.3">
      <c r="A34" s="34" t="s">
        <v>135</v>
      </c>
      <c r="B34" s="34" t="s">
        <v>52</v>
      </c>
      <c r="C34" s="34" t="s">
        <v>174</v>
      </c>
      <c r="D34" s="34" t="s">
        <v>175</v>
      </c>
    </row>
    <row r="35" spans="1:4" ht="22.05" customHeight="1" x14ac:dyDescent="0.3">
      <c r="A35" s="69" t="s">
        <v>176</v>
      </c>
      <c r="B35" s="65"/>
      <c r="C35" s="65"/>
      <c r="D35" s="65"/>
    </row>
    <row r="36" spans="1:4" ht="22.05" customHeight="1" x14ac:dyDescent="0.3">
      <c r="A36" s="35" t="s">
        <v>159</v>
      </c>
      <c r="B36" s="35" t="s">
        <v>177</v>
      </c>
      <c r="C36" s="35" t="s">
        <v>112</v>
      </c>
      <c r="D36" s="35" t="s">
        <v>101</v>
      </c>
    </row>
    <row r="37" spans="1:4" ht="22.05" customHeight="1" x14ac:dyDescent="0.3">
      <c r="A37" s="34" t="s">
        <v>102</v>
      </c>
      <c r="B37" s="34" t="s">
        <v>69</v>
      </c>
      <c r="C37" s="34" t="s">
        <v>178</v>
      </c>
      <c r="D37" s="34" t="s">
        <v>179</v>
      </c>
    </row>
    <row r="38" spans="1:4" ht="22.05" customHeight="1" x14ac:dyDescent="0.3">
      <c r="A38" s="34" t="s">
        <v>106</v>
      </c>
      <c r="B38" s="34" t="s">
        <v>70</v>
      </c>
      <c r="C38" s="34" t="s">
        <v>180</v>
      </c>
      <c r="D38" s="34" t="s">
        <v>149</v>
      </c>
    </row>
    <row r="39" spans="1:4" ht="22.05" customHeight="1" x14ac:dyDescent="0.3">
      <c r="A39" s="34" t="s">
        <v>118</v>
      </c>
      <c r="B39" s="34" t="s">
        <v>71</v>
      </c>
      <c r="C39" s="34" t="s">
        <v>181</v>
      </c>
      <c r="D39" s="34" t="s">
        <v>182</v>
      </c>
    </row>
    <row r="40" spans="1:4" ht="22.05" customHeight="1" x14ac:dyDescent="0.3">
      <c r="A40" s="69" t="s">
        <v>183</v>
      </c>
      <c r="B40" s="65"/>
      <c r="C40" s="65"/>
      <c r="D40" s="65"/>
    </row>
    <row r="41" spans="1:4" ht="22.05" customHeight="1" x14ac:dyDescent="0.3">
      <c r="A41" s="35" t="s">
        <v>159</v>
      </c>
      <c r="B41" s="35" t="s">
        <v>184</v>
      </c>
      <c r="C41" s="35" t="s">
        <v>185</v>
      </c>
      <c r="D41" s="35" t="s">
        <v>186</v>
      </c>
    </row>
    <row r="42" spans="1:4" ht="22.05" customHeight="1" x14ac:dyDescent="0.3">
      <c r="A42" s="34" t="s">
        <v>102</v>
      </c>
      <c r="B42" s="34" t="s">
        <v>187</v>
      </c>
      <c r="C42" s="34" t="s">
        <v>188</v>
      </c>
      <c r="D42" s="34" t="s">
        <v>189</v>
      </c>
    </row>
    <row r="43" spans="1:4" ht="22.05" customHeight="1" x14ac:dyDescent="0.3">
      <c r="A43" s="34" t="s">
        <v>106</v>
      </c>
      <c r="B43" s="34" t="s">
        <v>36</v>
      </c>
      <c r="C43" s="34" t="s">
        <v>190</v>
      </c>
      <c r="D43" s="34" t="s">
        <v>191</v>
      </c>
    </row>
    <row r="44" spans="1:4" ht="22.05" customHeight="1" x14ac:dyDescent="0.3">
      <c r="A44" s="34" t="s">
        <v>118</v>
      </c>
      <c r="B44" s="34" t="s">
        <v>192</v>
      </c>
      <c r="C44" s="34" t="s">
        <v>193</v>
      </c>
      <c r="D44" s="34" t="s">
        <v>194</v>
      </c>
    </row>
    <row r="45" spans="1:4" ht="22.05" customHeight="1" x14ac:dyDescent="0.3">
      <c r="A45" s="34" t="s">
        <v>121</v>
      </c>
      <c r="B45" s="34" t="s">
        <v>195</v>
      </c>
      <c r="C45" s="34" t="s">
        <v>196</v>
      </c>
      <c r="D45" s="34" t="s">
        <v>197</v>
      </c>
    </row>
    <row r="46" spans="1:4" ht="22.05" customHeight="1" x14ac:dyDescent="0.3">
      <c r="A46" s="34" t="s">
        <v>124</v>
      </c>
      <c r="B46" s="34" t="s">
        <v>198</v>
      </c>
      <c r="C46" s="34" t="s">
        <v>199</v>
      </c>
      <c r="D46" s="34" t="s">
        <v>200</v>
      </c>
    </row>
    <row r="47" spans="1:4" ht="22.05" customHeight="1" x14ac:dyDescent="0.3">
      <c r="A47" s="34" t="s">
        <v>128</v>
      </c>
      <c r="B47" s="34" t="s">
        <v>201</v>
      </c>
      <c r="C47" s="34" t="s">
        <v>202</v>
      </c>
      <c r="D47" s="34" t="s">
        <v>203</v>
      </c>
    </row>
    <row r="48" spans="1:4" ht="22.05" customHeight="1" x14ac:dyDescent="0.3">
      <c r="A48" s="34" t="s">
        <v>131</v>
      </c>
      <c r="B48" s="34" t="s">
        <v>204</v>
      </c>
      <c r="C48" s="34" t="s">
        <v>205</v>
      </c>
      <c r="D48" s="34" t="s">
        <v>206</v>
      </c>
    </row>
    <row r="49" spans="1:4" ht="22.05" customHeight="1" x14ac:dyDescent="0.3">
      <c r="A49" s="34" t="s">
        <v>135</v>
      </c>
      <c r="B49" s="34" t="s">
        <v>207</v>
      </c>
      <c r="C49" s="34" t="s">
        <v>208</v>
      </c>
      <c r="D49" s="34" t="s">
        <v>209</v>
      </c>
    </row>
    <row r="50" spans="1:4" ht="22.05" customHeight="1" x14ac:dyDescent="0.3">
      <c r="A50" s="34" t="s">
        <v>138</v>
      </c>
      <c r="B50" s="34" t="s">
        <v>210</v>
      </c>
      <c r="C50" s="34" t="s">
        <v>211</v>
      </c>
      <c r="D50" s="34" t="s">
        <v>212</v>
      </c>
    </row>
    <row r="51" spans="1:4" ht="22.05" customHeight="1" x14ac:dyDescent="0.3">
      <c r="A51" s="34" t="s">
        <v>141</v>
      </c>
      <c r="B51" s="34" t="s">
        <v>213</v>
      </c>
      <c r="C51" s="34" t="s">
        <v>214</v>
      </c>
      <c r="D51" s="34" t="s">
        <v>215</v>
      </c>
    </row>
    <row r="52" spans="1:4" ht="22.05" customHeight="1" x14ac:dyDescent="0.3">
      <c r="A52" s="34" t="s">
        <v>144</v>
      </c>
      <c r="B52" s="34" t="s">
        <v>216</v>
      </c>
      <c r="C52" s="34" t="s">
        <v>217</v>
      </c>
      <c r="D52" s="34" t="s">
        <v>218</v>
      </c>
    </row>
    <row r="53" spans="1:4" ht="22.05" customHeight="1" x14ac:dyDescent="0.3">
      <c r="A53" s="34" t="s">
        <v>147</v>
      </c>
      <c r="B53" s="34" t="s">
        <v>219</v>
      </c>
      <c r="C53" s="34" t="s">
        <v>220</v>
      </c>
      <c r="D53" s="34" t="s">
        <v>221</v>
      </c>
    </row>
    <row r="54" spans="1:4" ht="22.05" customHeight="1" x14ac:dyDescent="0.3">
      <c r="A54" s="34" t="s">
        <v>150</v>
      </c>
      <c r="B54" s="34" t="s">
        <v>222</v>
      </c>
      <c r="C54" s="34" t="s">
        <v>223</v>
      </c>
      <c r="D54" s="34" t="s">
        <v>224</v>
      </c>
    </row>
    <row r="55" spans="1:4" ht="22.05" customHeight="1" x14ac:dyDescent="0.3">
      <c r="A55" s="69" t="s">
        <v>225</v>
      </c>
      <c r="B55" s="65"/>
      <c r="C55" s="65"/>
      <c r="D55" s="65"/>
    </row>
    <row r="56" spans="1:4" ht="22.05" customHeight="1" x14ac:dyDescent="0.3">
      <c r="A56" s="35" t="s">
        <v>159</v>
      </c>
      <c r="B56" s="35" t="s">
        <v>177</v>
      </c>
      <c r="C56" s="35" t="s">
        <v>112</v>
      </c>
      <c r="D56" s="35" t="s">
        <v>101</v>
      </c>
    </row>
    <row r="57" spans="1:4" ht="22.05" customHeight="1" x14ac:dyDescent="0.3">
      <c r="A57" s="34" t="s">
        <v>102</v>
      </c>
      <c r="B57" s="34" t="s">
        <v>226</v>
      </c>
      <c r="C57" s="34" t="s">
        <v>227</v>
      </c>
      <c r="D57" s="34" t="s">
        <v>228</v>
      </c>
    </row>
    <row r="58" spans="1:4" ht="22.05" customHeight="1" x14ac:dyDescent="0.3">
      <c r="A58" s="34" t="s">
        <v>106</v>
      </c>
      <c r="B58" s="34" t="s">
        <v>229</v>
      </c>
      <c r="C58" s="34" t="s">
        <v>230</v>
      </c>
      <c r="D58" s="34" t="s">
        <v>231</v>
      </c>
    </row>
    <row r="59" spans="1:4" ht="22.05" customHeight="1" x14ac:dyDescent="0.3">
      <c r="A59" s="34" t="s">
        <v>118</v>
      </c>
      <c r="B59" s="34" t="s">
        <v>232</v>
      </c>
      <c r="C59" s="34" t="s">
        <v>233</v>
      </c>
      <c r="D59" s="34" t="s">
        <v>234</v>
      </c>
    </row>
    <row r="60" spans="1:4" ht="22.05" customHeight="1" x14ac:dyDescent="0.3">
      <c r="A60" s="34" t="s">
        <v>121</v>
      </c>
      <c r="B60" s="34" t="s">
        <v>235</v>
      </c>
      <c r="C60" s="34" t="s">
        <v>236</v>
      </c>
      <c r="D60" s="34" t="s">
        <v>237</v>
      </c>
    </row>
    <row r="61" spans="1:4" ht="22.05" customHeight="1" x14ac:dyDescent="0.3">
      <c r="A61" s="34" t="s">
        <v>124</v>
      </c>
      <c r="B61" s="34" t="s">
        <v>238</v>
      </c>
      <c r="C61" s="34" t="s">
        <v>239</v>
      </c>
      <c r="D61" s="34" t="s">
        <v>240</v>
      </c>
    </row>
    <row r="62" spans="1:4" ht="22.05" customHeight="1" x14ac:dyDescent="0.3">
      <c r="A62" s="34" t="s">
        <v>128</v>
      </c>
      <c r="B62" s="34" t="s">
        <v>241</v>
      </c>
      <c r="C62" s="34" t="s">
        <v>242</v>
      </c>
      <c r="D62" s="34" t="s">
        <v>243</v>
      </c>
    </row>
    <row r="63" spans="1:4" ht="22.05" customHeight="1" x14ac:dyDescent="0.3">
      <c r="A63" s="34" t="s">
        <v>131</v>
      </c>
      <c r="B63" s="34" t="s">
        <v>244</v>
      </c>
      <c r="C63" s="34" t="s">
        <v>245</v>
      </c>
      <c r="D63" s="34" t="s">
        <v>246</v>
      </c>
    </row>
    <row r="64" spans="1:4" ht="22.05" customHeight="1" x14ac:dyDescent="0.3">
      <c r="A64" s="34" t="s">
        <v>135</v>
      </c>
      <c r="B64" s="34" t="s">
        <v>247</v>
      </c>
      <c r="C64" s="34" t="s">
        <v>248</v>
      </c>
      <c r="D64" s="34" t="s">
        <v>249</v>
      </c>
    </row>
    <row r="65" spans="1:4" ht="22.05" customHeight="1" x14ac:dyDescent="0.3">
      <c r="A65" s="34" t="s">
        <v>138</v>
      </c>
      <c r="B65" s="34" t="s">
        <v>250</v>
      </c>
      <c r="C65" s="34" t="s">
        <v>251</v>
      </c>
      <c r="D65" s="34" t="s">
        <v>252</v>
      </c>
    </row>
    <row r="66" spans="1:4" ht="22.05" customHeight="1" x14ac:dyDescent="0.3">
      <c r="A66" s="34" t="s">
        <v>141</v>
      </c>
      <c r="B66" s="34" t="s">
        <v>253</v>
      </c>
      <c r="C66" s="34" t="s">
        <v>254</v>
      </c>
      <c r="D66" s="34" t="s">
        <v>255</v>
      </c>
    </row>
    <row r="67" spans="1:4" ht="22.05" customHeight="1" x14ac:dyDescent="0.3">
      <c r="A67" s="34" t="s">
        <v>144</v>
      </c>
      <c r="B67" s="34" t="s">
        <v>256</v>
      </c>
      <c r="C67" s="34" t="s">
        <v>257</v>
      </c>
      <c r="D67" s="34" t="s">
        <v>258</v>
      </c>
    </row>
    <row r="68" spans="1:4" ht="22.05" customHeight="1" x14ac:dyDescent="0.3">
      <c r="A68" s="34" t="s">
        <v>147</v>
      </c>
      <c r="B68" s="34" t="s">
        <v>259</v>
      </c>
      <c r="C68" s="34" t="s">
        <v>260</v>
      </c>
      <c r="D68" s="34" t="s">
        <v>261</v>
      </c>
    </row>
    <row r="69" spans="1:4" ht="22.05" customHeight="1" x14ac:dyDescent="0.3">
      <c r="A69" s="34" t="s">
        <v>150</v>
      </c>
      <c r="B69" s="34" t="s">
        <v>262</v>
      </c>
      <c r="C69" s="34" t="s">
        <v>263</v>
      </c>
      <c r="D69" s="34" t="s">
        <v>149</v>
      </c>
    </row>
    <row r="70" spans="1:4" ht="22.05" customHeight="1" x14ac:dyDescent="0.3">
      <c r="A70" s="69" t="s">
        <v>264</v>
      </c>
      <c r="B70" s="65"/>
      <c r="C70" s="65"/>
      <c r="D70" s="65"/>
    </row>
    <row r="71" spans="1:4" ht="22.05" customHeight="1" x14ac:dyDescent="0.3">
      <c r="A71" s="35" t="s">
        <v>159</v>
      </c>
      <c r="B71" s="35" t="s">
        <v>99</v>
      </c>
      <c r="C71" s="35" t="s">
        <v>112</v>
      </c>
      <c r="D71" s="35" t="s">
        <v>265</v>
      </c>
    </row>
    <row r="72" spans="1:4" ht="22.05" customHeight="1" x14ac:dyDescent="0.3">
      <c r="A72" s="34" t="s">
        <v>102</v>
      </c>
      <c r="B72" s="34" t="s">
        <v>266</v>
      </c>
      <c r="C72" s="34" t="s">
        <v>267</v>
      </c>
      <c r="D72" s="34" t="s">
        <v>268</v>
      </c>
    </row>
    <row r="73" spans="1:4" ht="22.05" customHeight="1" x14ac:dyDescent="0.3">
      <c r="A73" s="34" t="s">
        <v>106</v>
      </c>
      <c r="B73" s="34" t="s">
        <v>269</v>
      </c>
      <c r="C73" s="34" t="s">
        <v>270</v>
      </c>
      <c r="D73" s="34" t="s">
        <v>271</v>
      </c>
    </row>
    <row r="74" spans="1:4" ht="22.05" customHeight="1" x14ac:dyDescent="0.3">
      <c r="A74" s="34" t="s">
        <v>118</v>
      </c>
      <c r="B74" s="34" t="s">
        <v>272</v>
      </c>
      <c r="C74" s="34" t="s">
        <v>273</v>
      </c>
      <c r="D74" s="34" t="s">
        <v>274</v>
      </c>
    </row>
    <row r="75" spans="1:4" ht="22.05" customHeight="1" x14ac:dyDescent="0.3">
      <c r="A75" s="34" t="s">
        <v>121</v>
      </c>
      <c r="B75" s="34" t="s">
        <v>201</v>
      </c>
      <c r="C75" s="34" t="s">
        <v>275</v>
      </c>
      <c r="D75" s="34" t="s">
        <v>276</v>
      </c>
    </row>
    <row r="76" spans="1:4" ht="22.05" customHeight="1" x14ac:dyDescent="0.3">
      <c r="A76" s="69" t="s">
        <v>277</v>
      </c>
      <c r="B76" s="65"/>
      <c r="C76" s="65"/>
      <c r="D76" s="65"/>
    </row>
    <row r="77" spans="1:4" ht="22.05" customHeight="1" x14ac:dyDescent="0.3">
      <c r="A77" s="35" t="s">
        <v>159</v>
      </c>
      <c r="B77" s="35" t="s">
        <v>278</v>
      </c>
      <c r="C77" s="35" t="s">
        <v>279</v>
      </c>
      <c r="D77" s="35" t="s">
        <v>280</v>
      </c>
    </row>
    <row r="78" spans="1:4" ht="22.05" customHeight="1" x14ac:dyDescent="0.3">
      <c r="A78" s="34" t="s">
        <v>102</v>
      </c>
      <c r="B78" s="34" t="s">
        <v>25</v>
      </c>
      <c r="C78" s="34" t="s">
        <v>281</v>
      </c>
      <c r="D78" s="34" t="s">
        <v>282</v>
      </c>
    </row>
    <row r="79" spans="1:4" ht="22.05" customHeight="1" x14ac:dyDescent="0.3">
      <c r="A79" s="34" t="s">
        <v>106</v>
      </c>
      <c r="B79" s="34" t="s">
        <v>283</v>
      </c>
      <c r="C79" s="34" t="s">
        <v>284</v>
      </c>
      <c r="D79" s="34" t="s">
        <v>285</v>
      </c>
    </row>
    <row r="80" spans="1:4" ht="22.05" customHeight="1" x14ac:dyDescent="0.3">
      <c r="A80" s="69" t="s">
        <v>286</v>
      </c>
      <c r="B80" s="65"/>
      <c r="C80" s="65"/>
      <c r="D80" s="65"/>
    </row>
    <row r="81" spans="1:4" ht="22.05" customHeight="1" x14ac:dyDescent="0.3">
      <c r="A81" s="35" t="s">
        <v>159</v>
      </c>
      <c r="B81" s="35" t="s">
        <v>287</v>
      </c>
      <c r="C81" s="35" t="s">
        <v>112</v>
      </c>
      <c r="D81" s="35"/>
    </row>
    <row r="82" spans="1:4" ht="22.05" customHeight="1" x14ac:dyDescent="0.3">
      <c r="A82" s="34" t="s">
        <v>102</v>
      </c>
      <c r="B82" s="34" t="s">
        <v>288</v>
      </c>
      <c r="C82" s="34" t="s">
        <v>289</v>
      </c>
      <c r="D82" s="34"/>
    </row>
    <row r="83" spans="1:4" ht="22.05" customHeight="1" x14ac:dyDescent="0.3">
      <c r="A83" s="34" t="s">
        <v>106</v>
      </c>
      <c r="B83" s="34" t="s">
        <v>25</v>
      </c>
      <c r="C83" s="34" t="s">
        <v>290</v>
      </c>
      <c r="D83" s="34"/>
    </row>
    <row r="84" spans="1:4" ht="22.05" customHeight="1" x14ac:dyDescent="0.3">
      <c r="A84" s="34" t="s">
        <v>118</v>
      </c>
      <c r="B84" s="34" t="s">
        <v>283</v>
      </c>
      <c r="C84" s="34" t="s">
        <v>291</v>
      </c>
      <c r="D84" s="34"/>
    </row>
    <row r="85" spans="1:4" ht="22.05" customHeight="1" x14ac:dyDescent="0.3">
      <c r="A85" s="34" t="s">
        <v>121</v>
      </c>
      <c r="B85" s="34" t="s">
        <v>292</v>
      </c>
      <c r="C85" s="34" t="s">
        <v>293</v>
      </c>
      <c r="D85" s="34"/>
    </row>
    <row r="86" spans="1:4" ht="22.05" customHeight="1" x14ac:dyDescent="0.3">
      <c r="A86" s="34" t="s">
        <v>124</v>
      </c>
      <c r="B86" s="34" t="s">
        <v>294</v>
      </c>
      <c r="C86" s="34" t="s">
        <v>295</v>
      </c>
      <c r="D86" s="34"/>
    </row>
    <row r="87" spans="1:4" ht="22.05" customHeight="1" x14ac:dyDescent="0.3">
      <c r="A87" s="34" t="s">
        <v>128</v>
      </c>
      <c r="B87" s="34" t="s">
        <v>39</v>
      </c>
      <c r="C87" s="34" t="s">
        <v>296</v>
      </c>
      <c r="D87" s="34"/>
    </row>
    <row r="88" spans="1:4" ht="22.05" customHeight="1" x14ac:dyDescent="0.3">
      <c r="A88" s="34" t="s">
        <v>131</v>
      </c>
      <c r="B88" s="34" t="s">
        <v>297</v>
      </c>
      <c r="C88" s="34" t="s">
        <v>298</v>
      </c>
      <c r="D88" s="34"/>
    </row>
    <row r="89" spans="1:4" ht="22.05" customHeight="1" x14ac:dyDescent="0.3">
      <c r="A89" s="34" t="s">
        <v>135</v>
      </c>
      <c r="B89" s="34" t="s">
        <v>299</v>
      </c>
      <c r="C89" s="34" t="s">
        <v>300</v>
      </c>
      <c r="D89" s="34"/>
    </row>
    <row r="90" spans="1:4" ht="22.05" customHeight="1" x14ac:dyDescent="0.3">
      <c r="A90" s="69" t="s">
        <v>301</v>
      </c>
      <c r="B90" s="65"/>
      <c r="C90" s="65"/>
      <c r="D90" s="65"/>
    </row>
    <row r="91" spans="1:4" ht="22.05" customHeight="1" x14ac:dyDescent="0.3">
      <c r="A91" s="35" t="s">
        <v>159</v>
      </c>
      <c r="B91" s="35" t="s">
        <v>302</v>
      </c>
      <c r="C91" s="35" t="s">
        <v>303</v>
      </c>
      <c r="D91" s="35" t="s">
        <v>304</v>
      </c>
    </row>
    <row r="92" spans="1:4" ht="22.05" customHeight="1" x14ac:dyDescent="0.3">
      <c r="A92" s="34" t="s">
        <v>102</v>
      </c>
      <c r="B92" s="34" t="s">
        <v>305</v>
      </c>
      <c r="C92" s="34" t="s">
        <v>306</v>
      </c>
      <c r="D92" s="34" t="s">
        <v>307</v>
      </c>
    </row>
    <row r="93" spans="1:4" ht="22.05" customHeight="1" x14ac:dyDescent="0.3">
      <c r="A93" s="34" t="s">
        <v>106</v>
      </c>
      <c r="B93" s="34" t="s">
        <v>195</v>
      </c>
      <c r="C93" s="34" t="s">
        <v>308</v>
      </c>
      <c r="D93" s="34" t="s">
        <v>309</v>
      </c>
    </row>
    <row r="94" spans="1:4" ht="22.05" customHeight="1" x14ac:dyDescent="0.3">
      <c r="A94" s="34" t="s">
        <v>118</v>
      </c>
      <c r="B94" s="34" t="s">
        <v>310</v>
      </c>
      <c r="C94" s="34" t="s">
        <v>311</v>
      </c>
      <c r="D94" s="34" t="s">
        <v>312</v>
      </c>
    </row>
    <row r="95" spans="1:4" ht="22.05" customHeight="1" x14ac:dyDescent="0.3">
      <c r="A95" s="34" t="s">
        <v>121</v>
      </c>
      <c r="B95" s="34" t="s">
        <v>313</v>
      </c>
      <c r="C95" s="34" t="s">
        <v>314</v>
      </c>
      <c r="D95" s="34" t="s">
        <v>315</v>
      </c>
    </row>
    <row r="96" spans="1:4" ht="22.05" customHeight="1" x14ac:dyDescent="0.3">
      <c r="A96" s="34" t="s">
        <v>124</v>
      </c>
      <c r="B96" s="34" t="s">
        <v>316</v>
      </c>
      <c r="C96" s="34" t="s">
        <v>317</v>
      </c>
      <c r="D96" s="34" t="s">
        <v>318</v>
      </c>
    </row>
    <row r="97" spans="1:4" ht="22.05" customHeight="1" x14ac:dyDescent="0.3"/>
    <row r="98" spans="1:4" ht="22.05" customHeight="1" x14ac:dyDescent="0.3">
      <c r="A98" s="71" t="s">
        <v>319</v>
      </c>
      <c r="B98" s="65"/>
      <c r="C98" s="65"/>
      <c r="D98" s="65"/>
    </row>
    <row r="100" spans="1:4" x14ac:dyDescent="0.3">
      <c r="A100" s="67" t="s">
        <v>320</v>
      </c>
      <c r="B100" s="65"/>
      <c r="C100" s="65"/>
      <c r="D100" s="65"/>
    </row>
    <row r="101" spans="1:4" ht="43.2" x14ac:dyDescent="0.3">
      <c r="A101" s="34" t="s">
        <v>102</v>
      </c>
      <c r="B101" s="34" t="s">
        <v>321</v>
      </c>
      <c r="C101" s="34" t="s">
        <v>322</v>
      </c>
      <c r="D101" s="34" t="s">
        <v>323</v>
      </c>
    </row>
    <row r="102" spans="1:4" ht="57.6" x14ac:dyDescent="0.3">
      <c r="A102" s="34" t="s">
        <v>106</v>
      </c>
      <c r="B102" s="34" t="s">
        <v>324</v>
      </c>
      <c r="C102" s="34" t="s">
        <v>325</v>
      </c>
      <c r="D102" s="34" t="s">
        <v>326</v>
      </c>
    </row>
    <row r="103" spans="1:4" ht="57.6" x14ac:dyDescent="0.3">
      <c r="A103" s="34" t="s">
        <v>118</v>
      </c>
      <c r="B103" s="34" t="s">
        <v>327</v>
      </c>
      <c r="C103" s="34" t="s">
        <v>328</v>
      </c>
      <c r="D103" s="34" t="s">
        <v>329</v>
      </c>
    </row>
    <row r="104" spans="1:4" ht="57.6" x14ac:dyDescent="0.3">
      <c r="A104" s="34" t="s">
        <v>121</v>
      </c>
      <c r="B104" s="34" t="s">
        <v>330</v>
      </c>
      <c r="C104" s="34" t="s">
        <v>331</v>
      </c>
      <c r="D104" s="34" t="s">
        <v>332</v>
      </c>
    </row>
  </sheetData>
  <mergeCells count="14">
    <mergeCell ref="A1:D1"/>
    <mergeCell ref="A40:D40"/>
    <mergeCell ref="A70:D70"/>
    <mergeCell ref="A80:D80"/>
    <mergeCell ref="A8:D8"/>
    <mergeCell ref="A35:D35"/>
    <mergeCell ref="A4:D4"/>
    <mergeCell ref="A100:D100"/>
    <mergeCell ref="A55:D55"/>
    <mergeCell ref="A25:D25"/>
    <mergeCell ref="A90:D90"/>
    <mergeCell ref="A2:D2"/>
    <mergeCell ref="A98:D98"/>
    <mergeCell ref="A76:D7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2683-BF2B-4557-BC22-421469865EEE}">
  <dimension ref="A1"/>
  <sheetViews>
    <sheetView showGridLines="0" workbookViewId="0">
      <selection activeCell="B2" sqref="B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Workflow</vt:lpstr>
      <vt:lpstr>Calculator Form</vt:lpstr>
      <vt:lpstr>Sensitivity</vt:lpstr>
      <vt:lpstr>Action Tracker</vt:lpstr>
      <vt:lpstr>Read Me</vt:lpstr>
      <vt:lpstr>Help</vt:lpstr>
      <vt:lpstr>RACI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Panneerselvam, Venkatesh</cp:lastModifiedBy>
  <dcterms:created xsi:type="dcterms:W3CDTF">2026-03-19T04:06:19Z</dcterms:created>
  <dcterms:modified xsi:type="dcterms:W3CDTF">2026-03-27T07:46:50Z</dcterms:modified>
</cp:coreProperties>
</file>