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https://deepscienceltd-my.sharepoint.com/personal/dwinters_deepscience_ltd/Documents/Drive/Projects/OpenAir/"/>
    </mc:Choice>
  </mc:AlternateContent>
  <xr:revisionPtr revIDLastSave="2341" documentId="8_{C57260D5-50CE-584A-8523-AF3084993B19}" xr6:coauthVersionLast="46" xr6:coauthVersionMax="46" xr10:uidLastSave="{81CBE809-490D-CD44-9637-C84B000D8AFE}"/>
  <bookViews>
    <workbookView xWindow="880" yWindow="460" windowWidth="50320" windowHeight="28340" xr2:uid="{9E152396-C084-864A-8DB7-5BC9426C1F13}"/>
  </bookViews>
  <sheets>
    <sheet name="Summary" sheetId="4" r:id="rId1"/>
    <sheet name="January" sheetId="10" r:id="rId2"/>
    <sheet name="Jan13-21" sheetId="9" r:id="rId3"/>
    <sheet name="Jan12-21b" sheetId="8" r:id="rId4"/>
    <sheet name="Jan12-21a" sheetId="7" r:id="rId5"/>
    <sheet name="Jan11-21b" sheetId="6" r:id="rId6"/>
    <sheet name="Jan11-21a" sheetId="5" r:id="rId7"/>
    <sheet name="Jan10-21b" sheetId="2" r:id="rId8"/>
    <sheet name="Jan10-21a" sheetId="3" r:id="rId9"/>
    <sheet name="Jan7-21" sheetId="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7" i="10" l="1"/>
  <c r="K107" i="10"/>
  <c r="J107" i="10"/>
  <c r="H108" i="10"/>
  <c r="I107" i="10"/>
  <c r="G107" i="10"/>
  <c r="C19" i="4"/>
  <c r="C18" i="4"/>
  <c r="C17" i="4"/>
  <c r="C16" i="4"/>
  <c r="C26" i="1"/>
  <c r="C24" i="3"/>
  <c r="C21" i="2"/>
  <c r="C25" i="5"/>
  <c r="C23" i="5"/>
  <c r="C26" i="7"/>
  <c r="C28" i="7"/>
  <c r="C28" i="9"/>
  <c r="C30" i="9"/>
  <c r="C32" i="9"/>
  <c r="C28" i="8"/>
  <c r="C26" i="8"/>
  <c r="C34" i="4"/>
  <c r="I30" i="10"/>
  <c r="I35" i="10"/>
  <c r="L35" i="10"/>
  <c r="C42" i="4"/>
  <c r="C44" i="4"/>
  <c r="C41" i="4"/>
  <c r="C43" i="4"/>
  <c r="C30" i="4"/>
  <c r="C36" i="4"/>
  <c r="C37" i="4"/>
  <c r="C35" i="4"/>
  <c r="C38" i="4"/>
  <c r="C31" i="4"/>
  <c r="C33" i="4"/>
  <c r="K51" i="10"/>
  <c r="K96" i="10"/>
  <c r="L81" i="10"/>
  <c r="K81" i="10"/>
  <c r="L96" i="10"/>
  <c r="K71" i="10"/>
  <c r="L71" i="10"/>
  <c r="K61" i="10"/>
  <c r="L61" i="10" s="1"/>
  <c r="L38" i="10"/>
  <c r="N38" i="10" s="1"/>
  <c r="M38" i="10"/>
  <c r="M35" i="10"/>
  <c r="N35" i="10"/>
  <c r="M30" i="10"/>
  <c r="L30" i="10"/>
  <c r="N30" i="10" s="1"/>
  <c r="L23" i="10"/>
  <c r="M23" i="10"/>
  <c r="L17" i="10"/>
  <c r="M17" i="10" s="1"/>
  <c r="L14" i="10"/>
  <c r="M14" i="10" s="1"/>
  <c r="L11" i="10"/>
  <c r="J96" i="10"/>
  <c r="H97" i="10"/>
  <c r="I96" i="10"/>
  <c r="H96" i="10"/>
  <c r="G96" i="10"/>
  <c r="Q7" i="10"/>
  <c r="L51" i="10"/>
  <c r="M11" i="10"/>
  <c r="C104" i="10"/>
  <c r="J81" i="10"/>
  <c r="H88" i="10"/>
  <c r="H87" i="10"/>
  <c r="C93" i="10"/>
  <c r="Q6" i="10"/>
  <c r="I23" i="10"/>
  <c r="K23" i="10" s="1"/>
  <c r="I81" i="10"/>
  <c r="G81" i="10"/>
  <c r="H81" i="10" s="1"/>
  <c r="C78" i="10"/>
  <c r="C32" i="4" l="1"/>
  <c r="D4" i="4" s="1"/>
  <c r="H107" i="10"/>
  <c r="C29" i="5"/>
  <c r="C26" i="5"/>
  <c r="C27" i="5" s="1"/>
  <c r="C32" i="7"/>
  <c r="C29" i="7"/>
  <c r="C30" i="7" s="1"/>
  <c r="C29" i="9"/>
  <c r="H85" i="10"/>
  <c r="H84" i="10"/>
  <c r="H82" i="10"/>
  <c r="H83" i="10"/>
  <c r="H86" i="10"/>
  <c r="I11" i="10"/>
  <c r="I71" i="10"/>
  <c r="I61" i="10"/>
  <c r="I51" i="10"/>
  <c r="G71" i="10"/>
  <c r="C68" i="10"/>
  <c r="C58" i="10"/>
  <c r="G61" i="10"/>
  <c r="H61" i="10" s="1"/>
  <c r="G51" i="10"/>
  <c r="H73" i="10" l="1"/>
  <c r="H71" i="10"/>
  <c r="H51" i="10"/>
  <c r="H53" i="10"/>
  <c r="K11" i="10"/>
  <c r="J61" i="10"/>
  <c r="I38" i="10"/>
  <c r="G30" i="10"/>
  <c r="I17" i="10"/>
  <c r="I14" i="10"/>
  <c r="D20" i="9"/>
  <c r="C20" i="9"/>
  <c r="E20" i="9" s="1"/>
  <c r="E25" i="9" s="1"/>
  <c r="C25" i="9" s="1"/>
  <c r="C10" i="9"/>
  <c r="E10" i="9" s="1"/>
  <c r="E11" i="9" s="1"/>
  <c r="C10" i="8"/>
  <c r="E10" i="8"/>
  <c r="E11" i="8" s="1"/>
  <c r="D24" i="4"/>
  <c r="C24" i="4"/>
  <c r="C23" i="4"/>
  <c r="D20" i="8"/>
  <c r="C20" i="8"/>
  <c r="E20" i="8" s="1"/>
  <c r="E25" i="8" s="1"/>
  <c r="C25" i="8" s="1"/>
  <c r="C20" i="7"/>
  <c r="E20" i="7" s="1"/>
  <c r="E25" i="7" s="1"/>
  <c r="C25" i="7" s="1"/>
  <c r="D20" i="7"/>
  <c r="C23" i="3"/>
  <c r="C10" i="5"/>
  <c r="E10" i="5" s="1"/>
  <c r="E11" i="5" s="1"/>
  <c r="C11" i="5" s="1"/>
  <c r="C20" i="5"/>
  <c r="C21" i="5" s="1"/>
  <c r="C10" i="6"/>
  <c r="E10" i="6" s="1"/>
  <c r="E11" i="6" s="1"/>
  <c r="C11" i="6" s="1"/>
  <c r="D20" i="6"/>
  <c r="C20" i="6"/>
  <c r="D20" i="5"/>
  <c r="C13" i="3"/>
  <c r="E13" i="3" s="1"/>
  <c r="E14" i="3" s="1"/>
  <c r="C14" i="3" s="1"/>
  <c r="D23" i="3"/>
  <c r="C10" i="2"/>
  <c r="E10" i="2" s="1"/>
  <c r="E11" i="2" s="1"/>
  <c r="E12" i="2" s="1"/>
  <c r="C12" i="2" s="1"/>
  <c r="D20" i="2"/>
  <c r="C20" i="2"/>
  <c r="D25" i="1"/>
  <c r="E25" i="1" s="1"/>
  <c r="E14" i="1"/>
  <c r="E18" i="1" s="1"/>
  <c r="E13" i="1"/>
  <c r="C25" i="1"/>
  <c r="C21" i="6" l="1"/>
  <c r="K38" i="10"/>
  <c r="K14" i="10"/>
  <c r="J51" i="10"/>
  <c r="K35" i="10"/>
  <c r="K17" i="10"/>
  <c r="J71" i="10"/>
  <c r="C26" i="4"/>
  <c r="E12" i="9"/>
  <c r="C12" i="9" s="1"/>
  <c r="C11" i="9"/>
  <c r="C21" i="9"/>
  <c r="C26" i="9" s="1"/>
  <c r="C25" i="4"/>
  <c r="E12" i="8"/>
  <c r="C12" i="8" s="1"/>
  <c r="C11" i="8"/>
  <c r="C32" i="8"/>
  <c r="C29" i="8"/>
  <c r="C30" i="8" s="1"/>
  <c r="C21" i="8"/>
  <c r="C21" i="7"/>
  <c r="E10" i="7"/>
  <c r="E11" i="7" s="1"/>
  <c r="E20" i="6"/>
  <c r="E16" i="3"/>
  <c r="E15" i="3"/>
  <c r="C15" i="3" s="1"/>
  <c r="C17" i="3" s="1"/>
  <c r="E13" i="2"/>
  <c r="E12" i="6"/>
  <c r="C12" i="6" s="1"/>
  <c r="C13" i="6" s="1"/>
  <c r="C15" i="6" s="1"/>
  <c r="E12" i="5"/>
  <c r="C12" i="5" s="1"/>
  <c r="C14" i="5" s="1"/>
  <c r="E20" i="5"/>
  <c r="E22" i="5" s="1"/>
  <c r="C22" i="5" s="1"/>
  <c r="E13" i="5"/>
  <c r="E23" i="3"/>
  <c r="E20" i="2"/>
  <c r="C11" i="2"/>
  <c r="E19" i="1"/>
  <c r="C19" i="1" s="1"/>
  <c r="C18" i="1"/>
  <c r="K30" i="10" l="1"/>
  <c r="F23" i="9"/>
  <c r="F24" i="9"/>
  <c r="C14" i="9"/>
  <c r="C13" i="9"/>
  <c r="C15" i="9" s="1"/>
  <c r="F23" i="8"/>
  <c r="F24" i="8"/>
  <c r="C14" i="8"/>
  <c r="C13" i="8"/>
  <c r="C15" i="8" s="1"/>
  <c r="F24" i="7"/>
  <c r="F23" i="7"/>
  <c r="E12" i="7"/>
  <c r="C12" i="7" s="1"/>
  <c r="C11" i="7"/>
  <c r="C16" i="3"/>
  <c r="C18" i="3" s="1"/>
  <c r="C13" i="2"/>
  <c r="C15" i="2" s="1"/>
  <c r="C14" i="2"/>
  <c r="C14" i="6"/>
  <c r="C13" i="5"/>
  <c r="C15" i="5" s="1"/>
  <c r="C14" i="7" l="1"/>
  <c r="C13" i="7"/>
  <c r="C15" i="7" s="1"/>
</calcChain>
</file>

<file path=xl/sharedStrings.xml><?xml version="1.0" encoding="utf-8"?>
<sst xmlns="http://schemas.openxmlformats.org/spreadsheetml/2006/main" count="603" uniqueCount="225">
  <si>
    <t>coffee filter</t>
  </si>
  <si>
    <t>mol</t>
  </si>
  <si>
    <t>g</t>
  </si>
  <si>
    <t>g/mol</t>
  </si>
  <si>
    <t>Actual CaCO3 measurement</t>
  </si>
  <si>
    <t>g CO2/g sorbent</t>
  </si>
  <si>
    <t>mol CO2/g sorbent</t>
  </si>
  <si>
    <t>mmol CO2/g sorbent</t>
  </si>
  <si>
    <t>Input, solid CaCl2 (Prestone Driveway Heat, CaCl2 quantity varies)</t>
  </si>
  <si>
    <t>5 day run time as above, 1 day sit time (no flow or fan) to get crystal (CaCO3) formation</t>
  </si>
  <si>
    <t>Input, solid NaOH, very pure (lye for drain opening)</t>
  </si>
  <si>
    <t>Expected Ca(OH)2 produced (input to carbonatation reaction)</t>
  </si>
  <si>
    <t>Ca(OH)2 + CO2 -&gt; CaCO3 + H2O</t>
  </si>
  <si>
    <t>CaCl2 + 2NaOH -&gt; Ca(OH)2 + 2NaCl</t>
  </si>
  <si>
    <t>Reaction to generate Ca(OH)2:</t>
  </si>
  <si>
    <t>Note: I actually added the same mol NaOH as CaCl2 instead of double the mol NaOH, so I actually started carbon capture with half as much Ca(OH)2 as I wanted.</t>
  </si>
  <si>
    <r>
      <rPr>
        <b/>
        <sz val="12"/>
        <color theme="1"/>
        <rFont val="Calibri"/>
        <family val="2"/>
        <scheme val="minor"/>
      </rPr>
      <t>Conditions:</t>
    </r>
    <r>
      <rPr>
        <sz val="12"/>
        <color theme="1"/>
        <rFont val="Calibri"/>
        <family val="2"/>
        <scheme val="minor"/>
      </rPr>
      <t xml:space="preserve"> indoors in small room, room temperature (68-72 F) each day - fan on lowest of three speeds and off at night (aquarium pump still going)</t>
    </r>
  </si>
  <si>
    <t>kg Ca(OH)2</t>
  </si>
  <si>
    <t>Took 5 days because goal was stability testing vs. quantification of CO2 capture; didn't intend to quantify during this run. Possible for reaction to be done within a few hours.</t>
  </si>
  <si>
    <t>kg Dowex</t>
  </si>
  <si>
    <t>kg Ca(OH)2 sorbent needed to capture 1 kg/day CO2</t>
  </si>
  <si>
    <t>(for comparison, from DACC HACC Design Considerations page)</t>
  </si>
  <si>
    <t>kg Dowex sorbent needed to capture 1 kg/day CO2</t>
  </si>
  <si>
    <t>For comparison with Cyan Supporting System Calculations spreadsheet</t>
  </si>
  <si>
    <r>
      <t xml:space="preserve">Thus, </t>
    </r>
    <r>
      <rPr>
        <b/>
        <sz val="12"/>
        <color theme="1"/>
        <rFont val="Calibri"/>
        <family val="2"/>
        <scheme val="minor"/>
      </rPr>
      <t>next steps</t>
    </r>
    <r>
      <rPr>
        <sz val="12"/>
        <color theme="1"/>
        <rFont val="Calibri"/>
        <family val="2"/>
        <scheme val="minor"/>
      </rPr>
      <t xml:space="preserve"> are:</t>
    </r>
  </si>
  <si>
    <t>- Will quantify with guaranteed &gt;90% pure Ca(OH)2</t>
  </si>
  <si>
    <t>Dahl Winters, 1/7/2021</t>
  </si>
  <si>
    <t>Initial Cyan CO2 Capture Benchmark</t>
  </si>
  <si>
    <t xml:space="preserve">- Will turn on fan to highest setting and leave on at night next; do reaction over a single 24 hour timeframe </t>
  </si>
  <si>
    <t>Hence E18 below has been divided by 2 to compensate.</t>
  </si>
  <si>
    <t>Dahl Winters, 1/10/2021</t>
  </si>
  <si>
    <t>Process took a while due to larger quantity of material and clay-like consistency of bottom solids that were impurities. Needed lots of dry time (1.5 days).</t>
  </si>
  <si>
    <t>Used Bonide's Hydrated Lime because the SDS claimed &gt; 90% calcium hydroxide (Ca(OH)2), but the bag itself indicated Ca(OH)2 and also MgOH, MgO, and CaO in smaller quantities.</t>
  </si>
  <si>
    <t>2nd Cyan CO2 Capture Measurement</t>
  </si>
  <si>
    <t>3rd Cyan CO2 Capture Measurement</t>
  </si>
  <si>
    <t>Started filtering right after</t>
  </si>
  <si>
    <t>A good bit of clay-like bottom solids that were impurities, maybe 1/6 of the total quantity. Needed 12 hours dry time.</t>
  </si>
  <si>
    <t>Input, Bonide brand Hydrated Lime (&gt; 90% Ca(OH)2)</t>
  </si>
  <si>
    <t>Changed out aquarium water pump for a smaller but more powerful USB pump, $9, first one stopped working due to previous heavy testing within 3 min of pouring in Ca(OH)2</t>
  </si>
  <si>
    <t>After 24 hours, started filtering</t>
  </si>
  <si>
    <r>
      <rPr>
        <b/>
        <sz val="12"/>
        <color theme="1"/>
        <rFont val="Calibri"/>
        <family val="2"/>
        <scheme val="minor"/>
      </rPr>
      <t>Conditions:</t>
    </r>
    <r>
      <rPr>
        <sz val="12"/>
        <color theme="1"/>
        <rFont val="Calibri"/>
        <family val="2"/>
        <scheme val="minor"/>
      </rPr>
      <t xml:space="preserve"> indoors in small room, room temperature (68-72 F) over a 24 hour period</t>
    </r>
  </si>
  <si>
    <t>4 hour delay with fan on low before water began circulating; then circulation for 20 hours with fan on high</t>
  </si>
  <si>
    <t>Dahl Winters, 1/11/2021</t>
  </si>
  <si>
    <t>Cyan CO2 Capture Measurement - 22 minute bubbling time</t>
  </si>
  <si>
    <t>Cyan CO2 Capture Measurement - control, no bubbling</t>
  </si>
  <si>
    <t>Setup</t>
  </si>
  <si>
    <t>Box, water pump, fan, 24 hours</t>
  </si>
  <si>
    <r>
      <rPr>
        <b/>
        <sz val="12"/>
        <color theme="1"/>
        <rFont val="Calibri"/>
        <family val="2"/>
        <scheme val="minor"/>
      </rPr>
      <t>Conditions:</t>
    </r>
    <r>
      <rPr>
        <sz val="12"/>
        <color theme="1"/>
        <rFont val="Calibri"/>
        <family val="2"/>
        <scheme val="minor"/>
      </rPr>
      <t xml:space="preserve"> indoors in small room, room temperature (68-72 F), water added, then 5 minutes later started filtering</t>
    </r>
  </si>
  <si>
    <t>Expected H2O produced from Ca(OH)2</t>
  </si>
  <si>
    <t>Expected CO2 captured (CaCO3 + H2O - Ca(OH)2)</t>
  </si>
  <si>
    <t>Expected mass of left side of reaction</t>
  </si>
  <si>
    <t>Expected mass of right side of reaction</t>
  </si>
  <si>
    <t>dry coffee filter + product</t>
  </si>
  <si>
    <t>Expected CaCO3, if complete CO2 absorption were possible</t>
  </si>
  <si>
    <t>dry product only</t>
  </si>
  <si>
    <t>If weight increase is observed and there is a positive vinegar test for CO2, then that means the reaction is happening more quickly than anticipated.</t>
  </si>
  <si>
    <t>This is a control test - if weight increase is observed and there is a negative visual vinegar test for CO2, then weight increase cannot indicate the presence of CO2.</t>
  </si>
  <si>
    <t>Notes:</t>
  </si>
  <si>
    <t>100% absorption is unlikely given the limited solubility of Ca(OH)2 in water, 1.7 g/L at 20 C - the gas/solid interface is important but unknown how it should perform in aqueous solution</t>
  </si>
  <si>
    <t>Carbonation reaction for CO2 capture:</t>
  </si>
  <si>
    <t>Dahl Winters, 1/12/2021</t>
  </si>
  <si>
    <t>Cyan CO2 Capture Measurement - 15 minute sonication</t>
  </si>
  <si>
    <r>
      <rPr>
        <b/>
        <sz val="12"/>
        <color theme="1"/>
        <rFont val="Calibri"/>
        <family val="2"/>
        <scheme val="minor"/>
      </rPr>
      <t>Conditions:</t>
    </r>
    <r>
      <rPr>
        <sz val="12"/>
        <color theme="1"/>
        <rFont val="Calibri"/>
        <family val="2"/>
        <scheme val="minor"/>
      </rPr>
      <t xml:space="preserve"> indoors in small room, room temperature (68-72 F) over a 6.5 hour period - no fan, air bubbled with Tetra Whisper 10 aquarium air pump (1.5 watt) and air stone</t>
    </r>
  </si>
  <si>
    <r>
      <rPr>
        <b/>
        <sz val="12"/>
        <color theme="1"/>
        <rFont val="Calibri"/>
        <family val="2"/>
        <scheme val="minor"/>
      </rPr>
      <t>Conditions:</t>
    </r>
    <r>
      <rPr>
        <sz val="12"/>
        <color theme="1"/>
        <rFont val="Calibri"/>
        <family val="2"/>
        <scheme val="minor"/>
      </rPr>
      <t xml:space="preserve"> indoors in small room, room temperature (68-72 F), water added, bubbled for 22 minutes using 1.5 watt air pump with air stone, then started filtering</t>
    </r>
  </si>
  <si>
    <t>Sonication made the water warm to the touch but the temperature was not measured. Goal was to try to break down passivating layer of CaCO3 around Ca(OH)2 particles.</t>
  </si>
  <si>
    <t>Filtering/drying: 12 hours, during which time the Ca(OH)2 could have picked up more CO2, especially since a fan was used for drying.</t>
  </si>
  <si>
    <t>Added exactly 10 g input Ca(OH)2.</t>
  </si>
  <si>
    <t>Increase in weight over time t</t>
  </si>
  <si>
    <t>Time t (hours)</t>
  </si>
  <si>
    <t>other</t>
  </si>
  <si>
    <r>
      <rPr>
        <b/>
        <sz val="12"/>
        <color theme="1"/>
        <rFont val="Calibri"/>
        <family val="2"/>
        <scheme val="minor"/>
      </rPr>
      <t>Conditions:</t>
    </r>
    <r>
      <rPr>
        <sz val="12"/>
        <color theme="1"/>
        <rFont val="Calibri"/>
        <family val="2"/>
        <scheme val="minor"/>
      </rPr>
      <t xml:space="preserve"> indoors in small room, room temperature (68 F, 20 C), water added, sonicated for 15 minutes using 24 watt sonicator, then started filtering</t>
    </r>
  </si>
  <si>
    <t>Rate of weight increase (g/hour)</t>
  </si>
  <si>
    <t>a film of large surface area was left on the sides of the container; film not weighed</t>
  </si>
  <si>
    <t>Percent weight increase</t>
  </si>
  <si>
    <t>Filtering/drying: 6 hours, during which time the Ca(OH)2 could have picked up more CO2, especially since a fan was used for the first 3 hours of drying.</t>
  </si>
  <si>
    <t>A positive vinegar test was observed after final weighing of the product, same as in previous experiments.</t>
  </si>
  <si>
    <t>max CO2 capturable (calculated from dry product assuming it is 100% CaCO3)</t>
  </si>
  <si>
    <t>Cyan CO2 Capture Measurement - 1 hour humidification</t>
  </si>
  <si>
    <r>
      <rPr>
        <b/>
        <sz val="12"/>
        <color theme="1"/>
        <rFont val="Calibri"/>
        <family val="2"/>
        <scheme val="minor"/>
      </rPr>
      <t>Conditions:</t>
    </r>
    <r>
      <rPr>
        <sz val="12"/>
        <color theme="1"/>
        <rFont val="Calibri"/>
        <family val="2"/>
        <scheme val="minor"/>
      </rPr>
      <t xml:space="preserve"> indoors in small room, room temperature (68 F, 20 C), cloud of 5 micron water droplets produced via sonicator and allowed to contact dry Ca(OH)2 for 1 hour</t>
    </r>
  </si>
  <si>
    <t>No direct sonication of Ca(OH)2. Humidification done in enclosed space (file box with ports sealed with plastic wrap). Air pump with air stone also used to introduce new air into the sonicated water.</t>
  </si>
  <si>
    <t>Weight Increase (%)</t>
  </si>
  <si>
    <t>Experiment</t>
  </si>
  <si>
    <t>Jan7-21</t>
  </si>
  <si>
    <t>Jan10-21a</t>
  </si>
  <si>
    <t>Jan10-21b</t>
  </si>
  <si>
    <t>Jan11-21a</t>
  </si>
  <si>
    <t>Jan11-21b</t>
  </si>
  <si>
    <t>Jan12-21a</t>
  </si>
  <si>
    <t>Jan12-21b</t>
  </si>
  <si>
    <t>Treatment time (hours)</t>
  </si>
  <si>
    <t>Series 1 (old)</t>
  </si>
  <si>
    <t>Series 2 (new)</t>
  </si>
  <si>
    <t>Dahl Winters, 1/13/2021</t>
  </si>
  <si>
    <t>Cyan CO2 Capture Measurement - 2 hour humidification</t>
  </si>
  <si>
    <r>
      <rPr>
        <b/>
        <sz val="12"/>
        <color theme="1"/>
        <rFont val="Calibri"/>
        <family val="2"/>
        <scheme val="minor"/>
      </rPr>
      <t>Conditions:</t>
    </r>
    <r>
      <rPr>
        <sz val="12"/>
        <color theme="1"/>
        <rFont val="Calibri"/>
        <family val="2"/>
        <scheme val="minor"/>
      </rPr>
      <t xml:space="preserve"> indoors in small room, room temperature (68 F, 20 C), cloud of 5 micron water droplets produced via sonicator and allowed to contact dry Ca(OH)2 for 2 hours</t>
    </r>
  </si>
  <si>
    <t>Jan13-21</t>
  </si>
  <si>
    <t>Cyan CO2 Capture Experiments</t>
  </si>
  <si>
    <t>Dry input, humidification from sonicator, air pump, 1 hour</t>
  </si>
  <si>
    <t>Dry input, humidification from sonicator, air pump, 2 hours</t>
  </si>
  <si>
    <t>Completely wetted input, cup, sonicator, 15 min sonication</t>
  </si>
  <si>
    <t>Completely wetted input, air pump and cup, 22 min bubbling</t>
  </si>
  <si>
    <t>Completely wetted input, air pump and cup, 0 min bubbling</t>
  </si>
  <si>
    <t>Completely wetted input, air pump and cup, 6.5 hours bubbling</t>
  </si>
  <si>
    <t>start sonication</t>
  </si>
  <si>
    <t>stop dry</t>
  </si>
  <si>
    <t>stop sonic/start dry</t>
  </si>
  <si>
    <t>start wetting</t>
  </si>
  <si>
    <t>total wt</t>
  </si>
  <si>
    <t>filter</t>
  </si>
  <si>
    <t>final wt</t>
  </si>
  <si>
    <t>initial wt</t>
  </si>
  <si>
    <t>wt increase</t>
  </si>
  <si>
    <t>cup</t>
  </si>
  <si>
    <t>some product loss observed</t>
  </si>
  <si>
    <t>January 20 - 2021</t>
  </si>
  <si>
    <t>stop humid/start dry</t>
  </si>
  <si>
    <t>start exposure of powder to humid air, enclosed container, air pump with air stone, thin spread of Softsoap on HDX lid before coffee filter applied; some went into the water. Goal was to test surfactant contribution; layer was a bit thick though</t>
  </si>
  <si>
    <t>applied small quantity of carbonic anhydrase VI (I read that H2CO3 formation was a limiting step), made thin layer between two filters, started exposure to humid air</t>
  </si>
  <si>
    <t>January 21 - 2021</t>
  </si>
  <si>
    <t>January 24 - 2021</t>
  </si>
  <si>
    <t>https://www.researchgate.net/publication/265850297_Surfactant-assisted_synthesis_of_pure_calcium_carbonate_nanoparticles_from_Sri_Lankan_dolomite</t>
  </si>
  <si>
    <t>10 g Ca(OH)2</t>
  </si>
  <si>
    <t>final reactant wt</t>
  </si>
  <si>
    <t>total final wt</t>
  </si>
  <si>
    <t>January 26 - 2021</t>
  </si>
  <si>
    <t>1 g sucrose</t>
  </si>
  <si>
    <t>start dry</t>
  </si>
  <si>
    <t>sprayed with water until wet, then immediately set out to dry inside box, fan on high</t>
  </si>
  <si>
    <t>January 27 - 2021</t>
  </si>
  <si>
    <t>start treatment</t>
  </si>
  <si>
    <t>Put inside reaction chamber as dry mixed powder, no spraying with water, fan on high whole time</t>
  </si>
  <si>
    <t>total initial wt</t>
  </si>
  <si>
    <t>vinegar test was done on previous experiment's product - could hear bubbling, so now I am repeating that experiment with a lower amount of sucrose so the product doesn't glass over with sucrose.</t>
  </si>
  <si>
    <t>a) Thin layer, in high humidity from air stone</t>
  </si>
  <si>
    <t>January 16 - 2021</t>
  </si>
  <si>
    <t>Cyan CO2 Capture Measurements</t>
  </si>
  <si>
    <t>start humidification</t>
  </si>
  <si>
    <t>Trying sucrose to increase calcium solubility; sprayed water to soak until wet, then allowed to dry</t>
  </si>
  <si>
    <t>0 hours</t>
  </si>
  <si>
    <t>9 hours</t>
  </si>
  <si>
    <t>11 hours</t>
  </si>
  <si>
    <t>14 hours</t>
  </si>
  <si>
    <t>20 hours</t>
  </si>
  <si>
    <t>elapsed times:</t>
  </si>
  <si>
    <t>10 g sucrose (complexes with Ca(OH)2)</t>
  </si>
  <si>
    <t>Sucrose Addition Experiments</t>
  </si>
  <si>
    <t>5 g sucrose</t>
  </si>
  <si>
    <t>16.5 hours</t>
  </si>
  <si>
    <t>when taken out to dry, was soaking in water and hard to separate paper from plastic lid in places</t>
  </si>
  <si>
    <t>Ca(OH)2</t>
  </si>
  <si>
    <t>CO2</t>
  </si>
  <si>
    <t>CaCO3</t>
  </si>
  <si>
    <t>H2O</t>
  </si>
  <si>
    <t>R1</t>
  </si>
  <si>
    <t>R2</t>
  </si>
  <si>
    <t>P1</t>
  </si>
  <si>
    <t>P2</t>
  </si>
  <si>
    <t>mass conservation: R1 + R2 = P1 + P2</t>
  </si>
  <si>
    <t>P2 = 0.18 P1</t>
  </si>
  <si>
    <t>R2 = 1.18*P1 - R1</t>
  </si>
  <si>
    <t>Calculating CO2 capture:</t>
  </si>
  <si>
    <t>CO2 captured (g)</t>
  </si>
  <si>
    <t>R1 + R2 = P1 + 0.18 P1 = 1.18 P1</t>
  </si>
  <si>
    <t>Used 10 g Ca(OH)2 input for each experiment unless otherwise stated</t>
  </si>
  <si>
    <t>3 hours dry time; seems too short</t>
  </si>
  <si>
    <t>b) Thin layer, top (removed from the high humidity by 1 inch, not wetted from bottom)</t>
  </si>
  <si>
    <t>9 days later</t>
  </si>
  <si>
    <t>10 days later</t>
  </si>
  <si>
    <t>evidence of more carbonation</t>
  </si>
  <si>
    <t>CO2 captured after 10 days</t>
  </si>
  <si>
    <t>CO2 captured after 9 days</t>
  </si>
  <si>
    <t>R2/R1 = 44/74</t>
  </si>
  <si>
    <t>R2 = 44/74 * R1</t>
  </si>
  <si>
    <t>Theoretical max CO2 capturable for 10 g Ca(OH)2</t>
  </si>
  <si>
    <t>January 18-19 - 2021</t>
  </si>
  <si>
    <t>Jan18-21</t>
  </si>
  <si>
    <t>Jan20-21</t>
  </si>
  <si>
    <t>Jan21-21a</t>
  </si>
  <si>
    <t>Jan21-21b</t>
  </si>
  <si>
    <t>Jan16-21a</t>
  </si>
  <si>
    <t>Jan16-21b</t>
  </si>
  <si>
    <t>Jan16-21c</t>
  </si>
  <si>
    <t>Jan24-21</t>
  </si>
  <si>
    <t>Jan26-21</t>
  </si>
  <si>
    <t>Jan27-21</t>
  </si>
  <si>
    <t>g CO2</t>
  </si>
  <si>
    <t>when taken out to dry, soaking in water</t>
  </si>
  <si>
    <t>25 hours</t>
  </si>
  <si>
    <t>January 31 - 2021</t>
  </si>
  <si>
    <t>mmol CO2/g Ca(OH)2</t>
  </si>
  <si>
    <t>2 days later</t>
  </si>
  <si>
    <t>1 day later</t>
  </si>
  <si>
    <t>January 29 - 2021</t>
  </si>
  <si>
    <t>January 30 - 2021 - still in progress, waiting to dry completely</t>
  </si>
  <si>
    <t>Just 5 g Ca(OH)2 in thin layer, humidified, no sucrose</t>
  </si>
  <si>
    <t>probably not dry enough?</t>
  </si>
  <si>
    <t>start exposure of powder to humid air, enclosed container, air pump with air stone, dried using faster external fan instead of box fan</t>
  </si>
  <si>
    <t>If 100% yield, this is true:</t>
  </si>
  <si>
    <t>g CO2 captured = (mass_increase)/(MW_CaCO3 - MW_Ca(OH)2) * MW_CO2</t>
  </si>
  <si>
    <t>Jan29-21</t>
  </si>
  <si>
    <t>Sucrose Addition</t>
  </si>
  <si>
    <t>1 day experiments</t>
  </si>
  <si>
    <t>12 hours</t>
  </si>
  <si>
    <t>wetted, collapsed pores in Ca(OH)2 powder</t>
  </si>
  <si>
    <t>aqueous solution of Ca(OH)2 while sonicated</t>
  </si>
  <si>
    <t>standard except thin layer of Softsoap applied to lid</t>
  </si>
  <si>
    <t>standard except moved 1 inch above humid zone, fairly dry</t>
  </si>
  <si>
    <t>Jan30-31</t>
  </si>
  <si>
    <t>standard except thin layer of Ca(OH)2; later found wetted, so collapsed pores</t>
  </si>
  <si>
    <t>actual CO2 captured</t>
  </si>
  <si>
    <t>too much product loss</t>
  </si>
  <si>
    <t>Early Experiments</t>
  </si>
  <si>
    <t>average mmol CO2/g Ca(OH)2</t>
  </si>
  <si>
    <t>not soaking in water, able to dry quickly</t>
  </si>
  <si>
    <t>Jan31-31</t>
  </si>
  <si>
    <t>standard except thin layer of Ca(OH)2, 7 hour dry time</t>
  </si>
  <si>
    <t>standard except addition of sucrose; later found wetted, so collapsed pores; 1 g sucrose</t>
  </si>
  <si>
    <t>standard except addition of sucrose; later found wetted, so collapsed pores; 5 g sucrose</t>
  </si>
  <si>
    <t>wetted, collapsed pores in Ca(OH)2+sucrose powder, sucrose created glassiness; 10 g sucrose</t>
  </si>
  <si>
    <t>wetted, collapsed pores in Ca(OH)2+sucrose powder; 1 g sucrose</t>
  </si>
  <si>
    <t>standard except used faster external fan instead of box fan; 3 hour dry time</t>
  </si>
  <si>
    <t>Weight Increase with Time</t>
  </si>
  <si>
    <t>Just 5 g Ca(OH)2 in thin layer, humidified, water level lower in reaction chamber than yesterday</t>
  </si>
  <si>
    <t>standard except thin layer of Ca(OH)2, fairly dry, short dry time (1 hour)</t>
  </si>
  <si>
    <t>standard except thin layer of Ca(OH)2 and applied carbonic anhydrase VI mixed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</si>
</sst>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76" formatCode="0.0"/>
  </numFmts>
  <fonts count="9" x14ac:knownFonts="1">
    <font>
      <sz val="12"/>
      <color theme="1"/>
      <name val="Calibri"/>
      <family val="2"/>
      <scheme val="minor"/>
    </font>
    <font>
      <b/>
      <sz val="12"/>
      <color theme="1"/>
      <name val="Calibri"/>
      <family val="2"/>
      <scheme val="minor"/>
    </font>
    <font>
      <b/>
      <sz val="16"/>
      <color theme="1"/>
      <name val="Calibri (Body)"/>
    </font>
    <font>
      <sz val="12"/>
      <color theme="1"/>
      <name val="Calibri"/>
      <family val="2"/>
      <scheme val="minor"/>
    </font>
    <font>
      <b/>
      <sz val="18"/>
      <color theme="1"/>
      <name val="Calibri"/>
      <family val="2"/>
      <scheme val="minor"/>
    </font>
    <font>
      <b/>
      <u/>
      <sz val="12"/>
      <color theme="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0" fillId="0" borderId="0" xfId="0" applyFont="1"/>
    <xf numFmtId="2" fontId="0" fillId="0" borderId="0" xfId="0" applyNumberFormat="1"/>
    <xf numFmtId="164" fontId="1" fillId="0" borderId="0" xfId="0" applyNumberFormat="1" applyFont="1"/>
    <xf numFmtId="0" fontId="0" fillId="0" borderId="0" xfId="0" quotePrefix="1"/>
    <xf numFmtId="0" fontId="0" fillId="0" borderId="0" xfId="0" applyAlignment="1">
      <alignment horizontal="right"/>
    </xf>
    <xf numFmtId="0" fontId="4" fillId="0" borderId="0" xfId="0" applyFont="1"/>
    <xf numFmtId="2" fontId="0" fillId="0" borderId="0" xfId="0" applyNumberFormat="1" applyFont="1"/>
    <xf numFmtId="18" fontId="0" fillId="0" borderId="0" xfId="0" applyNumberFormat="1"/>
    <xf numFmtId="10" fontId="0" fillId="0" borderId="0" xfId="1" applyNumberFormat="1" applyFont="1"/>
    <xf numFmtId="0" fontId="0" fillId="0" borderId="0" xfId="0" applyAlignment="1">
      <alignment horizontal="left"/>
    </xf>
    <xf numFmtId="0" fontId="1" fillId="0" borderId="0" xfId="0" applyFont="1" applyAlignment="1">
      <alignment horizontal="left"/>
    </xf>
    <xf numFmtId="0" fontId="5" fillId="0" borderId="0" xfId="0" applyFont="1" applyAlignment="1">
      <alignment horizontal="left"/>
    </xf>
    <xf numFmtId="0" fontId="5" fillId="0" borderId="0" xfId="0" applyFont="1"/>
    <xf numFmtId="9" fontId="0" fillId="0" borderId="0" xfId="1" applyFont="1"/>
    <xf numFmtId="0" fontId="0" fillId="0" borderId="0" xfId="0" applyAlignment="1">
      <alignment wrapText="1"/>
    </xf>
    <xf numFmtId="0" fontId="6" fillId="0" borderId="0" xfId="0" applyFont="1"/>
    <xf numFmtId="0" fontId="0" fillId="0" borderId="0" xfId="0" applyFont="1" applyAlignment="1">
      <alignment horizontal="right"/>
    </xf>
    <xf numFmtId="2" fontId="0" fillId="0" borderId="0" xfId="0" applyNumberFormat="1" applyAlignment="1">
      <alignment horizontal="left"/>
    </xf>
    <xf numFmtId="0" fontId="1" fillId="0" borderId="0" xfId="0" applyFont="1" applyAlignment="1">
      <alignment horizontal="center"/>
    </xf>
    <xf numFmtId="2" fontId="1" fillId="0" borderId="0" xfId="0" applyNumberFormat="1" applyFont="1"/>
    <xf numFmtId="0" fontId="7" fillId="0" borderId="0" xfId="0" applyFont="1"/>
    <xf numFmtId="0" fontId="8" fillId="0" borderId="0" xfId="0" applyFont="1" applyAlignment="1">
      <alignment horizontal="left"/>
    </xf>
    <xf numFmtId="176" fontId="0" fillId="0" borderId="0" xfId="0" applyNumberFormat="1" applyAlignment="1">
      <alignment horizontal="left"/>
    </xf>
    <xf numFmtId="176" fontId="0" fillId="0" borderId="0" xfId="0" applyNumberFormat="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Weight Increase</a:t>
            </a:r>
            <a:r>
              <a:rPr lang="en-US" sz="1600" baseline="0"/>
              <a:t> Over Time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1"/>
            <c:dispEq val="1"/>
            <c:trendlineLbl>
              <c:layout>
                <c:manualLayout>
                  <c:x val="2.403308546321202E-2"/>
                  <c:y val="0.207090526408424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Summary!$D$24:$D$26</c:f>
              <c:numCache>
                <c:formatCode>0.00</c:formatCode>
                <c:ptCount val="3"/>
                <c:pt idx="0">
                  <c:v>0.25</c:v>
                </c:pt>
                <c:pt idx="1">
                  <c:v>1</c:v>
                </c:pt>
                <c:pt idx="2" formatCode="General">
                  <c:v>2</c:v>
                </c:pt>
              </c:numCache>
            </c:numRef>
          </c:xVal>
          <c:yVal>
            <c:numRef>
              <c:f>Summary!$C$24:$C$26</c:f>
              <c:numCache>
                <c:formatCode>0.00%</c:formatCode>
                <c:ptCount val="3"/>
                <c:pt idx="0">
                  <c:v>1.7999999999999971E-2</c:v>
                </c:pt>
                <c:pt idx="1">
                  <c:v>5.0999999999999976E-2</c:v>
                </c:pt>
                <c:pt idx="2">
                  <c:v>6.4000000000000057E-2</c:v>
                </c:pt>
              </c:numCache>
            </c:numRef>
          </c:yVal>
          <c:smooth val="0"/>
          <c:extLst>
            <c:ext xmlns:c16="http://schemas.microsoft.com/office/drawing/2014/chart" uri="{C3380CC4-5D6E-409C-BE32-E72D297353CC}">
              <c16:uniqueId val="{00000000-6152-A040-A54C-6708F82B4383}"/>
            </c:ext>
          </c:extLst>
        </c:ser>
        <c:dLbls>
          <c:showLegendKey val="0"/>
          <c:showVal val="0"/>
          <c:showCatName val="0"/>
          <c:showSerName val="0"/>
          <c:showPercent val="0"/>
          <c:showBubbleSize val="0"/>
        </c:dLbls>
        <c:axId val="1703868239"/>
        <c:axId val="1703599839"/>
      </c:scatterChart>
      <c:valAx>
        <c:axId val="17038682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Time (hours)</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599839"/>
        <c:crosses val="autoZero"/>
        <c:crossBetween val="midCat"/>
      </c:valAx>
      <c:valAx>
        <c:axId val="1703599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Weight Increase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8682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441159</xdr:colOff>
      <xdr:row>16</xdr:row>
      <xdr:rowOff>133682</xdr:rowOff>
    </xdr:from>
    <xdr:to>
      <xdr:col>11</xdr:col>
      <xdr:colOff>715211</xdr:colOff>
      <xdr:row>30</xdr:row>
      <xdr:rowOff>53473</xdr:rowOff>
    </xdr:to>
    <xdr:graphicFrame macro="">
      <xdr:nvGraphicFramePr>
        <xdr:cNvPr id="4" name="Chart 3">
          <a:extLst>
            <a:ext uri="{FF2B5EF4-FFF2-40B4-BE49-F238E27FC236}">
              <a16:creationId xmlns:a16="http://schemas.microsoft.com/office/drawing/2014/main" id="{B0116DC1-0A9B-A24E-AD14-A3D964404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0CF4C-5FAD-7246-96ED-B9DF51B6340F}">
  <dimension ref="B3:I45"/>
  <sheetViews>
    <sheetView showGridLines="0" tabSelected="1" topLeftCell="A9" zoomScale="190" zoomScaleNormal="190" workbookViewId="0">
      <selection activeCell="D14" sqref="D14"/>
    </sheetView>
  </sheetViews>
  <sheetFormatPr baseColWidth="10" defaultRowHeight="16" x14ac:dyDescent="0.2"/>
  <cols>
    <col min="1" max="1" width="4.5" customWidth="1"/>
    <col min="2" max="2" width="18" customWidth="1"/>
    <col min="3" max="3" width="17.6640625" customWidth="1"/>
    <col min="4" max="4" width="23.83203125" customWidth="1"/>
    <col min="5" max="5" width="17.83203125" customWidth="1"/>
    <col min="6" max="6" width="15.33203125" customWidth="1"/>
    <col min="7" max="7" width="17.6640625" customWidth="1"/>
    <col min="8" max="8" width="15.6640625" customWidth="1"/>
    <col min="9" max="9" width="13.83203125" customWidth="1"/>
  </cols>
  <sheetData>
    <row r="3" spans="2:9" ht="24" x14ac:dyDescent="0.3">
      <c r="B3" s="8" t="s">
        <v>96</v>
      </c>
      <c r="E3" s="26"/>
      <c r="F3" s="4"/>
    </row>
    <row r="4" spans="2:9" x14ac:dyDescent="0.2">
      <c r="B4" s="25" t="s">
        <v>212</v>
      </c>
      <c r="D4" s="20">
        <f>AVERAGE(C30:C44)</f>
        <v>2.6425993044725988</v>
      </c>
    </row>
    <row r="6" spans="2:9" x14ac:dyDescent="0.2">
      <c r="B6" s="14" t="s">
        <v>211</v>
      </c>
      <c r="C6" s="13"/>
      <c r="G6" s="21"/>
      <c r="H6" s="21"/>
    </row>
    <row r="7" spans="2:9" x14ac:dyDescent="0.2">
      <c r="B7" t="s">
        <v>81</v>
      </c>
      <c r="C7" t="s">
        <v>189</v>
      </c>
      <c r="D7" s="7"/>
      <c r="E7" s="7" t="s">
        <v>45</v>
      </c>
      <c r="G7" s="7"/>
      <c r="H7" s="7"/>
      <c r="I7" s="7"/>
    </row>
    <row r="8" spans="2:9" x14ac:dyDescent="0.2">
      <c r="C8" s="7"/>
      <c r="D8" s="7"/>
      <c r="E8" s="7"/>
      <c r="G8" s="7"/>
      <c r="H8" s="7"/>
      <c r="I8" s="7"/>
    </row>
    <row r="9" spans="2:9" x14ac:dyDescent="0.2">
      <c r="B9" t="s">
        <v>90</v>
      </c>
      <c r="C9" s="7"/>
      <c r="D9" s="7"/>
      <c r="E9" s="7"/>
      <c r="G9" s="7"/>
      <c r="H9" s="7"/>
      <c r="I9" s="7"/>
    </row>
    <row r="10" spans="2:9" x14ac:dyDescent="0.2">
      <c r="B10" t="s">
        <v>82</v>
      </c>
      <c r="C10" s="4" t="s">
        <v>210</v>
      </c>
      <c r="D10" s="4"/>
      <c r="E10" t="s">
        <v>46</v>
      </c>
    </row>
    <row r="11" spans="2:9" x14ac:dyDescent="0.2">
      <c r="B11" t="s">
        <v>83</v>
      </c>
      <c r="C11" s="4" t="s">
        <v>210</v>
      </c>
      <c r="D11" s="4"/>
      <c r="E11" t="s">
        <v>46</v>
      </c>
    </row>
    <row r="12" spans="2:9" x14ac:dyDescent="0.2">
      <c r="B12" t="s">
        <v>84</v>
      </c>
      <c r="C12" s="4" t="s">
        <v>210</v>
      </c>
      <c r="D12" s="4"/>
      <c r="E12" t="s">
        <v>102</v>
      </c>
    </row>
    <row r="13" spans="2:9" x14ac:dyDescent="0.2">
      <c r="D13" s="4"/>
    </row>
    <row r="14" spans="2:9" x14ac:dyDescent="0.2">
      <c r="B14" t="s">
        <v>91</v>
      </c>
      <c r="D14" s="4"/>
    </row>
    <row r="15" spans="2:9" x14ac:dyDescent="0.2">
      <c r="B15" t="s">
        <v>86</v>
      </c>
      <c r="C15" t="s">
        <v>210</v>
      </c>
      <c r="D15" s="4"/>
      <c r="E15" t="s">
        <v>100</v>
      </c>
    </row>
    <row r="16" spans="2:9" x14ac:dyDescent="0.2">
      <c r="B16" t="s">
        <v>85</v>
      </c>
      <c r="C16" s="4">
        <f>'Jan11-21a'!C27</f>
        <v>0.62933453678103957</v>
      </c>
      <c r="D16" s="4"/>
      <c r="E16" t="s">
        <v>101</v>
      </c>
    </row>
    <row r="17" spans="2:5" x14ac:dyDescent="0.2">
      <c r="B17" t="s">
        <v>87</v>
      </c>
      <c r="C17" s="4">
        <f>'Jan12-21a'!C30</f>
        <v>0.69246163185508058</v>
      </c>
      <c r="D17" s="4"/>
      <c r="E17" t="s">
        <v>99</v>
      </c>
    </row>
    <row r="18" spans="2:5" x14ac:dyDescent="0.2">
      <c r="B18" t="s">
        <v>88</v>
      </c>
      <c r="C18" s="4">
        <f>'Jan12-21b'!C30</f>
        <v>1.9619746235893971</v>
      </c>
      <c r="D18" s="4"/>
      <c r="E18" t="s">
        <v>97</v>
      </c>
    </row>
    <row r="19" spans="2:5" x14ac:dyDescent="0.2">
      <c r="B19" t="s">
        <v>95</v>
      </c>
      <c r="C19" s="4">
        <f>'Jan13-21'!C30</f>
        <v>2.4620858021514036</v>
      </c>
      <c r="D19" s="4"/>
      <c r="E19" t="s">
        <v>98</v>
      </c>
    </row>
    <row r="21" spans="2:5" x14ac:dyDescent="0.2">
      <c r="B21" s="15" t="s">
        <v>221</v>
      </c>
    </row>
    <row r="22" spans="2:5" x14ac:dyDescent="0.2">
      <c r="B22" s="12" t="s">
        <v>81</v>
      </c>
      <c r="C22" s="7" t="s">
        <v>80</v>
      </c>
      <c r="D22" s="7" t="s">
        <v>89</v>
      </c>
      <c r="E22" s="7" t="s">
        <v>45</v>
      </c>
    </row>
    <row r="23" spans="2:5" x14ac:dyDescent="0.2">
      <c r="B23" t="s">
        <v>85</v>
      </c>
      <c r="C23" s="11">
        <f>('Jan11-21a'!C20-'Jan11-21a'!C10)/'Jan11-21a'!C10</f>
        <v>1.6359060402684436E-2</v>
      </c>
      <c r="D23" s="4">
        <v>0</v>
      </c>
      <c r="E23" t="s">
        <v>101</v>
      </c>
    </row>
    <row r="24" spans="2:5" x14ac:dyDescent="0.2">
      <c r="B24" t="s">
        <v>87</v>
      </c>
      <c r="C24" s="11">
        <f>('Jan12-21a'!C20-'Jan12-21a'!C10)/'Jan12-21a'!C10</f>
        <v>1.7999999999999971E-2</v>
      </c>
      <c r="D24" s="4">
        <f>15/60</f>
        <v>0.25</v>
      </c>
      <c r="E24" t="s">
        <v>99</v>
      </c>
    </row>
    <row r="25" spans="2:5" x14ac:dyDescent="0.2">
      <c r="B25" t="s">
        <v>88</v>
      </c>
      <c r="C25" s="11">
        <f>('Jan12-21b'!C20-'Jan12-21b'!C10)/'Jan12-21b'!C10</f>
        <v>5.0999999999999976E-2</v>
      </c>
      <c r="D25" s="4">
        <v>1</v>
      </c>
      <c r="E25" t="s">
        <v>97</v>
      </c>
    </row>
    <row r="26" spans="2:5" x14ac:dyDescent="0.2">
      <c r="B26" t="s">
        <v>95</v>
      </c>
      <c r="C26" s="11">
        <f>('Jan13-21'!C20-'Jan13-21'!C10)/'Jan13-21'!C10</f>
        <v>6.4000000000000057E-2</v>
      </c>
      <c r="D26">
        <v>2</v>
      </c>
      <c r="E26" t="s">
        <v>98</v>
      </c>
    </row>
    <row r="28" spans="2:5" x14ac:dyDescent="0.2">
      <c r="B28" s="15" t="s">
        <v>201</v>
      </c>
    </row>
    <row r="29" spans="2:5" x14ac:dyDescent="0.2">
      <c r="B29" t="s">
        <v>81</v>
      </c>
      <c r="C29" t="s">
        <v>189</v>
      </c>
      <c r="E29" s="7" t="s">
        <v>45</v>
      </c>
    </row>
    <row r="30" spans="2:5" x14ac:dyDescent="0.2">
      <c r="B30" t="s">
        <v>178</v>
      </c>
      <c r="C30" s="4">
        <f>January!N38</f>
        <v>1.2310429010757018</v>
      </c>
      <c r="E30" t="s">
        <v>206</v>
      </c>
    </row>
    <row r="31" spans="2:5" x14ac:dyDescent="0.2">
      <c r="B31" t="s">
        <v>180</v>
      </c>
      <c r="C31" s="4">
        <f>January!M14</f>
        <v>1.6542138983204715</v>
      </c>
      <c r="E31" t="s">
        <v>204</v>
      </c>
    </row>
    <row r="32" spans="2:5" x14ac:dyDescent="0.2">
      <c r="B32" t="s">
        <v>214</v>
      </c>
      <c r="C32" s="4">
        <f>January!L107</f>
        <v>1.6926839889790866</v>
      </c>
      <c r="E32" t="s">
        <v>223</v>
      </c>
    </row>
    <row r="33" spans="2:5" x14ac:dyDescent="0.2">
      <c r="B33" t="s">
        <v>179</v>
      </c>
      <c r="C33" s="4">
        <f>January!M11</f>
        <v>1.9235045329307823</v>
      </c>
      <c r="E33" t="s">
        <v>203</v>
      </c>
    </row>
    <row r="34" spans="2:5" x14ac:dyDescent="0.2">
      <c r="B34" t="s">
        <v>207</v>
      </c>
      <c r="C34" s="4">
        <f>January!L96</f>
        <v>2.7698465274203294</v>
      </c>
      <c r="E34" t="s">
        <v>208</v>
      </c>
    </row>
    <row r="35" spans="2:5" x14ac:dyDescent="0.2">
      <c r="B35" t="s">
        <v>175</v>
      </c>
      <c r="C35" s="4">
        <f>January!M23</f>
        <v>2.9237268900547884</v>
      </c>
      <c r="E35" t="s">
        <v>205</v>
      </c>
    </row>
    <row r="36" spans="2:5" x14ac:dyDescent="0.2">
      <c r="B36" t="s">
        <v>177</v>
      </c>
      <c r="C36" s="4">
        <f>January!N35</f>
        <v>3.3853679779581798</v>
      </c>
      <c r="E36" t="s">
        <v>215</v>
      </c>
    </row>
    <row r="37" spans="2:5" x14ac:dyDescent="0.2">
      <c r="B37" t="s">
        <v>176</v>
      </c>
      <c r="C37" s="4">
        <f>January!N30</f>
        <v>3.6161885219098684</v>
      </c>
      <c r="E37" t="s">
        <v>224</v>
      </c>
    </row>
    <row r="38" spans="2:5" x14ac:dyDescent="0.2">
      <c r="B38" t="s">
        <v>181</v>
      </c>
      <c r="C38" s="4">
        <f>January!M17</f>
        <v>4.8087613323269567</v>
      </c>
      <c r="E38" t="s">
        <v>220</v>
      </c>
    </row>
    <row r="39" spans="2:5" x14ac:dyDescent="0.2">
      <c r="C39" s="4"/>
    </row>
    <row r="40" spans="2:5" x14ac:dyDescent="0.2">
      <c r="B40" t="s">
        <v>200</v>
      </c>
      <c r="C40" s="4"/>
    </row>
    <row r="41" spans="2:5" x14ac:dyDescent="0.2">
      <c r="B41" t="s">
        <v>183</v>
      </c>
      <c r="C41" s="4">
        <f>January!L61</f>
        <v>1.8850344422721677</v>
      </c>
      <c r="E41" t="s">
        <v>219</v>
      </c>
    </row>
    <row r="42" spans="2:5" x14ac:dyDescent="0.2">
      <c r="B42" t="s">
        <v>199</v>
      </c>
      <c r="C42" s="4">
        <f>January!L81</f>
        <v>2.6159661647858625</v>
      </c>
      <c r="E42" t="s">
        <v>217</v>
      </c>
    </row>
    <row r="43" spans="2:5" x14ac:dyDescent="0.2">
      <c r="B43" t="s">
        <v>182</v>
      </c>
      <c r="C43" s="4">
        <f>January!L51</f>
        <v>2.8467867087375582</v>
      </c>
      <c r="E43" t="s">
        <v>218</v>
      </c>
    </row>
    <row r="44" spans="2:5" x14ac:dyDescent="0.2">
      <c r="B44" t="s">
        <v>184</v>
      </c>
      <c r="C44" s="4">
        <f>January!L71</f>
        <v>3.0006670713720252</v>
      </c>
      <c r="E44" t="s">
        <v>216</v>
      </c>
    </row>
    <row r="45" spans="2:5" x14ac:dyDescent="0.2">
      <c r="C45" s="20"/>
    </row>
  </sheetData>
  <sortState xmlns:xlrd2="http://schemas.microsoft.com/office/spreadsheetml/2017/richdata2" ref="B30:E38">
    <sortCondition ref="C30:C38"/>
  </sortState>
  <mergeCells count="1">
    <mergeCell ref="G6:H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5050B-3B32-924E-A0AF-02B405D783F3}">
  <dimension ref="B2:G35"/>
  <sheetViews>
    <sheetView zoomScale="190" zoomScaleNormal="190" workbookViewId="0">
      <selection activeCell="F33" sqref="F33"/>
    </sheetView>
  </sheetViews>
  <sheetFormatPr baseColWidth="10" defaultRowHeight="16" x14ac:dyDescent="0.2"/>
  <cols>
    <col min="1" max="1" width="6.1640625" customWidth="1"/>
    <col min="2" max="2" width="72.1640625" customWidth="1"/>
  </cols>
  <sheetData>
    <row r="2" spans="2:7" ht="21" x14ac:dyDescent="0.25">
      <c r="B2" s="2" t="s">
        <v>27</v>
      </c>
    </row>
    <row r="3" spans="2:7" x14ac:dyDescent="0.2">
      <c r="B3" t="s">
        <v>26</v>
      </c>
    </row>
    <row r="5" spans="2:7" x14ac:dyDescent="0.2">
      <c r="B5" t="s">
        <v>16</v>
      </c>
    </row>
    <row r="6" spans="2:7" x14ac:dyDescent="0.2">
      <c r="B6" t="s">
        <v>9</v>
      </c>
    </row>
    <row r="7" spans="2:7" x14ac:dyDescent="0.2">
      <c r="B7" t="s">
        <v>18</v>
      </c>
    </row>
    <row r="8" spans="2:7" x14ac:dyDescent="0.2">
      <c r="B8" s="3" t="s">
        <v>24</v>
      </c>
    </row>
    <row r="9" spans="2:7" x14ac:dyDescent="0.2">
      <c r="B9" s="6" t="s">
        <v>28</v>
      </c>
    </row>
    <row r="10" spans="2:7" x14ac:dyDescent="0.2">
      <c r="B10" s="6" t="s">
        <v>25</v>
      </c>
    </row>
    <row r="12" spans="2:7" x14ac:dyDescent="0.2">
      <c r="C12" s="1" t="s">
        <v>2</v>
      </c>
      <c r="D12" s="1" t="s">
        <v>3</v>
      </c>
      <c r="E12" s="1" t="s">
        <v>1</v>
      </c>
    </row>
    <row r="13" spans="2:7" x14ac:dyDescent="0.2">
      <c r="B13" t="s">
        <v>8</v>
      </c>
      <c r="C13">
        <v>22.2</v>
      </c>
      <c r="D13">
        <v>110.98399999999999</v>
      </c>
      <c r="E13">
        <f>C13/D13</f>
        <v>0.20002883298493476</v>
      </c>
      <c r="G13" s="1" t="s">
        <v>14</v>
      </c>
    </row>
    <row r="14" spans="2:7" x14ac:dyDescent="0.2">
      <c r="B14" t="s">
        <v>10</v>
      </c>
      <c r="C14">
        <v>7.99</v>
      </c>
      <c r="D14">
        <v>39.997109999999999</v>
      </c>
      <c r="E14">
        <f>C14/D14</f>
        <v>0.19976443298028285</v>
      </c>
      <c r="G14" t="s">
        <v>13</v>
      </c>
    </row>
    <row r="15" spans="2:7" x14ac:dyDescent="0.2">
      <c r="B15" t="s">
        <v>15</v>
      </c>
    </row>
    <row r="16" spans="2:7" x14ac:dyDescent="0.2">
      <c r="B16" t="s">
        <v>29</v>
      </c>
    </row>
    <row r="17" spans="2:7" x14ac:dyDescent="0.2">
      <c r="C17" s="1" t="s">
        <v>2</v>
      </c>
      <c r="D17" s="1" t="s">
        <v>3</v>
      </c>
      <c r="E17" s="1" t="s">
        <v>1</v>
      </c>
    </row>
    <row r="18" spans="2:7" x14ac:dyDescent="0.2">
      <c r="B18" t="s">
        <v>11</v>
      </c>
      <c r="C18" s="4">
        <f>E18*D18</f>
        <v>7.4005411040947715</v>
      </c>
      <c r="D18">
        <v>74.092680000000001</v>
      </c>
      <c r="E18">
        <f>E14/2</f>
        <v>9.9882216490141423E-2</v>
      </c>
      <c r="G18" s="1" t="s">
        <v>59</v>
      </c>
    </row>
    <row r="19" spans="2:7" x14ac:dyDescent="0.2">
      <c r="B19" t="s">
        <v>53</v>
      </c>
      <c r="C19" s="4">
        <f>E19*D19</f>
        <v>9.9969014136271355</v>
      </c>
      <c r="D19">
        <v>100.0869</v>
      </c>
      <c r="E19">
        <f>E18</f>
        <v>9.9882216490141423E-2</v>
      </c>
      <c r="G19" t="s">
        <v>12</v>
      </c>
    </row>
    <row r="20" spans="2:7" x14ac:dyDescent="0.2">
      <c r="B20" t="s">
        <v>58</v>
      </c>
    </row>
    <row r="22" spans="2:7" x14ac:dyDescent="0.2">
      <c r="B22" s="1" t="s">
        <v>4</v>
      </c>
      <c r="C22" s="1" t="s">
        <v>2</v>
      </c>
      <c r="D22" s="1" t="s">
        <v>3</v>
      </c>
      <c r="E22" s="1" t="s">
        <v>1</v>
      </c>
    </row>
    <row r="23" spans="2:7" x14ac:dyDescent="0.2">
      <c r="B23" t="s">
        <v>0</v>
      </c>
      <c r="C23">
        <v>0.83</v>
      </c>
    </row>
    <row r="24" spans="2:7" x14ac:dyDescent="0.2">
      <c r="B24" t="s">
        <v>52</v>
      </c>
      <c r="C24">
        <v>4.8600000000000003</v>
      </c>
    </row>
    <row r="25" spans="2:7" x14ac:dyDescent="0.2">
      <c r="B25" t="s">
        <v>54</v>
      </c>
      <c r="C25">
        <f>C24-C23</f>
        <v>4.03</v>
      </c>
      <c r="D25">
        <f>D19</f>
        <v>100.0869</v>
      </c>
      <c r="E25">
        <f>C25/D25</f>
        <v>4.0265009706564998E-2</v>
      </c>
    </row>
    <row r="26" spans="2:7" x14ac:dyDescent="0.2">
      <c r="B26" t="s">
        <v>67</v>
      </c>
      <c r="C26" s="4">
        <f>C25-C18</f>
        <v>-3.3705411040947713</v>
      </c>
    </row>
    <row r="28" spans="2:7" x14ac:dyDescent="0.2">
      <c r="C28" s="4"/>
    </row>
    <row r="30" spans="2:7" x14ac:dyDescent="0.2">
      <c r="C30" s="1"/>
      <c r="D30" s="1"/>
    </row>
    <row r="32" spans="2:7" x14ac:dyDescent="0.2">
      <c r="C32" s="5"/>
      <c r="D32" s="1"/>
    </row>
    <row r="34" spans="3:4" x14ac:dyDescent="0.2">
      <c r="C34" s="5"/>
      <c r="D34" s="1"/>
    </row>
    <row r="35" spans="3:4" x14ac:dyDescent="0.2">
      <c r="D3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5FA4-20A0-C24D-9A92-290F9A0304AF}">
  <dimension ref="B2:R108"/>
  <sheetViews>
    <sheetView topLeftCell="A77" zoomScale="190" zoomScaleNormal="190" workbookViewId="0">
      <selection activeCell="L108" sqref="L108"/>
    </sheetView>
  </sheetViews>
  <sheetFormatPr baseColWidth="10" defaultRowHeight="16" x14ac:dyDescent="0.2"/>
  <cols>
    <col min="1" max="1" width="6.1640625" customWidth="1"/>
    <col min="2" max="2" width="57.6640625" customWidth="1"/>
    <col min="3" max="3" width="17.33203125" customWidth="1"/>
    <col min="5" max="5" width="10.83203125" customWidth="1"/>
    <col min="9" max="9" width="15.1640625" customWidth="1"/>
    <col min="12" max="12" width="14.5" customWidth="1"/>
    <col min="13" max="13" width="13" bestFit="1" customWidth="1"/>
  </cols>
  <sheetData>
    <row r="2" spans="2:18" ht="21" x14ac:dyDescent="0.25">
      <c r="B2" s="2" t="s">
        <v>135</v>
      </c>
    </row>
    <row r="3" spans="2:18" ht="21" x14ac:dyDescent="0.25">
      <c r="B3" s="2"/>
      <c r="H3" s="1" t="s">
        <v>160</v>
      </c>
      <c r="M3" t="s">
        <v>197</v>
      </c>
      <c r="P3" t="s">
        <v>173</v>
      </c>
    </row>
    <row r="4" spans="2:18" x14ac:dyDescent="0.2">
      <c r="B4" t="s">
        <v>163</v>
      </c>
      <c r="C4" s="7" t="s">
        <v>149</v>
      </c>
      <c r="D4" s="7" t="s">
        <v>150</v>
      </c>
      <c r="E4" s="7" t="s">
        <v>151</v>
      </c>
      <c r="F4" s="7" t="s">
        <v>152</v>
      </c>
      <c r="H4" s="24" t="s">
        <v>198</v>
      </c>
      <c r="O4" s="7" t="s">
        <v>157</v>
      </c>
      <c r="Q4" t="s">
        <v>171</v>
      </c>
    </row>
    <row r="5" spans="2:18" x14ac:dyDescent="0.2">
      <c r="C5" s="7">
        <v>74.092680000000001</v>
      </c>
      <c r="D5" s="7">
        <v>44.009500000000003</v>
      </c>
      <c r="E5" s="7">
        <v>100.0869</v>
      </c>
      <c r="F5" s="7">
        <v>18.015280000000001</v>
      </c>
      <c r="G5" t="s">
        <v>3</v>
      </c>
      <c r="N5" t="s">
        <v>158</v>
      </c>
      <c r="Q5" t="s">
        <v>172</v>
      </c>
    </row>
    <row r="6" spans="2:18" x14ac:dyDescent="0.2">
      <c r="B6" s="1" t="s">
        <v>59</v>
      </c>
      <c r="C6" s="19" t="s">
        <v>153</v>
      </c>
      <c r="D6" s="19" t="s">
        <v>154</v>
      </c>
      <c r="E6" s="19" t="s">
        <v>155</v>
      </c>
      <c r="F6" s="19" t="s">
        <v>156</v>
      </c>
      <c r="N6" t="s">
        <v>162</v>
      </c>
      <c r="Q6" s="22">
        <f>D5/C5*10</f>
        <v>5.9397905434113065</v>
      </c>
      <c r="R6" s="1" t="s">
        <v>185</v>
      </c>
    </row>
    <row r="7" spans="2:18" x14ac:dyDescent="0.2">
      <c r="B7" t="s">
        <v>12</v>
      </c>
      <c r="N7" s="19" t="s">
        <v>159</v>
      </c>
      <c r="Q7" s="22">
        <f>Q6/$D$5*1000/J11</f>
        <v>13.496609921519914</v>
      </c>
      <c r="R7" s="1" t="s">
        <v>189</v>
      </c>
    </row>
    <row r="8" spans="2:18" x14ac:dyDescent="0.2">
      <c r="C8" s="4"/>
    </row>
    <row r="9" spans="2:18" x14ac:dyDescent="0.2">
      <c r="B9" s="1" t="s">
        <v>134</v>
      </c>
      <c r="C9" s="4"/>
    </row>
    <row r="10" spans="2:18" x14ac:dyDescent="0.2">
      <c r="B10" t="s">
        <v>106</v>
      </c>
      <c r="C10" t="s">
        <v>106</v>
      </c>
      <c r="D10" t="s">
        <v>105</v>
      </c>
      <c r="E10" t="s">
        <v>104</v>
      </c>
      <c r="F10" t="s">
        <v>107</v>
      </c>
      <c r="G10" t="s">
        <v>108</v>
      </c>
      <c r="H10" t="s">
        <v>112</v>
      </c>
      <c r="I10" t="s">
        <v>109</v>
      </c>
      <c r="J10" t="s">
        <v>110</v>
      </c>
      <c r="K10" t="s">
        <v>111</v>
      </c>
      <c r="L10" s="1" t="s">
        <v>161</v>
      </c>
      <c r="M10" s="1" t="s">
        <v>189</v>
      </c>
    </row>
    <row r="11" spans="2:18" x14ac:dyDescent="0.2">
      <c r="C11" s="10">
        <v>0.80208333333333337</v>
      </c>
      <c r="D11" s="10">
        <v>0.8125</v>
      </c>
      <c r="E11" s="10">
        <v>0.4375</v>
      </c>
      <c r="F11">
        <v>11.38</v>
      </c>
      <c r="G11">
        <v>0.88</v>
      </c>
      <c r="H11">
        <v>0</v>
      </c>
      <c r="I11">
        <f>F11-(G11+H11)</f>
        <v>10.5</v>
      </c>
      <c r="J11">
        <v>10</v>
      </c>
      <c r="K11" s="16">
        <f>(I11-J11)/J11</f>
        <v>0.05</v>
      </c>
      <c r="L11" s="22">
        <f>(I11-J11)/($E$5-$C$5)*$D$5</f>
        <v>0.84652472742017271</v>
      </c>
      <c r="M11" s="22">
        <f>L11/$D$5*1000/J11</f>
        <v>1.9235045329307823</v>
      </c>
    </row>
    <row r="13" spans="2:18" x14ac:dyDescent="0.2">
      <c r="B13" t="s">
        <v>103</v>
      </c>
      <c r="C13" t="s">
        <v>103</v>
      </c>
      <c r="D13" t="s">
        <v>105</v>
      </c>
      <c r="E13" t="s">
        <v>104</v>
      </c>
      <c r="F13" t="s">
        <v>107</v>
      </c>
      <c r="G13" t="s">
        <v>108</v>
      </c>
      <c r="H13" t="s">
        <v>112</v>
      </c>
      <c r="I13" t="s">
        <v>109</v>
      </c>
      <c r="J13" t="s">
        <v>110</v>
      </c>
      <c r="K13" t="s">
        <v>111</v>
      </c>
      <c r="L13" s="1" t="s">
        <v>161</v>
      </c>
      <c r="M13" s="1" t="s">
        <v>189</v>
      </c>
    </row>
    <row r="14" spans="2:18" x14ac:dyDescent="0.2">
      <c r="C14" s="10">
        <v>0.83888888888888891</v>
      </c>
      <c r="D14" s="10">
        <v>0.88055555555555554</v>
      </c>
      <c r="E14" s="10">
        <v>0.4375</v>
      </c>
      <c r="F14">
        <v>13.27</v>
      </c>
      <c r="G14">
        <v>0.84</v>
      </c>
      <c r="H14">
        <v>2</v>
      </c>
      <c r="I14">
        <f>F14-(G14+H14)</f>
        <v>10.43</v>
      </c>
      <c r="J14">
        <v>10</v>
      </c>
      <c r="K14" s="16">
        <f>(I14-J14)/J14</f>
        <v>4.2999999999999969E-2</v>
      </c>
      <c r="L14" s="22">
        <f>(I14-J14)/($E$5-$C$5)*$D$5</f>
        <v>0.72801126558134799</v>
      </c>
      <c r="M14" s="22">
        <f>L14/$D$5*1000/J14</f>
        <v>1.6542138983204715</v>
      </c>
      <c r="N14" t="s">
        <v>113</v>
      </c>
    </row>
    <row r="16" spans="2:18" ht="36" customHeight="1" x14ac:dyDescent="0.2">
      <c r="B16" s="17" t="s">
        <v>196</v>
      </c>
      <c r="C16" t="s">
        <v>129</v>
      </c>
      <c r="D16" t="s">
        <v>115</v>
      </c>
      <c r="E16" t="s">
        <v>104</v>
      </c>
      <c r="F16" t="s">
        <v>107</v>
      </c>
      <c r="G16" t="s">
        <v>108</v>
      </c>
      <c r="H16" t="s">
        <v>112</v>
      </c>
      <c r="I16" t="s">
        <v>109</v>
      </c>
      <c r="J16" t="s">
        <v>110</v>
      </c>
      <c r="K16" t="s">
        <v>111</v>
      </c>
      <c r="L16" s="1" t="s">
        <v>161</v>
      </c>
      <c r="M16" s="1" t="s">
        <v>189</v>
      </c>
    </row>
    <row r="17" spans="2:14" x14ac:dyDescent="0.2">
      <c r="C17" s="10">
        <v>0.8881944444444444</v>
      </c>
      <c r="D17" s="10">
        <v>0.42986111111111108</v>
      </c>
      <c r="E17" s="10">
        <v>5.6944444444444443E-2</v>
      </c>
      <c r="F17">
        <v>12.11</v>
      </c>
      <c r="G17">
        <v>0.86</v>
      </c>
      <c r="H17">
        <v>0</v>
      </c>
      <c r="I17">
        <f>F17-(G17+H17)</f>
        <v>11.25</v>
      </c>
      <c r="J17">
        <v>10</v>
      </c>
      <c r="K17" s="11">
        <f>(I17-J17)/J17</f>
        <v>0.125</v>
      </c>
      <c r="L17" s="22">
        <f>(I17-J17)/($E$5-$C$5)*$D$5</f>
        <v>2.1163118185504319</v>
      </c>
      <c r="M17" s="22">
        <f>L17/$D$5*1000/J17</f>
        <v>4.8087613323269567</v>
      </c>
      <c r="N17" t="s">
        <v>195</v>
      </c>
    </row>
    <row r="18" spans="2:14" x14ac:dyDescent="0.2">
      <c r="E18" s="10">
        <v>8.0555555555555561E-2</v>
      </c>
      <c r="F18">
        <v>12.12</v>
      </c>
    </row>
    <row r="19" spans="2:14" x14ac:dyDescent="0.2">
      <c r="E19" t="s">
        <v>164</v>
      </c>
    </row>
    <row r="21" spans="2:14" x14ac:dyDescent="0.2">
      <c r="B21" s="1" t="s">
        <v>174</v>
      </c>
    </row>
    <row r="22" spans="2:14" ht="68" x14ac:dyDescent="0.2">
      <c r="B22" s="17" t="s">
        <v>116</v>
      </c>
      <c r="C22" t="s">
        <v>129</v>
      </c>
      <c r="D22" t="s">
        <v>115</v>
      </c>
      <c r="E22" t="s">
        <v>104</v>
      </c>
      <c r="F22" t="s">
        <v>107</v>
      </c>
      <c r="G22" t="s">
        <v>108</v>
      </c>
      <c r="H22" t="s">
        <v>112</v>
      </c>
      <c r="I22" t="s">
        <v>109</v>
      </c>
      <c r="J22" t="s">
        <v>110</v>
      </c>
      <c r="K22" t="s">
        <v>111</v>
      </c>
      <c r="L22" s="1" t="s">
        <v>161</v>
      </c>
      <c r="M22" s="1" t="s">
        <v>189</v>
      </c>
    </row>
    <row r="23" spans="2:14" x14ac:dyDescent="0.2">
      <c r="C23" s="10">
        <v>0.99305555555555547</v>
      </c>
      <c r="D23" s="10">
        <v>0.53472222222222221</v>
      </c>
      <c r="E23" s="10">
        <v>0.61527777777777781</v>
      </c>
      <c r="F23" s="4">
        <v>15.74</v>
      </c>
      <c r="G23" s="4">
        <v>0.86</v>
      </c>
      <c r="H23">
        <v>0</v>
      </c>
      <c r="I23" s="4">
        <f>F26-(G23+H23)</f>
        <v>10.76</v>
      </c>
      <c r="J23">
        <v>10</v>
      </c>
      <c r="K23" s="11">
        <f>(I23-J23)/J23</f>
        <v>7.5999999999999984E-2</v>
      </c>
      <c r="L23" s="22">
        <f>(I23-J23)/($E$5-$C$5)*$D$5</f>
        <v>1.2867175856786621</v>
      </c>
      <c r="M23" s="22">
        <f>L23/$D$5*1000/J23</f>
        <v>2.9237268900547884</v>
      </c>
    </row>
    <row r="24" spans="2:14" x14ac:dyDescent="0.2">
      <c r="E24" s="10">
        <v>0.66666666666666663</v>
      </c>
      <c r="F24">
        <v>13.3</v>
      </c>
    </row>
    <row r="25" spans="2:14" x14ac:dyDescent="0.2">
      <c r="E25" s="10">
        <v>0.6791666666666667</v>
      </c>
      <c r="F25">
        <v>12.71</v>
      </c>
    </row>
    <row r="26" spans="2:14" x14ac:dyDescent="0.2">
      <c r="E26" s="10">
        <v>0.79583333333333339</v>
      </c>
      <c r="F26">
        <v>11.62</v>
      </c>
    </row>
    <row r="28" spans="2:14" x14ac:dyDescent="0.2">
      <c r="B28" s="1" t="s">
        <v>114</v>
      </c>
    </row>
    <row r="29" spans="2:14" ht="51" x14ac:dyDescent="0.2">
      <c r="B29" s="17" t="s">
        <v>117</v>
      </c>
      <c r="C29" t="s">
        <v>129</v>
      </c>
      <c r="D29" t="s">
        <v>115</v>
      </c>
      <c r="E29" t="s">
        <v>104</v>
      </c>
      <c r="F29" t="s">
        <v>107</v>
      </c>
      <c r="G29" t="s">
        <v>108</v>
      </c>
      <c r="H29" t="s">
        <v>112</v>
      </c>
      <c r="I29" t="s">
        <v>109</v>
      </c>
      <c r="J29" t="s">
        <v>110</v>
      </c>
      <c r="K29" t="s">
        <v>111</v>
      </c>
      <c r="L29" s="1" t="s">
        <v>161</v>
      </c>
      <c r="M29" s="17" t="s">
        <v>169</v>
      </c>
      <c r="N29" s="1" t="s">
        <v>189</v>
      </c>
    </row>
    <row r="30" spans="2:14" x14ac:dyDescent="0.2">
      <c r="C30" s="10">
        <v>0.85763888888888884</v>
      </c>
      <c r="D30" s="10">
        <v>0.44236111111111115</v>
      </c>
      <c r="E30" s="10">
        <v>0.64861111111111114</v>
      </c>
      <c r="F30">
        <v>16.57</v>
      </c>
      <c r="G30">
        <f>0.87 + 0.86</f>
        <v>1.73</v>
      </c>
      <c r="H30">
        <v>0</v>
      </c>
      <c r="I30" s="4">
        <f>F31-(G30+H30)</f>
        <v>10.94</v>
      </c>
      <c r="J30">
        <v>10</v>
      </c>
      <c r="K30" s="11">
        <f>(I30-J30)/J30</f>
        <v>9.3999999999999945E-2</v>
      </c>
      <c r="L30" s="22">
        <f>(I30-J30)/($E$5-$C$5)*$D$5</f>
        <v>1.5914664875499238</v>
      </c>
      <c r="M30" s="22">
        <f>((F32-G30)-J30)/($E$5-$C$5)*$D$5</f>
        <v>1.7777019275823609</v>
      </c>
      <c r="N30" s="22">
        <f>L30/$D$5*1000/J30</f>
        <v>3.6161885219098684</v>
      </c>
    </row>
    <row r="31" spans="2:14" x14ac:dyDescent="0.2">
      <c r="E31" s="10">
        <v>0.85902777777777783</v>
      </c>
      <c r="F31">
        <v>12.67</v>
      </c>
    </row>
    <row r="32" spans="2:14" x14ac:dyDescent="0.2">
      <c r="E32" s="10" t="s">
        <v>167</v>
      </c>
      <c r="F32">
        <v>12.78</v>
      </c>
      <c r="G32" t="s">
        <v>168</v>
      </c>
    </row>
    <row r="33" spans="2:14" x14ac:dyDescent="0.2">
      <c r="B33" s="1" t="s">
        <v>118</v>
      </c>
    </row>
    <row r="34" spans="2:14" ht="34" x14ac:dyDescent="0.2">
      <c r="B34" t="s">
        <v>133</v>
      </c>
      <c r="C34" t="s">
        <v>129</v>
      </c>
      <c r="D34" t="s">
        <v>115</v>
      </c>
      <c r="E34" t="s">
        <v>104</v>
      </c>
      <c r="F34" t="s">
        <v>107</v>
      </c>
      <c r="G34" t="s">
        <v>108</v>
      </c>
      <c r="H34" t="s">
        <v>112</v>
      </c>
      <c r="I34" t="s">
        <v>109</v>
      </c>
      <c r="J34" t="s">
        <v>110</v>
      </c>
      <c r="K34" t="s">
        <v>111</v>
      </c>
      <c r="L34" s="1" t="s">
        <v>161</v>
      </c>
      <c r="M34" s="17" t="s">
        <v>170</v>
      </c>
      <c r="N34" s="1" t="s">
        <v>189</v>
      </c>
    </row>
    <row r="35" spans="2:14" x14ac:dyDescent="0.2">
      <c r="C35" s="10">
        <v>0.97916666666666663</v>
      </c>
      <c r="D35" s="10">
        <v>0.4458333333333333</v>
      </c>
      <c r="E35" s="10">
        <v>0.73611111111111116</v>
      </c>
      <c r="F35">
        <v>11.73</v>
      </c>
      <c r="G35">
        <v>0.85</v>
      </c>
      <c r="H35">
        <v>0</v>
      </c>
      <c r="I35" s="4">
        <f>F35-(G35+H35)</f>
        <v>10.88</v>
      </c>
      <c r="J35">
        <v>10</v>
      </c>
      <c r="K35" s="11">
        <f>(I35-J35)/J35</f>
        <v>8.8000000000000078E-2</v>
      </c>
      <c r="L35" s="22">
        <f>(I35-J35)/($E$5-$C$5)*$D$5</f>
        <v>1.4898835202595053</v>
      </c>
      <c r="M35" s="22">
        <f>((F36-G35)-J35)/($E$5-$C$5)*$D$5</f>
        <v>1.6253274766467332</v>
      </c>
      <c r="N35" s="22">
        <f>L35/$D$5*1000/J35</f>
        <v>3.3853679779581798</v>
      </c>
    </row>
    <row r="36" spans="2:14" x14ac:dyDescent="0.2">
      <c r="B36" s="10"/>
      <c r="C36" s="10"/>
      <c r="E36" s="10" t="s">
        <v>166</v>
      </c>
      <c r="F36">
        <v>11.81</v>
      </c>
      <c r="G36" t="s">
        <v>168</v>
      </c>
      <c r="I36" s="4"/>
      <c r="K36" s="11"/>
    </row>
    <row r="37" spans="2:14" ht="34" x14ac:dyDescent="0.2">
      <c r="B37" s="17" t="s">
        <v>165</v>
      </c>
      <c r="C37" t="s">
        <v>129</v>
      </c>
      <c r="D37" t="s">
        <v>115</v>
      </c>
      <c r="E37" t="s">
        <v>104</v>
      </c>
      <c r="F37" t="s">
        <v>107</v>
      </c>
      <c r="G37" t="s">
        <v>108</v>
      </c>
      <c r="H37" t="s">
        <v>112</v>
      </c>
      <c r="I37" t="s">
        <v>109</v>
      </c>
      <c r="J37" t="s">
        <v>110</v>
      </c>
      <c r="K37" t="s">
        <v>111</v>
      </c>
      <c r="L37" s="1" t="s">
        <v>161</v>
      </c>
      <c r="M37" s="17" t="s">
        <v>170</v>
      </c>
      <c r="N37" s="1" t="s">
        <v>189</v>
      </c>
    </row>
    <row r="38" spans="2:14" x14ac:dyDescent="0.2">
      <c r="C38" s="10">
        <v>0.97916666666666663</v>
      </c>
      <c r="D38" s="10">
        <v>0.4458333333333333</v>
      </c>
      <c r="E38" s="10">
        <v>0.73611111111111116</v>
      </c>
      <c r="F38">
        <v>11.17</v>
      </c>
      <c r="G38">
        <v>0.85</v>
      </c>
      <c r="H38">
        <v>0</v>
      </c>
      <c r="I38" s="4">
        <f>F38-(G38+H38)</f>
        <v>10.32</v>
      </c>
      <c r="J38">
        <v>10</v>
      </c>
      <c r="K38" s="11">
        <f>(I38-J38)/J38</f>
        <v>3.2000000000000028E-2</v>
      </c>
      <c r="L38" s="22">
        <f>(I38-J38)/($E$5-$C$5)*$D$5</f>
        <v>0.54177582554891102</v>
      </c>
      <c r="M38" s="22">
        <f>((F39-G38)-J38)/($E$5-$C$5)*$D$5</f>
        <v>1.794632422130767</v>
      </c>
      <c r="N38" s="22">
        <f>L38/$D$5*1000/J38</f>
        <v>1.2310429010757018</v>
      </c>
    </row>
    <row r="39" spans="2:14" x14ac:dyDescent="0.2">
      <c r="C39" s="10"/>
      <c r="D39" s="10"/>
      <c r="E39" s="10" t="s">
        <v>166</v>
      </c>
      <c r="F39">
        <v>11.91</v>
      </c>
      <c r="G39" t="s">
        <v>168</v>
      </c>
      <c r="I39" s="4"/>
      <c r="K39" s="11"/>
    </row>
    <row r="40" spans="2:14" x14ac:dyDescent="0.2">
      <c r="C40" s="10"/>
      <c r="D40" s="10"/>
      <c r="E40" s="10"/>
      <c r="I40" s="4"/>
      <c r="K40" s="11"/>
    </row>
    <row r="41" spans="2:14" x14ac:dyDescent="0.2">
      <c r="B41" s="1" t="s">
        <v>145</v>
      </c>
      <c r="C41" s="10"/>
      <c r="D41" s="10"/>
      <c r="E41" s="10"/>
      <c r="I41" s="4"/>
      <c r="K41" s="11"/>
    </row>
    <row r="43" spans="2:14" x14ac:dyDescent="0.2">
      <c r="B43" s="1" t="s">
        <v>119</v>
      </c>
    </row>
    <row r="44" spans="2:14" ht="34" x14ac:dyDescent="0.2">
      <c r="B44" s="17" t="s">
        <v>137</v>
      </c>
      <c r="C44" t="s">
        <v>120</v>
      </c>
    </row>
    <row r="45" spans="2:14" x14ac:dyDescent="0.2">
      <c r="B45" t="s">
        <v>121</v>
      </c>
      <c r="C45">
        <v>10</v>
      </c>
      <c r="D45" t="s">
        <v>2</v>
      </c>
    </row>
    <row r="46" spans="2:14" x14ac:dyDescent="0.2">
      <c r="B46" t="s">
        <v>144</v>
      </c>
      <c r="C46">
        <v>10.029999999999999</v>
      </c>
      <c r="D46" t="s">
        <v>2</v>
      </c>
    </row>
    <row r="47" spans="2:14" x14ac:dyDescent="0.2">
      <c r="B47" t="s">
        <v>108</v>
      </c>
      <c r="C47">
        <v>0.86</v>
      </c>
      <c r="D47" t="s">
        <v>2</v>
      </c>
    </row>
    <row r="48" spans="2:14" x14ac:dyDescent="0.2">
      <c r="B48" t="s">
        <v>131</v>
      </c>
      <c r="C48">
        <v>29.15</v>
      </c>
      <c r="D48" t="s">
        <v>2</v>
      </c>
    </row>
    <row r="50" spans="2:12" x14ac:dyDescent="0.2">
      <c r="C50" t="s">
        <v>136</v>
      </c>
      <c r="D50" t="s">
        <v>115</v>
      </c>
      <c r="E50" t="s">
        <v>104</v>
      </c>
      <c r="F50" t="s">
        <v>123</v>
      </c>
      <c r="G50" t="s">
        <v>108</v>
      </c>
      <c r="H50" t="s">
        <v>122</v>
      </c>
      <c r="I50" t="s">
        <v>110</v>
      </c>
      <c r="J50" t="s">
        <v>111</v>
      </c>
      <c r="K50" s="1" t="s">
        <v>161</v>
      </c>
      <c r="L50" s="1" t="s">
        <v>189</v>
      </c>
    </row>
    <row r="51" spans="2:12" x14ac:dyDescent="0.2">
      <c r="C51" s="10">
        <v>9.0277777777777787E-3</v>
      </c>
      <c r="D51" s="10">
        <v>9.0277777777777787E-3</v>
      </c>
      <c r="E51" s="10">
        <v>0.84513888888888899</v>
      </c>
      <c r="F51">
        <v>23.37</v>
      </c>
      <c r="G51">
        <f>C47</f>
        <v>0.86</v>
      </c>
      <c r="H51">
        <f>F51-G51</f>
        <v>22.51</v>
      </c>
      <c r="I51">
        <f>SUM(C45:C46)</f>
        <v>20.03</v>
      </c>
      <c r="J51" s="16">
        <f>(H53-I51)/I51</f>
        <v>3.6944583125311951E-2</v>
      </c>
      <c r="K51" s="22">
        <f>((H53-C46)-C45)/($E$5-$C$5)*$D$5</f>
        <v>1.2528565965818559</v>
      </c>
      <c r="L51" s="22">
        <f>K51/$D$5*1000/C45</f>
        <v>2.8467867087375582</v>
      </c>
    </row>
    <row r="52" spans="2:12" x14ac:dyDescent="0.2">
      <c r="C52" t="s">
        <v>143</v>
      </c>
      <c r="D52" t="s">
        <v>138</v>
      </c>
      <c r="E52" t="s">
        <v>142</v>
      </c>
    </row>
    <row r="53" spans="2:12" x14ac:dyDescent="0.2">
      <c r="B53" s="1" t="s">
        <v>124</v>
      </c>
      <c r="E53" t="s">
        <v>190</v>
      </c>
      <c r="F53">
        <v>21.63</v>
      </c>
      <c r="H53">
        <f>F53-G51</f>
        <v>20.77</v>
      </c>
    </row>
    <row r="54" spans="2:12" ht="51" x14ac:dyDescent="0.2">
      <c r="B54" s="17" t="s">
        <v>132</v>
      </c>
    </row>
    <row r="55" spans="2:12" x14ac:dyDescent="0.2">
      <c r="B55" t="s">
        <v>121</v>
      </c>
      <c r="C55">
        <v>10</v>
      </c>
      <c r="D55" t="s">
        <v>2</v>
      </c>
    </row>
    <row r="56" spans="2:12" x14ac:dyDescent="0.2">
      <c r="B56" t="s">
        <v>125</v>
      </c>
      <c r="C56">
        <v>1.01</v>
      </c>
      <c r="D56" t="s">
        <v>2</v>
      </c>
    </row>
    <row r="57" spans="2:12" x14ac:dyDescent="0.2">
      <c r="B57" t="s">
        <v>108</v>
      </c>
      <c r="C57">
        <v>0.86</v>
      </c>
      <c r="D57" t="s">
        <v>2</v>
      </c>
    </row>
    <row r="58" spans="2:12" x14ac:dyDescent="0.2">
      <c r="B58" t="s">
        <v>131</v>
      </c>
      <c r="C58">
        <f>SUM(C55:C57)</f>
        <v>11.87</v>
      </c>
      <c r="D58" t="s">
        <v>2</v>
      </c>
    </row>
    <row r="60" spans="2:12" ht="34" x14ac:dyDescent="0.2">
      <c r="B60" s="17" t="s">
        <v>127</v>
      </c>
      <c r="C60" t="s">
        <v>136</v>
      </c>
      <c r="D60" t="s">
        <v>115</v>
      </c>
      <c r="E60" t="s">
        <v>104</v>
      </c>
      <c r="F60" t="s">
        <v>123</v>
      </c>
      <c r="G60" t="s">
        <v>108</v>
      </c>
      <c r="H60" t="s">
        <v>122</v>
      </c>
      <c r="I60" t="s">
        <v>110</v>
      </c>
      <c r="J60" t="s">
        <v>111</v>
      </c>
      <c r="K60" s="1" t="s">
        <v>161</v>
      </c>
      <c r="L60" s="1" t="s">
        <v>189</v>
      </c>
    </row>
    <row r="61" spans="2:12" x14ac:dyDescent="0.2">
      <c r="C61" s="10">
        <v>0.88541666666666663</v>
      </c>
      <c r="D61" s="10">
        <v>0.88541666666666663</v>
      </c>
      <c r="E61" s="10">
        <v>0.4770833333333333</v>
      </c>
      <c r="F61">
        <v>12.36</v>
      </c>
      <c r="G61">
        <f>C57</f>
        <v>0.86</v>
      </c>
      <c r="H61">
        <f>F61-(G61)</f>
        <v>11.5</v>
      </c>
      <c r="I61" s="18">
        <f>SUM(C55:C56)</f>
        <v>11.01</v>
      </c>
      <c r="J61" s="16">
        <f>(H61-I61)/I61</f>
        <v>4.4504995458673952E-2</v>
      </c>
      <c r="K61" s="22">
        <f>(H61-I61)/($E$5-$C$5)*$D$5</f>
        <v>0.82959423287176959</v>
      </c>
      <c r="L61" s="22">
        <f>K61/$D$5*1000/C55</f>
        <v>1.8850344422721677</v>
      </c>
    </row>
    <row r="62" spans="2:12" x14ac:dyDescent="0.2">
      <c r="B62" s="1" t="s">
        <v>128</v>
      </c>
      <c r="C62" t="s">
        <v>143</v>
      </c>
      <c r="D62" t="s">
        <v>138</v>
      </c>
      <c r="E62" t="s">
        <v>141</v>
      </c>
    </row>
    <row r="64" spans="2:12" ht="34" x14ac:dyDescent="0.2">
      <c r="B64" s="17" t="s">
        <v>130</v>
      </c>
    </row>
    <row r="65" spans="2:12" x14ac:dyDescent="0.2">
      <c r="B65" t="s">
        <v>121</v>
      </c>
      <c r="C65">
        <v>10</v>
      </c>
      <c r="D65" t="s">
        <v>2</v>
      </c>
    </row>
    <row r="66" spans="2:12" x14ac:dyDescent="0.2">
      <c r="B66" t="s">
        <v>125</v>
      </c>
      <c r="C66">
        <v>1.01</v>
      </c>
      <c r="D66" t="s">
        <v>2</v>
      </c>
    </row>
    <row r="67" spans="2:12" x14ac:dyDescent="0.2">
      <c r="B67" t="s">
        <v>108</v>
      </c>
      <c r="C67">
        <v>0.86</v>
      </c>
      <c r="D67" t="s">
        <v>2</v>
      </c>
    </row>
    <row r="68" spans="2:12" x14ac:dyDescent="0.2">
      <c r="B68" t="s">
        <v>131</v>
      </c>
      <c r="C68">
        <f>SUM(C65:C67)</f>
        <v>11.87</v>
      </c>
      <c r="D68" t="s">
        <v>2</v>
      </c>
    </row>
    <row r="70" spans="2:12" x14ac:dyDescent="0.2">
      <c r="C70" t="s">
        <v>129</v>
      </c>
      <c r="D70" t="s">
        <v>126</v>
      </c>
      <c r="E70" t="s">
        <v>104</v>
      </c>
      <c r="F70" t="s">
        <v>123</v>
      </c>
      <c r="G70" t="s">
        <v>108</v>
      </c>
      <c r="H70" t="s">
        <v>122</v>
      </c>
      <c r="I70" t="s">
        <v>110</v>
      </c>
      <c r="J70" t="s">
        <v>111</v>
      </c>
      <c r="K70" s="1" t="s">
        <v>161</v>
      </c>
      <c r="L70" s="23" t="s">
        <v>189</v>
      </c>
    </row>
    <row r="71" spans="2:12" x14ac:dyDescent="0.2">
      <c r="C71" s="10">
        <v>0.54513888888888895</v>
      </c>
      <c r="D71" s="10">
        <v>0.92013888888888884</v>
      </c>
      <c r="E71" s="10">
        <v>0.39444444444444443</v>
      </c>
      <c r="F71">
        <v>12.98</v>
      </c>
      <c r="G71">
        <f>C67</f>
        <v>0.86</v>
      </c>
      <c r="H71">
        <f>F71-(G71)</f>
        <v>12.120000000000001</v>
      </c>
      <c r="I71" s="18">
        <f>SUM(C65:C66)</f>
        <v>11.01</v>
      </c>
      <c r="J71" s="16">
        <f>(H73-I71)/I71</f>
        <v>7.0844686648501465E-2</v>
      </c>
      <c r="K71" s="22">
        <f>(H73-I71)/($E$5-$C$5)*$D$5</f>
        <v>1.3205785747754715</v>
      </c>
      <c r="L71" s="22">
        <f>K71/$D$5*1000/C65</f>
        <v>3.0006670713720252</v>
      </c>
    </row>
    <row r="72" spans="2:12" x14ac:dyDescent="0.2">
      <c r="C72" t="s">
        <v>143</v>
      </c>
      <c r="D72" t="s">
        <v>139</v>
      </c>
      <c r="E72" t="s">
        <v>140</v>
      </c>
    </row>
    <row r="73" spans="2:12" x14ac:dyDescent="0.2">
      <c r="B73" s="1" t="s">
        <v>192</v>
      </c>
      <c r="E73" t="s">
        <v>191</v>
      </c>
      <c r="F73">
        <v>12.65</v>
      </c>
      <c r="H73">
        <f>F73-(G71)</f>
        <v>11.790000000000001</v>
      </c>
    </row>
    <row r="74" spans="2:12" ht="34" x14ac:dyDescent="0.2">
      <c r="B74" s="17" t="s">
        <v>130</v>
      </c>
    </row>
    <row r="75" spans="2:12" x14ac:dyDescent="0.2">
      <c r="B75" t="s">
        <v>121</v>
      </c>
      <c r="C75">
        <v>10</v>
      </c>
      <c r="D75" t="s">
        <v>2</v>
      </c>
    </row>
    <row r="76" spans="2:12" x14ac:dyDescent="0.2">
      <c r="B76" t="s">
        <v>146</v>
      </c>
      <c r="C76">
        <v>5</v>
      </c>
      <c r="D76" t="s">
        <v>2</v>
      </c>
    </row>
    <row r="77" spans="2:12" x14ac:dyDescent="0.2">
      <c r="B77" t="s">
        <v>108</v>
      </c>
      <c r="C77">
        <v>0.86</v>
      </c>
      <c r="D77" t="s">
        <v>2</v>
      </c>
    </row>
    <row r="78" spans="2:12" x14ac:dyDescent="0.2">
      <c r="B78" t="s">
        <v>131</v>
      </c>
      <c r="C78">
        <f>SUM(C75:C77)</f>
        <v>15.86</v>
      </c>
      <c r="D78" t="s">
        <v>2</v>
      </c>
    </row>
    <row r="80" spans="2:12" ht="34" x14ac:dyDescent="0.2">
      <c r="B80" s="17" t="s">
        <v>148</v>
      </c>
      <c r="C80" t="s">
        <v>129</v>
      </c>
      <c r="D80" t="s">
        <v>126</v>
      </c>
      <c r="E80" t="s">
        <v>104</v>
      </c>
      <c r="F80" t="s">
        <v>123</v>
      </c>
      <c r="G80" t="s">
        <v>108</v>
      </c>
      <c r="H80" t="s">
        <v>122</v>
      </c>
      <c r="I80" t="s">
        <v>110</v>
      </c>
      <c r="J80" t="s">
        <v>111</v>
      </c>
      <c r="K80" s="1" t="s">
        <v>161</v>
      </c>
      <c r="L80" s="23" t="s">
        <v>189</v>
      </c>
    </row>
    <row r="81" spans="2:12" x14ac:dyDescent="0.2">
      <c r="C81" s="10">
        <v>0.68125000000000002</v>
      </c>
      <c r="D81" s="10">
        <v>0.375</v>
      </c>
      <c r="E81" s="10">
        <v>0.67638888888888893</v>
      </c>
      <c r="F81">
        <v>19.3</v>
      </c>
      <c r="G81">
        <f>C77</f>
        <v>0.86</v>
      </c>
      <c r="H81">
        <f>F81-(G81)</f>
        <v>18.440000000000001</v>
      </c>
      <c r="I81" s="18">
        <f>SUM(C75:C76)</f>
        <v>15</v>
      </c>
      <c r="J81" s="16">
        <f>(H88-I81)/I81</f>
        <v>4.5333333333333316E-2</v>
      </c>
      <c r="K81" s="22">
        <f>((H88-C76)-C75)/($E$5-$C$5)*$D$5</f>
        <v>1.1512736292914343</v>
      </c>
      <c r="L81" s="22">
        <f>K81/$D$5*1000/C75</f>
        <v>2.6159661647858625</v>
      </c>
    </row>
    <row r="82" spans="2:12" x14ac:dyDescent="0.2">
      <c r="C82" t="s">
        <v>143</v>
      </c>
      <c r="D82" t="s">
        <v>147</v>
      </c>
      <c r="E82" s="10">
        <v>0.69791666666666663</v>
      </c>
      <c r="F82">
        <v>18.73</v>
      </c>
      <c r="H82">
        <f>F82-G81</f>
        <v>17.87</v>
      </c>
    </row>
    <row r="83" spans="2:12" x14ac:dyDescent="0.2">
      <c r="E83" s="10">
        <v>0.77916666666666667</v>
      </c>
      <c r="F83">
        <v>17.399999999999999</v>
      </c>
      <c r="H83">
        <f>F83-G81</f>
        <v>16.54</v>
      </c>
    </row>
    <row r="84" spans="2:12" x14ac:dyDescent="0.2">
      <c r="E84" s="10">
        <v>0.79583333333333339</v>
      </c>
      <c r="F84">
        <v>17.239999999999998</v>
      </c>
      <c r="H84">
        <f>F84-G81</f>
        <v>16.38</v>
      </c>
    </row>
    <row r="85" spans="2:12" x14ac:dyDescent="0.2">
      <c r="E85" s="10">
        <v>0.83333333333333337</v>
      </c>
      <c r="F85">
        <v>17.18</v>
      </c>
      <c r="H85">
        <f>F85-G81</f>
        <v>16.32</v>
      </c>
    </row>
    <row r="86" spans="2:12" x14ac:dyDescent="0.2">
      <c r="E86" s="10">
        <v>0.84305555555555556</v>
      </c>
      <c r="F86">
        <v>17.16</v>
      </c>
      <c r="H86">
        <f>F86-G81</f>
        <v>16.3</v>
      </c>
    </row>
    <row r="87" spans="2:12" x14ac:dyDescent="0.2">
      <c r="E87" s="10">
        <v>0.93194444444444446</v>
      </c>
      <c r="F87">
        <v>17.03</v>
      </c>
      <c r="H87">
        <f>F87-G81</f>
        <v>16.170000000000002</v>
      </c>
    </row>
    <row r="88" spans="2:12" x14ac:dyDescent="0.2">
      <c r="E88" s="10">
        <v>0.4145833333333333</v>
      </c>
      <c r="F88">
        <v>16.54</v>
      </c>
      <c r="H88">
        <f>F88-G81</f>
        <v>15.68</v>
      </c>
    </row>
    <row r="89" spans="2:12" x14ac:dyDescent="0.2">
      <c r="B89" s="1" t="s">
        <v>193</v>
      </c>
      <c r="E89" t="s">
        <v>187</v>
      </c>
    </row>
    <row r="90" spans="2:12" x14ac:dyDescent="0.2">
      <c r="B90" t="s">
        <v>194</v>
      </c>
    </row>
    <row r="91" spans="2:12" x14ac:dyDescent="0.2">
      <c r="B91" t="s">
        <v>149</v>
      </c>
      <c r="C91">
        <v>5</v>
      </c>
      <c r="D91" t="s">
        <v>2</v>
      </c>
    </row>
    <row r="92" spans="2:12" x14ac:dyDescent="0.2">
      <c r="B92" t="s">
        <v>108</v>
      </c>
      <c r="C92">
        <v>0.85</v>
      </c>
      <c r="D92" t="s">
        <v>2</v>
      </c>
    </row>
    <row r="93" spans="2:12" x14ac:dyDescent="0.2">
      <c r="B93" t="s">
        <v>131</v>
      </c>
      <c r="C93">
        <f>SUM(C91:C92)</f>
        <v>5.85</v>
      </c>
      <c r="D93" t="s">
        <v>2</v>
      </c>
    </row>
    <row r="95" spans="2:12" x14ac:dyDescent="0.2">
      <c r="B95" t="s">
        <v>186</v>
      </c>
      <c r="C95" t="s">
        <v>129</v>
      </c>
      <c r="D95" t="s">
        <v>126</v>
      </c>
      <c r="E95" t="s">
        <v>104</v>
      </c>
      <c r="F95" t="s">
        <v>123</v>
      </c>
      <c r="G95" t="s">
        <v>108</v>
      </c>
      <c r="H95" t="s">
        <v>122</v>
      </c>
      <c r="I95" t="s">
        <v>110</v>
      </c>
      <c r="J95" t="s">
        <v>111</v>
      </c>
      <c r="K95" s="1" t="s">
        <v>161</v>
      </c>
      <c r="L95" s="23" t="s">
        <v>189</v>
      </c>
    </row>
    <row r="96" spans="2:12" x14ac:dyDescent="0.2">
      <c r="C96" s="10">
        <v>0.92986111111111114</v>
      </c>
      <c r="D96" s="10">
        <v>0.42569444444444443</v>
      </c>
      <c r="E96" s="10">
        <v>0.63472222222222219</v>
      </c>
      <c r="F96">
        <v>6.26</v>
      </c>
      <c r="G96">
        <f>C92</f>
        <v>0.85</v>
      </c>
      <c r="H96">
        <f>F96-(G96)</f>
        <v>5.41</v>
      </c>
      <c r="I96">
        <f>C91</f>
        <v>5</v>
      </c>
      <c r="J96" s="16">
        <f>(H97-I96)/I96</f>
        <v>7.2000000000000064E-2</v>
      </c>
      <c r="K96" s="22">
        <f>((H97-C91)/($E$5-$C$5)*$D$5)</f>
        <v>0.60949780374252494</v>
      </c>
      <c r="L96" s="22">
        <f>K96/$D$5*1000/C91</f>
        <v>2.7698465274203294</v>
      </c>
    </row>
    <row r="97" spans="2:12" x14ac:dyDescent="0.2">
      <c r="C97" s="10" t="s">
        <v>143</v>
      </c>
      <c r="D97" s="10" t="s">
        <v>202</v>
      </c>
      <c r="E97" s="10">
        <v>0.65277777777777779</v>
      </c>
      <c r="F97">
        <v>6.21</v>
      </c>
      <c r="H97">
        <f>F97-(G96)</f>
        <v>5.36</v>
      </c>
    </row>
    <row r="98" spans="2:12" x14ac:dyDescent="0.2">
      <c r="B98" s="1"/>
      <c r="C98" s="10"/>
      <c r="D98" s="10"/>
      <c r="E98" s="10">
        <v>0.67152777777777783</v>
      </c>
      <c r="F98">
        <v>6.21</v>
      </c>
    </row>
    <row r="99" spans="2:12" x14ac:dyDescent="0.2">
      <c r="E99" s="10">
        <v>0.76041666666666663</v>
      </c>
      <c r="F99">
        <v>6.24</v>
      </c>
    </row>
    <row r="100" spans="2:12" x14ac:dyDescent="0.2">
      <c r="B100" s="1" t="s">
        <v>188</v>
      </c>
      <c r="E100" s="10">
        <v>0.86805555555555547</v>
      </c>
      <c r="F100">
        <v>6.25</v>
      </c>
    </row>
    <row r="101" spans="2:12" ht="34" x14ac:dyDescent="0.2">
      <c r="B101" s="17" t="s">
        <v>222</v>
      </c>
    </row>
    <row r="102" spans="2:12" x14ac:dyDescent="0.2">
      <c r="B102" t="s">
        <v>149</v>
      </c>
      <c r="C102">
        <v>5</v>
      </c>
      <c r="D102" t="s">
        <v>2</v>
      </c>
    </row>
    <row r="103" spans="2:12" x14ac:dyDescent="0.2">
      <c r="B103" t="s">
        <v>108</v>
      </c>
      <c r="C103">
        <v>0.86</v>
      </c>
      <c r="D103" t="s">
        <v>2</v>
      </c>
    </row>
    <row r="104" spans="2:12" x14ac:dyDescent="0.2">
      <c r="B104" t="s">
        <v>131</v>
      </c>
      <c r="C104">
        <f>SUM(C102:C103)</f>
        <v>5.86</v>
      </c>
      <c r="D104" t="s">
        <v>2</v>
      </c>
    </row>
    <row r="106" spans="2:12" x14ac:dyDescent="0.2">
      <c r="B106" t="s">
        <v>213</v>
      </c>
      <c r="C106" t="s">
        <v>129</v>
      </c>
      <c r="D106" t="s">
        <v>126</v>
      </c>
      <c r="E106" t="s">
        <v>104</v>
      </c>
      <c r="F106" t="s">
        <v>123</v>
      </c>
      <c r="G106" t="s">
        <v>108</v>
      </c>
      <c r="H106" t="s">
        <v>122</v>
      </c>
      <c r="I106" t="s">
        <v>110</v>
      </c>
      <c r="J106" t="s">
        <v>111</v>
      </c>
      <c r="K106" s="1" t="s">
        <v>161</v>
      </c>
      <c r="L106" s="23" t="s">
        <v>189</v>
      </c>
    </row>
    <row r="107" spans="2:12" x14ac:dyDescent="0.2">
      <c r="C107" s="10">
        <v>0.42569444444444443</v>
      </c>
      <c r="D107" s="10">
        <v>0.8569444444444444</v>
      </c>
      <c r="E107" s="10">
        <v>0.89444444444444438</v>
      </c>
      <c r="F107">
        <v>6.26</v>
      </c>
      <c r="G107">
        <f>C103</f>
        <v>0.86</v>
      </c>
      <c r="H107">
        <f>F107-(G107)</f>
        <v>5.3999999999999995</v>
      </c>
      <c r="I107">
        <f>C102</f>
        <v>5</v>
      </c>
      <c r="J107" s="16">
        <f>(H108-I107)/I107</f>
        <v>4.3999999999999949E-2</v>
      </c>
      <c r="K107" s="22">
        <f>((H108-C102)/($E$5-$C$5)*$D$5)</f>
        <v>0.37247088006487555</v>
      </c>
      <c r="L107" s="22">
        <f>K107/$D$5*1000/C102</f>
        <v>1.6926839889790866</v>
      </c>
    </row>
    <row r="108" spans="2:12" x14ac:dyDescent="0.2">
      <c r="E108" s="10">
        <v>0.90833333333333333</v>
      </c>
      <c r="F108">
        <v>6.08</v>
      </c>
      <c r="H108">
        <f>F108-(G107)</f>
        <v>5.22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0D950-CC09-F24F-B584-BA51B6BE2389}">
  <dimension ref="B2:L36"/>
  <sheetViews>
    <sheetView zoomScale="190" zoomScaleNormal="190" workbookViewId="0">
      <selection activeCell="B26" sqref="B26:D32"/>
    </sheetView>
  </sheetViews>
  <sheetFormatPr baseColWidth="10" defaultRowHeight="16" x14ac:dyDescent="0.2"/>
  <cols>
    <col min="1" max="1" width="6.1640625" customWidth="1"/>
    <col min="2" max="2" width="72.1640625" customWidth="1"/>
  </cols>
  <sheetData>
    <row r="2" spans="2:12" ht="21" x14ac:dyDescent="0.25">
      <c r="B2" s="2" t="s">
        <v>93</v>
      </c>
    </row>
    <row r="3" spans="2:12" x14ac:dyDescent="0.2">
      <c r="B3" t="s">
        <v>92</v>
      </c>
    </row>
    <row r="5" spans="2:12" x14ac:dyDescent="0.2">
      <c r="B5" t="s">
        <v>94</v>
      </c>
    </row>
    <row r="6" spans="2:12" x14ac:dyDescent="0.2">
      <c r="B6" t="s">
        <v>79</v>
      </c>
    </row>
    <row r="7" spans="2:12" x14ac:dyDescent="0.2">
      <c r="B7" t="s">
        <v>66</v>
      </c>
    </row>
    <row r="9" spans="2:12" x14ac:dyDescent="0.2">
      <c r="C9" s="1" t="s">
        <v>2</v>
      </c>
      <c r="D9" s="1" t="s">
        <v>3</v>
      </c>
      <c r="E9" s="1" t="s">
        <v>1</v>
      </c>
      <c r="G9" s="1" t="s">
        <v>59</v>
      </c>
    </row>
    <row r="10" spans="2:12" x14ac:dyDescent="0.2">
      <c r="B10" t="s">
        <v>37</v>
      </c>
      <c r="C10">
        <f>10.89 - 0.89</f>
        <v>10</v>
      </c>
      <c r="D10">
        <v>74.092680000000001</v>
      </c>
      <c r="E10">
        <f>C10/D10</f>
        <v>0.13496609921519911</v>
      </c>
      <c r="G10" t="s">
        <v>12</v>
      </c>
    </row>
    <row r="11" spans="2:12" x14ac:dyDescent="0.2">
      <c r="B11" t="s">
        <v>53</v>
      </c>
      <c r="C11" s="4">
        <f>E11*D11</f>
        <v>13.508338475541713</v>
      </c>
      <c r="D11">
        <v>100.0869</v>
      </c>
      <c r="E11">
        <f>E10</f>
        <v>0.13496609921519911</v>
      </c>
    </row>
    <row r="12" spans="2:12" x14ac:dyDescent="0.2">
      <c r="B12" t="s">
        <v>48</v>
      </c>
      <c r="C12" s="4">
        <f>E12*D12</f>
        <v>2.4314520678695923</v>
      </c>
      <c r="D12">
        <v>18.015280000000001</v>
      </c>
      <c r="E12">
        <f>E11</f>
        <v>0.13496609921519911</v>
      </c>
    </row>
    <row r="13" spans="2:12" x14ac:dyDescent="0.2">
      <c r="B13" t="s">
        <v>49</v>
      </c>
      <c r="C13" s="4">
        <f>C11+C12-C10</f>
        <v>5.9397905434113056</v>
      </c>
    </row>
    <row r="14" spans="2:12" x14ac:dyDescent="0.2">
      <c r="B14" t="s">
        <v>51</v>
      </c>
      <c r="C14" s="4">
        <f>C11+C12</f>
        <v>15.939790543411306</v>
      </c>
    </row>
    <row r="15" spans="2:12" x14ac:dyDescent="0.2">
      <c r="B15" t="s">
        <v>50</v>
      </c>
      <c r="C15" s="4">
        <f>C10+C13</f>
        <v>15.939790543411306</v>
      </c>
    </row>
    <row r="16" spans="2:12" s="3" customFormat="1" x14ac:dyDescent="0.2">
      <c r="C16" s="9"/>
      <c r="H16"/>
      <c r="I16"/>
      <c r="J16"/>
      <c r="K16"/>
      <c r="L16"/>
    </row>
    <row r="17" spans="2:12" x14ac:dyDescent="0.2">
      <c r="B17" s="1" t="s">
        <v>4</v>
      </c>
      <c r="C17" s="1" t="s">
        <v>2</v>
      </c>
      <c r="D17" s="1" t="s">
        <v>3</v>
      </c>
      <c r="E17" s="1" t="s">
        <v>1</v>
      </c>
      <c r="F17" s="1" t="s">
        <v>69</v>
      </c>
      <c r="H17" s="3"/>
      <c r="I17" s="3"/>
      <c r="J17" s="3"/>
      <c r="K17" s="3"/>
      <c r="L17" s="3"/>
    </row>
    <row r="18" spans="2:12" x14ac:dyDescent="0.2">
      <c r="B18" t="s">
        <v>0</v>
      </c>
      <c r="C18">
        <v>0.86</v>
      </c>
      <c r="H18" s="3"/>
    </row>
    <row r="19" spans="2:12" x14ac:dyDescent="0.2">
      <c r="B19" t="s">
        <v>52</v>
      </c>
      <c r="C19">
        <v>11.5</v>
      </c>
    </row>
    <row r="20" spans="2:12" x14ac:dyDescent="0.2">
      <c r="B20" t="s">
        <v>54</v>
      </c>
      <c r="C20">
        <f>C19-C18</f>
        <v>10.64</v>
      </c>
      <c r="D20">
        <f>D11</f>
        <v>100.0869</v>
      </c>
      <c r="E20">
        <f>C20/D20</f>
        <v>0.10630761867936764</v>
      </c>
    </row>
    <row r="21" spans="2:12" x14ac:dyDescent="0.2">
      <c r="B21" t="s">
        <v>67</v>
      </c>
      <c r="C21">
        <f>C20-C10</f>
        <v>0.64000000000000057</v>
      </c>
    </row>
    <row r="22" spans="2:12" x14ac:dyDescent="0.2">
      <c r="B22" t="s">
        <v>68</v>
      </c>
      <c r="F22">
        <v>0.25</v>
      </c>
    </row>
    <row r="23" spans="2:12" x14ac:dyDescent="0.2">
      <c r="B23" t="s">
        <v>71</v>
      </c>
      <c r="F23">
        <f>C21/F22</f>
        <v>2.5600000000000023</v>
      </c>
    </row>
    <row r="24" spans="2:12" x14ac:dyDescent="0.2">
      <c r="B24" t="s">
        <v>73</v>
      </c>
      <c r="F24" s="11">
        <f>C21/C10</f>
        <v>6.4000000000000057E-2</v>
      </c>
    </row>
    <row r="25" spans="2:12" x14ac:dyDescent="0.2">
      <c r="B25" s="1" t="s">
        <v>76</v>
      </c>
      <c r="C25" s="4">
        <f>E25*D25</f>
        <v>4.6785451442696306</v>
      </c>
      <c r="D25">
        <v>44.009500000000003</v>
      </c>
      <c r="E25">
        <f>E20</f>
        <v>0.10630761867936764</v>
      </c>
    </row>
    <row r="26" spans="2:12" x14ac:dyDescent="0.2">
      <c r="B26" s="1" t="s">
        <v>209</v>
      </c>
      <c r="C26" s="4">
        <f>C21/(D11-D10)*D25</f>
        <v>1.083551651097822</v>
      </c>
    </row>
    <row r="27" spans="2:12" x14ac:dyDescent="0.2">
      <c r="B27" s="24" t="s">
        <v>198</v>
      </c>
    </row>
    <row r="28" spans="2:12" x14ac:dyDescent="0.2">
      <c r="C28" s="4">
        <f>C26/C10</f>
        <v>0.1083551651097822</v>
      </c>
      <c r="D28" t="s">
        <v>5</v>
      </c>
    </row>
    <row r="29" spans="2:12" x14ac:dyDescent="0.2">
      <c r="C29">
        <f>C28/D25</f>
        <v>2.4620858021514036E-3</v>
      </c>
      <c r="D29" t="s">
        <v>6</v>
      </c>
    </row>
    <row r="30" spans="2:12" x14ac:dyDescent="0.2">
      <c r="B30" t="s">
        <v>23</v>
      </c>
      <c r="C30" s="1">
        <f>C29*1000</f>
        <v>2.4620858021514036</v>
      </c>
      <c r="D30" s="1" t="s">
        <v>7</v>
      </c>
    </row>
    <row r="32" spans="2:12" x14ac:dyDescent="0.2">
      <c r="B32" t="s">
        <v>20</v>
      </c>
      <c r="C32" s="5">
        <f>1/C28</f>
        <v>9.228909383201346</v>
      </c>
      <c r="D32" s="1" t="s">
        <v>17</v>
      </c>
      <c r="J32" s="10"/>
    </row>
    <row r="33" spans="2:10" x14ac:dyDescent="0.2">
      <c r="J33" s="10"/>
    </row>
    <row r="34" spans="2:10" x14ac:dyDescent="0.2">
      <c r="B34" t="s">
        <v>22</v>
      </c>
      <c r="C34" s="5">
        <v>29</v>
      </c>
      <c r="D34" s="1" t="s">
        <v>19</v>
      </c>
    </row>
    <row r="35" spans="2:10" x14ac:dyDescent="0.2">
      <c r="B35" t="s">
        <v>21</v>
      </c>
      <c r="D35" s="1"/>
    </row>
    <row r="36" spans="2:10" x14ac:dyDescent="0.2">
      <c r="B3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F1F34-99F9-B741-8787-5CE315C743FD}">
  <dimension ref="B2:L37"/>
  <sheetViews>
    <sheetView zoomScale="190" zoomScaleNormal="190" workbookViewId="0">
      <selection activeCell="C26" sqref="C26:C32"/>
    </sheetView>
  </sheetViews>
  <sheetFormatPr baseColWidth="10" defaultRowHeight="16" x14ac:dyDescent="0.2"/>
  <cols>
    <col min="1" max="1" width="6.1640625" customWidth="1"/>
    <col min="2" max="2" width="72.1640625" customWidth="1"/>
  </cols>
  <sheetData>
    <row r="2" spans="2:12" ht="21" x14ac:dyDescent="0.25">
      <c r="B2" s="2" t="s">
        <v>77</v>
      </c>
    </row>
    <row r="3" spans="2:12" x14ac:dyDescent="0.2">
      <c r="B3" t="s">
        <v>60</v>
      </c>
    </row>
    <row r="5" spans="2:12" x14ac:dyDescent="0.2">
      <c r="B5" t="s">
        <v>78</v>
      </c>
    </row>
    <row r="6" spans="2:12" x14ac:dyDescent="0.2">
      <c r="B6" t="s">
        <v>79</v>
      </c>
    </row>
    <row r="7" spans="2:12" x14ac:dyDescent="0.2">
      <c r="B7" t="s">
        <v>66</v>
      </c>
    </row>
    <row r="9" spans="2:12" x14ac:dyDescent="0.2">
      <c r="C9" s="1" t="s">
        <v>2</v>
      </c>
      <c r="D9" s="1" t="s">
        <v>3</v>
      </c>
      <c r="E9" s="1" t="s">
        <v>1</v>
      </c>
      <c r="G9" s="1" t="s">
        <v>59</v>
      </c>
    </row>
    <row r="10" spans="2:12" x14ac:dyDescent="0.2">
      <c r="B10" t="s">
        <v>37</v>
      </c>
      <c r="C10">
        <f>10.89 - 0.89</f>
        <v>10</v>
      </c>
      <c r="D10">
        <v>74.092680000000001</v>
      </c>
      <c r="E10">
        <f>C10/D10</f>
        <v>0.13496609921519911</v>
      </c>
      <c r="G10" t="s">
        <v>12</v>
      </c>
    </row>
    <row r="11" spans="2:12" x14ac:dyDescent="0.2">
      <c r="B11" t="s">
        <v>53</v>
      </c>
      <c r="C11" s="4">
        <f>E11*D11</f>
        <v>13.508338475541713</v>
      </c>
      <c r="D11">
        <v>100.0869</v>
      </c>
      <c r="E11">
        <f>E10</f>
        <v>0.13496609921519911</v>
      </c>
    </row>
    <row r="12" spans="2:12" x14ac:dyDescent="0.2">
      <c r="B12" t="s">
        <v>48</v>
      </c>
      <c r="C12" s="4">
        <f>E12*D12</f>
        <v>2.4314520678695923</v>
      </c>
      <c r="D12">
        <v>18.015280000000001</v>
      </c>
      <c r="E12">
        <f>E11</f>
        <v>0.13496609921519911</v>
      </c>
    </row>
    <row r="13" spans="2:12" x14ac:dyDescent="0.2">
      <c r="B13" t="s">
        <v>49</v>
      </c>
      <c r="C13" s="4">
        <f>C11+C12-C10</f>
        <v>5.9397905434113056</v>
      </c>
    </row>
    <row r="14" spans="2:12" x14ac:dyDescent="0.2">
      <c r="B14" t="s">
        <v>51</v>
      </c>
      <c r="C14" s="4">
        <f>C11+C12</f>
        <v>15.939790543411306</v>
      </c>
    </row>
    <row r="15" spans="2:12" x14ac:dyDescent="0.2">
      <c r="B15" t="s">
        <v>50</v>
      </c>
      <c r="C15" s="4">
        <f>C10+C13</f>
        <v>15.939790543411306</v>
      </c>
    </row>
    <row r="16" spans="2:12" s="3" customFormat="1" x14ac:dyDescent="0.2">
      <c r="C16" s="9"/>
      <c r="H16"/>
      <c r="I16"/>
      <c r="J16"/>
      <c r="K16"/>
      <c r="L16"/>
    </row>
    <row r="17" spans="2:12" x14ac:dyDescent="0.2">
      <c r="B17" s="1" t="s">
        <v>4</v>
      </c>
      <c r="C17" s="1" t="s">
        <v>2</v>
      </c>
      <c r="D17" s="1" t="s">
        <v>3</v>
      </c>
      <c r="E17" s="1" t="s">
        <v>1</v>
      </c>
      <c r="F17" s="1" t="s">
        <v>69</v>
      </c>
      <c r="H17" s="3"/>
      <c r="I17" s="3"/>
      <c r="J17" s="3"/>
      <c r="K17" s="3"/>
      <c r="L17" s="3"/>
    </row>
    <row r="18" spans="2:12" x14ac:dyDescent="0.2">
      <c r="B18" t="s">
        <v>0</v>
      </c>
      <c r="C18">
        <v>0.86</v>
      </c>
      <c r="H18" s="3"/>
    </row>
    <row r="19" spans="2:12" x14ac:dyDescent="0.2">
      <c r="B19" t="s">
        <v>52</v>
      </c>
      <c r="C19">
        <v>11.37</v>
      </c>
    </row>
    <row r="20" spans="2:12" x14ac:dyDescent="0.2">
      <c r="B20" t="s">
        <v>54</v>
      </c>
      <c r="C20">
        <f>C19-C18</f>
        <v>10.51</v>
      </c>
      <c r="D20">
        <f>D11</f>
        <v>100.0869</v>
      </c>
      <c r="E20">
        <f>C20/D20</f>
        <v>0.1050087473985107</v>
      </c>
    </row>
    <row r="21" spans="2:12" x14ac:dyDescent="0.2">
      <c r="B21" t="s">
        <v>67</v>
      </c>
      <c r="C21">
        <f>C20-C10</f>
        <v>0.50999999999999979</v>
      </c>
    </row>
    <row r="22" spans="2:12" x14ac:dyDescent="0.2">
      <c r="B22" t="s">
        <v>68</v>
      </c>
      <c r="F22">
        <v>0.25</v>
      </c>
    </row>
    <row r="23" spans="2:12" x14ac:dyDescent="0.2">
      <c r="B23" t="s">
        <v>71</v>
      </c>
      <c r="F23">
        <f>C21/F22</f>
        <v>2.0399999999999991</v>
      </c>
    </row>
    <row r="24" spans="2:12" x14ac:dyDescent="0.2">
      <c r="B24" t="s">
        <v>73</v>
      </c>
      <c r="F24" s="11">
        <f>C21/C10</f>
        <v>5.0999999999999976E-2</v>
      </c>
    </row>
    <row r="25" spans="2:12" x14ac:dyDescent="0.2">
      <c r="B25" s="1" t="s">
        <v>76</v>
      </c>
      <c r="C25" s="4">
        <f>E25*D25</f>
        <v>4.6213824686347564</v>
      </c>
      <c r="D25">
        <v>44.009500000000003</v>
      </c>
      <c r="E25">
        <f>E20</f>
        <v>0.1050087473985107</v>
      </c>
    </row>
    <row r="26" spans="2:12" x14ac:dyDescent="0.2">
      <c r="B26" s="1" t="s">
        <v>209</v>
      </c>
      <c r="C26" s="4">
        <f>C21/(D11-D10)*D25</f>
        <v>0.86345522196857583</v>
      </c>
    </row>
    <row r="27" spans="2:12" x14ac:dyDescent="0.2">
      <c r="B27" s="24" t="s">
        <v>198</v>
      </c>
    </row>
    <row r="28" spans="2:12" x14ac:dyDescent="0.2">
      <c r="C28" s="4">
        <f>C26/C10</f>
        <v>8.634552219685758E-2</v>
      </c>
      <c r="D28" t="s">
        <v>5</v>
      </c>
    </row>
    <row r="29" spans="2:12" x14ac:dyDescent="0.2">
      <c r="C29">
        <f>C28/D25</f>
        <v>1.9619746235893971E-3</v>
      </c>
      <c r="D29" t="s">
        <v>6</v>
      </c>
    </row>
    <row r="30" spans="2:12" x14ac:dyDescent="0.2">
      <c r="B30" t="s">
        <v>23</v>
      </c>
      <c r="C30" s="1">
        <f>C29*1000</f>
        <v>1.9619746235893971</v>
      </c>
      <c r="D30" s="1" t="s">
        <v>7</v>
      </c>
    </row>
    <row r="32" spans="2:12" x14ac:dyDescent="0.2">
      <c r="B32" t="s">
        <v>20</v>
      </c>
      <c r="C32" s="5">
        <f>1/C28</f>
        <v>11.581376480880134</v>
      </c>
      <c r="D32" s="1" t="s">
        <v>17</v>
      </c>
    </row>
    <row r="33" spans="2:10" x14ac:dyDescent="0.2">
      <c r="J33" s="10"/>
    </row>
    <row r="34" spans="2:10" x14ac:dyDescent="0.2">
      <c r="B34" t="s">
        <v>22</v>
      </c>
      <c r="C34" s="5">
        <v>29</v>
      </c>
      <c r="D34" s="1" t="s">
        <v>19</v>
      </c>
      <c r="J34" s="10"/>
    </row>
    <row r="35" spans="2:10" x14ac:dyDescent="0.2">
      <c r="B35" t="s">
        <v>21</v>
      </c>
      <c r="D35" s="1"/>
    </row>
    <row r="37" spans="2:10" x14ac:dyDescent="0.2">
      <c r="B3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09444-6017-9E49-AA01-86F26CA48C92}">
  <dimension ref="B2:L38"/>
  <sheetViews>
    <sheetView topLeftCell="A2" zoomScale="190" zoomScaleNormal="190" workbookViewId="0">
      <selection activeCell="C32" sqref="C32"/>
    </sheetView>
  </sheetViews>
  <sheetFormatPr baseColWidth="10" defaultRowHeight="16" x14ac:dyDescent="0.2"/>
  <cols>
    <col min="1" max="1" width="6.1640625" customWidth="1"/>
    <col min="2" max="2" width="72.1640625" customWidth="1"/>
  </cols>
  <sheetData>
    <row r="2" spans="2:12" ht="21" x14ac:dyDescent="0.25">
      <c r="B2" s="2" t="s">
        <v>61</v>
      </c>
    </row>
    <row r="3" spans="2:12" x14ac:dyDescent="0.2">
      <c r="B3" t="s">
        <v>60</v>
      </c>
    </row>
    <row r="5" spans="2:12" x14ac:dyDescent="0.2">
      <c r="B5" t="s">
        <v>70</v>
      </c>
    </row>
    <row r="6" spans="2:12" x14ac:dyDescent="0.2">
      <c r="B6" t="s">
        <v>64</v>
      </c>
    </row>
    <row r="7" spans="2:12" x14ac:dyDescent="0.2">
      <c r="B7" t="s">
        <v>66</v>
      </c>
    </row>
    <row r="9" spans="2:12" x14ac:dyDescent="0.2">
      <c r="C9" s="1" t="s">
        <v>2</v>
      </c>
      <c r="D9" s="1" t="s">
        <v>3</v>
      </c>
      <c r="E9" s="1" t="s">
        <v>1</v>
      </c>
      <c r="G9" s="1" t="s">
        <v>59</v>
      </c>
    </row>
    <row r="10" spans="2:12" x14ac:dyDescent="0.2">
      <c r="B10" t="s">
        <v>37</v>
      </c>
      <c r="C10">
        <v>10</v>
      </c>
      <c r="D10">
        <v>74.092680000000001</v>
      </c>
      <c r="E10">
        <f>C10/D10</f>
        <v>0.13496609921519911</v>
      </c>
      <c r="G10" t="s">
        <v>12</v>
      </c>
    </row>
    <row r="11" spans="2:12" x14ac:dyDescent="0.2">
      <c r="B11" t="s">
        <v>53</v>
      </c>
      <c r="C11" s="4">
        <f>E11*D11</f>
        <v>13.508338475541713</v>
      </c>
      <c r="D11">
        <v>100.0869</v>
      </c>
      <c r="E11">
        <f>E10</f>
        <v>0.13496609921519911</v>
      </c>
    </row>
    <row r="12" spans="2:12" x14ac:dyDescent="0.2">
      <c r="B12" t="s">
        <v>48</v>
      </c>
      <c r="C12" s="4">
        <f>E12*D12</f>
        <v>2.4314520678695923</v>
      </c>
      <c r="D12">
        <v>18.015280000000001</v>
      </c>
      <c r="E12">
        <f>E11</f>
        <v>0.13496609921519911</v>
      </c>
    </row>
    <row r="13" spans="2:12" x14ac:dyDescent="0.2">
      <c r="B13" t="s">
        <v>49</v>
      </c>
      <c r="C13" s="4">
        <f>C11+C12-C10</f>
        <v>5.9397905434113056</v>
      </c>
    </row>
    <row r="14" spans="2:12" x14ac:dyDescent="0.2">
      <c r="B14" t="s">
        <v>51</v>
      </c>
      <c r="C14" s="4">
        <f>C11+C12</f>
        <v>15.939790543411306</v>
      </c>
    </row>
    <row r="15" spans="2:12" x14ac:dyDescent="0.2">
      <c r="B15" t="s">
        <v>50</v>
      </c>
      <c r="C15" s="4">
        <f>C10+C13</f>
        <v>15.939790543411306</v>
      </c>
    </row>
    <row r="16" spans="2:12" s="3" customFormat="1" x14ac:dyDescent="0.2">
      <c r="C16" s="9"/>
      <c r="H16"/>
      <c r="I16"/>
      <c r="J16"/>
      <c r="K16"/>
      <c r="L16"/>
    </row>
    <row r="17" spans="2:12" x14ac:dyDescent="0.2">
      <c r="B17" s="1" t="s">
        <v>4</v>
      </c>
      <c r="C17" s="1" t="s">
        <v>2</v>
      </c>
      <c r="D17" s="1" t="s">
        <v>3</v>
      </c>
      <c r="E17" s="1" t="s">
        <v>1</v>
      </c>
      <c r="F17" s="1" t="s">
        <v>69</v>
      </c>
      <c r="H17" s="3"/>
      <c r="I17" s="3"/>
      <c r="J17" s="3"/>
      <c r="K17" s="3"/>
      <c r="L17" s="3"/>
    </row>
    <row r="18" spans="2:12" x14ac:dyDescent="0.2">
      <c r="B18" t="s">
        <v>0</v>
      </c>
      <c r="C18">
        <v>0.86</v>
      </c>
      <c r="H18" s="3"/>
    </row>
    <row r="19" spans="2:12" x14ac:dyDescent="0.2">
      <c r="B19" t="s">
        <v>52</v>
      </c>
      <c r="C19">
        <v>11.04</v>
      </c>
    </row>
    <row r="20" spans="2:12" x14ac:dyDescent="0.2">
      <c r="B20" t="s">
        <v>54</v>
      </c>
      <c r="C20">
        <f>C19-C18</f>
        <v>10.18</v>
      </c>
      <c r="D20">
        <f>D11</f>
        <v>100.0869</v>
      </c>
      <c r="E20">
        <f>C20/D20</f>
        <v>0.10171161260864309</v>
      </c>
    </row>
    <row r="21" spans="2:12" x14ac:dyDescent="0.2">
      <c r="B21" t="s">
        <v>67</v>
      </c>
      <c r="C21">
        <f>C20-C10</f>
        <v>0.17999999999999972</v>
      </c>
    </row>
    <row r="22" spans="2:12" x14ac:dyDescent="0.2">
      <c r="B22" t="s">
        <v>68</v>
      </c>
      <c r="F22">
        <v>0.25</v>
      </c>
    </row>
    <row r="23" spans="2:12" x14ac:dyDescent="0.2">
      <c r="B23" t="s">
        <v>71</v>
      </c>
      <c r="F23">
        <f>C21/F22</f>
        <v>0.71999999999999886</v>
      </c>
    </row>
    <row r="24" spans="2:12" x14ac:dyDescent="0.2">
      <c r="B24" t="s">
        <v>73</v>
      </c>
      <c r="F24" s="11">
        <f>C21/C10</f>
        <v>1.7999999999999971E-2</v>
      </c>
    </row>
    <row r="25" spans="2:12" x14ac:dyDescent="0.2">
      <c r="B25" s="1" t="s">
        <v>76</v>
      </c>
      <c r="C25" s="4">
        <f>E25*D25</f>
        <v>4.4762772151000778</v>
      </c>
      <c r="D25">
        <v>44.009500000000003</v>
      </c>
      <c r="E25">
        <f>E20</f>
        <v>0.10171161260864309</v>
      </c>
    </row>
    <row r="26" spans="2:12" x14ac:dyDescent="0.2">
      <c r="B26" s="1" t="s">
        <v>209</v>
      </c>
      <c r="C26" s="4">
        <f>C21/(D11-D10)*D25</f>
        <v>0.30474890187126175</v>
      </c>
    </row>
    <row r="27" spans="2:12" x14ac:dyDescent="0.2">
      <c r="B27" s="24" t="s">
        <v>198</v>
      </c>
    </row>
    <row r="28" spans="2:12" x14ac:dyDescent="0.2">
      <c r="C28" s="4">
        <f>C26/C10</f>
        <v>3.0474890187126173E-2</v>
      </c>
      <c r="D28" t="s">
        <v>5</v>
      </c>
    </row>
    <row r="29" spans="2:12" x14ac:dyDescent="0.2">
      <c r="C29">
        <f>C28/D25</f>
        <v>6.9246163185508064E-4</v>
      </c>
      <c r="D29" t="s">
        <v>6</v>
      </c>
    </row>
    <row r="30" spans="2:12" x14ac:dyDescent="0.2">
      <c r="B30" t="s">
        <v>23</v>
      </c>
      <c r="C30" s="1">
        <f>C29*1000</f>
        <v>0.69246163185508058</v>
      </c>
      <c r="D30" s="1" t="s">
        <v>7</v>
      </c>
    </row>
    <row r="32" spans="2:12" x14ac:dyDescent="0.2">
      <c r="B32" t="s">
        <v>20</v>
      </c>
      <c r="C32" s="5">
        <f>1/C28</f>
        <v>32.813900029160415</v>
      </c>
      <c r="D32" s="1" t="s">
        <v>17</v>
      </c>
    </row>
    <row r="33" spans="2:10" x14ac:dyDescent="0.2">
      <c r="J33" s="10"/>
    </row>
    <row r="34" spans="2:10" x14ac:dyDescent="0.2">
      <c r="B34" t="s">
        <v>22</v>
      </c>
      <c r="C34" s="5">
        <v>29</v>
      </c>
      <c r="D34" s="1" t="s">
        <v>19</v>
      </c>
      <c r="J34" s="10"/>
    </row>
    <row r="35" spans="2:10" x14ac:dyDescent="0.2">
      <c r="B35" t="s">
        <v>21</v>
      </c>
      <c r="D35" s="1"/>
    </row>
    <row r="37" spans="2:10" x14ac:dyDescent="0.2">
      <c r="B37" s="1" t="s">
        <v>57</v>
      </c>
    </row>
    <row r="38" spans="2:10" x14ac:dyDescent="0.2">
      <c r="B38"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B7B6-B1D6-1B47-A4AE-1A61FB654A79}">
  <dimension ref="B2:G25"/>
  <sheetViews>
    <sheetView topLeftCell="A6" zoomScale="190" zoomScaleNormal="190" workbookViewId="0">
      <selection activeCell="B21" sqref="B21:C21"/>
    </sheetView>
  </sheetViews>
  <sheetFormatPr baseColWidth="10" defaultRowHeight="16" x14ac:dyDescent="0.2"/>
  <cols>
    <col min="1" max="1" width="6.1640625" customWidth="1"/>
    <col min="2" max="2" width="72.1640625" customWidth="1"/>
  </cols>
  <sheetData>
    <row r="2" spans="2:7" ht="21" x14ac:dyDescent="0.25">
      <c r="B2" s="2" t="s">
        <v>43</v>
      </c>
    </row>
    <row r="3" spans="2:7" x14ac:dyDescent="0.2">
      <c r="B3" t="s">
        <v>42</v>
      </c>
    </row>
    <row r="5" spans="2:7" x14ac:dyDescent="0.2">
      <c r="B5" t="s">
        <v>63</v>
      </c>
    </row>
    <row r="9" spans="2:7" x14ac:dyDescent="0.2">
      <c r="C9" s="1" t="s">
        <v>2</v>
      </c>
      <c r="D9" s="1" t="s">
        <v>3</v>
      </c>
      <c r="E9" s="1" t="s">
        <v>1</v>
      </c>
      <c r="G9" s="1" t="s">
        <v>59</v>
      </c>
    </row>
    <row r="10" spans="2:7" x14ac:dyDescent="0.2">
      <c r="B10" t="s">
        <v>37</v>
      </c>
      <c r="C10">
        <f>73.78-44.92</f>
        <v>28.86</v>
      </c>
      <c r="D10">
        <v>74.092680000000001</v>
      </c>
      <c r="E10">
        <f>C10/D10</f>
        <v>0.38951216233506464</v>
      </c>
      <c r="G10" t="s">
        <v>12</v>
      </c>
    </row>
    <row r="11" spans="2:7" x14ac:dyDescent="0.2">
      <c r="B11" t="s">
        <v>53</v>
      </c>
      <c r="C11" s="4">
        <f>E11*D11</f>
        <v>38.985064840413379</v>
      </c>
      <c r="D11">
        <v>100.0869</v>
      </c>
      <c r="E11">
        <f>E10</f>
        <v>0.38951216233506464</v>
      </c>
    </row>
    <row r="12" spans="2:7" x14ac:dyDescent="0.2">
      <c r="B12" t="s">
        <v>48</v>
      </c>
      <c r="C12" s="4">
        <f>E12*D12</f>
        <v>7.0171706678716435</v>
      </c>
      <c r="D12">
        <v>18.015280000000001</v>
      </c>
      <c r="E12">
        <f>E11</f>
        <v>0.38951216233506464</v>
      </c>
    </row>
    <row r="13" spans="2:7" x14ac:dyDescent="0.2">
      <c r="B13" t="s">
        <v>49</v>
      </c>
      <c r="C13" s="4">
        <f>C11+C12-C10</f>
        <v>17.142235508285026</v>
      </c>
    </row>
    <row r="14" spans="2:7" x14ac:dyDescent="0.2">
      <c r="B14" t="s">
        <v>51</v>
      </c>
      <c r="C14" s="4">
        <f>C11+C12</f>
        <v>46.002235508285025</v>
      </c>
    </row>
    <row r="15" spans="2:7" x14ac:dyDescent="0.2">
      <c r="B15" t="s">
        <v>50</v>
      </c>
      <c r="C15" s="4">
        <f>C10+C13</f>
        <v>46.002235508285025</v>
      </c>
    </row>
    <row r="16" spans="2:7" s="3" customFormat="1" x14ac:dyDescent="0.2">
      <c r="C16" s="9"/>
    </row>
    <row r="17" spans="2:7" x14ac:dyDescent="0.2">
      <c r="B17" s="1" t="s">
        <v>4</v>
      </c>
      <c r="C17" s="1" t="s">
        <v>2</v>
      </c>
      <c r="D17" s="1" t="s">
        <v>3</v>
      </c>
      <c r="E17" s="1" t="s">
        <v>1</v>
      </c>
    </row>
    <row r="18" spans="2:7" x14ac:dyDescent="0.2">
      <c r="B18" t="s">
        <v>0</v>
      </c>
      <c r="C18">
        <v>0.83</v>
      </c>
    </row>
    <row r="19" spans="2:7" x14ac:dyDescent="0.2">
      <c r="B19" t="s">
        <v>52</v>
      </c>
      <c r="C19">
        <v>29.06</v>
      </c>
    </row>
    <row r="20" spans="2:7" x14ac:dyDescent="0.2">
      <c r="B20" t="s">
        <v>54</v>
      </c>
      <c r="C20">
        <f>C19-C18</f>
        <v>28.23</v>
      </c>
      <c r="D20">
        <f>D11</f>
        <v>100.0869</v>
      </c>
      <c r="E20">
        <f>C20/D20</f>
        <v>0.28205489429685604</v>
      </c>
      <c r="G20" t="s">
        <v>72</v>
      </c>
    </row>
    <row r="21" spans="2:7" x14ac:dyDescent="0.2">
      <c r="B21" t="s">
        <v>67</v>
      </c>
      <c r="C21">
        <f>C20-C10</f>
        <v>-0.62999999999999901</v>
      </c>
    </row>
    <row r="22" spans="2:7" x14ac:dyDescent="0.2">
      <c r="B22" s="18"/>
      <c r="C22" s="18"/>
      <c r="D22" s="23"/>
    </row>
    <row r="23" spans="2:7" x14ac:dyDescent="0.2">
      <c r="B23" s="1" t="s">
        <v>57</v>
      </c>
    </row>
    <row r="24" spans="2:7" x14ac:dyDescent="0.2">
      <c r="B24" t="s">
        <v>75</v>
      </c>
    </row>
    <row r="25" spans="2:7" x14ac:dyDescent="0.2">
      <c r="B25" t="s">
        <v>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D684D-BA7A-DE43-BDFC-A76248C598E3}">
  <dimension ref="B2:I33"/>
  <sheetViews>
    <sheetView zoomScale="190" zoomScaleNormal="190" workbookViewId="0">
      <selection activeCell="C26" sqref="C26"/>
    </sheetView>
  </sheetViews>
  <sheetFormatPr baseColWidth="10" defaultRowHeight="16" x14ac:dyDescent="0.2"/>
  <cols>
    <col min="1" max="1" width="6.1640625" customWidth="1"/>
    <col min="2" max="2" width="72.1640625" customWidth="1"/>
  </cols>
  <sheetData>
    <row r="2" spans="2:9" ht="21" x14ac:dyDescent="0.25">
      <c r="B2" s="2" t="s">
        <v>44</v>
      </c>
    </row>
    <row r="3" spans="2:9" x14ac:dyDescent="0.2">
      <c r="B3" t="s">
        <v>42</v>
      </c>
    </row>
    <row r="5" spans="2:9" x14ac:dyDescent="0.2">
      <c r="B5" t="s">
        <v>47</v>
      </c>
    </row>
    <row r="6" spans="2:9" x14ac:dyDescent="0.2">
      <c r="B6" t="s">
        <v>56</v>
      </c>
    </row>
    <row r="7" spans="2:9" x14ac:dyDescent="0.2">
      <c r="B7" t="s">
        <v>55</v>
      </c>
    </row>
    <row r="9" spans="2:9" x14ac:dyDescent="0.2">
      <c r="C9" s="1" t="s">
        <v>2</v>
      </c>
      <c r="D9" s="1" t="s">
        <v>3</v>
      </c>
      <c r="E9" s="1" t="s">
        <v>1</v>
      </c>
      <c r="G9" s="1" t="s">
        <v>59</v>
      </c>
    </row>
    <row r="10" spans="2:9" x14ac:dyDescent="0.2">
      <c r="B10" t="s">
        <v>37</v>
      </c>
      <c r="C10">
        <f>37.21-13.37</f>
        <v>23.840000000000003</v>
      </c>
      <c r="D10">
        <v>74.092680000000001</v>
      </c>
      <c r="E10">
        <f>C10/D10</f>
        <v>0.32175918052903474</v>
      </c>
      <c r="G10" t="s">
        <v>12</v>
      </c>
    </row>
    <row r="11" spans="2:9" x14ac:dyDescent="0.2">
      <c r="B11" t="s">
        <v>53</v>
      </c>
      <c r="C11" s="4">
        <f>E11*D11</f>
        <v>32.203878925691448</v>
      </c>
      <c r="D11">
        <v>100.0869</v>
      </c>
      <c r="E11">
        <f>E10</f>
        <v>0.32175918052903474</v>
      </c>
    </row>
    <row r="12" spans="2:9" x14ac:dyDescent="0.2">
      <c r="B12" t="s">
        <v>48</v>
      </c>
      <c r="C12" s="4">
        <f>E12*D12</f>
        <v>5.7965817298011091</v>
      </c>
      <c r="D12">
        <v>18.015280000000001</v>
      </c>
      <c r="E12">
        <f>E11</f>
        <v>0.32175918052903474</v>
      </c>
    </row>
    <row r="13" spans="2:9" x14ac:dyDescent="0.2">
      <c r="B13" t="s">
        <v>49</v>
      </c>
      <c r="C13" s="4">
        <f>C11+C12-C10</f>
        <v>14.160460655492557</v>
      </c>
      <c r="D13">
        <v>44.009500000000003</v>
      </c>
      <c r="E13">
        <f>E10</f>
        <v>0.32175918052903474</v>
      </c>
      <c r="G13" s="1"/>
      <c r="H13" s="1"/>
      <c r="I13" s="1"/>
    </row>
    <row r="14" spans="2:9" x14ac:dyDescent="0.2">
      <c r="B14" t="s">
        <v>51</v>
      </c>
      <c r="C14" s="4">
        <f>C11+C12</f>
        <v>38.00046065549256</v>
      </c>
    </row>
    <row r="15" spans="2:9" x14ac:dyDescent="0.2">
      <c r="B15" t="s">
        <v>50</v>
      </c>
      <c r="C15" s="4">
        <f>C10+C13</f>
        <v>38.00046065549256</v>
      </c>
      <c r="D15" s="4"/>
      <c r="G15" s="4"/>
    </row>
    <row r="16" spans="2:9" x14ac:dyDescent="0.2">
      <c r="G16" s="4"/>
    </row>
    <row r="17" spans="2:8" x14ac:dyDescent="0.2">
      <c r="B17" s="1" t="s">
        <v>4</v>
      </c>
      <c r="C17" s="1" t="s">
        <v>2</v>
      </c>
      <c r="D17" s="1" t="s">
        <v>3</v>
      </c>
      <c r="E17" s="1" t="s">
        <v>1</v>
      </c>
      <c r="G17" s="4"/>
    </row>
    <row r="18" spans="2:8" x14ac:dyDescent="0.2">
      <c r="B18" t="s">
        <v>0</v>
      </c>
      <c r="C18">
        <v>0.83</v>
      </c>
      <c r="G18" s="4"/>
    </row>
    <row r="19" spans="2:8" x14ac:dyDescent="0.2">
      <c r="B19" t="s">
        <v>52</v>
      </c>
      <c r="C19">
        <v>25.06</v>
      </c>
      <c r="G19" s="4"/>
      <c r="H19" s="4"/>
    </row>
    <row r="20" spans="2:8" x14ac:dyDescent="0.2">
      <c r="B20" t="s">
        <v>54</v>
      </c>
      <c r="C20">
        <f>C19-C18</f>
        <v>24.23</v>
      </c>
      <c r="D20">
        <f>D11</f>
        <v>100.0869</v>
      </c>
      <c r="E20">
        <f>C20/D20</f>
        <v>0.24208962411664264</v>
      </c>
    </row>
    <row r="21" spans="2:8" x14ac:dyDescent="0.2">
      <c r="B21" t="s">
        <v>67</v>
      </c>
      <c r="C21">
        <f>C20-C10</f>
        <v>0.38999999999999702</v>
      </c>
    </row>
    <row r="22" spans="2:8" x14ac:dyDescent="0.2">
      <c r="B22" s="1" t="s">
        <v>76</v>
      </c>
      <c r="C22" s="4">
        <f>E22*D22</f>
        <v>10.654243312561386</v>
      </c>
      <c r="D22">
        <v>44.009500000000003</v>
      </c>
      <c r="E22">
        <f>E20</f>
        <v>0.24208962411664264</v>
      </c>
    </row>
    <row r="23" spans="2:8" x14ac:dyDescent="0.2">
      <c r="B23" s="1" t="s">
        <v>209</v>
      </c>
      <c r="C23" s="4">
        <f>C21/(D11-D10)*D22</f>
        <v>0.66028928738772963</v>
      </c>
    </row>
    <row r="24" spans="2:8" x14ac:dyDescent="0.2">
      <c r="B24" s="24" t="s">
        <v>198</v>
      </c>
    </row>
    <row r="25" spans="2:8" x14ac:dyDescent="0.2">
      <c r="C25" s="4">
        <f>C23/C10</f>
        <v>2.7696698296465164E-2</v>
      </c>
      <c r="D25" t="s">
        <v>5</v>
      </c>
    </row>
    <row r="26" spans="2:8" x14ac:dyDescent="0.2">
      <c r="C26">
        <f>C25/D22</f>
        <v>6.293345367810396E-4</v>
      </c>
      <c r="D26" t="s">
        <v>6</v>
      </c>
    </row>
    <row r="27" spans="2:8" x14ac:dyDescent="0.2">
      <c r="B27" t="s">
        <v>23</v>
      </c>
      <c r="C27" s="1">
        <f>C26*1000</f>
        <v>0.62933453678103957</v>
      </c>
      <c r="D27" s="1" t="s">
        <v>7</v>
      </c>
    </row>
    <row r="29" spans="2:8" x14ac:dyDescent="0.2">
      <c r="B29" t="s">
        <v>20</v>
      </c>
      <c r="C29" s="5">
        <f>1/C25</f>
        <v>36.105386616701047</v>
      </c>
      <c r="D29" s="1" t="s">
        <v>17</v>
      </c>
    </row>
    <row r="31" spans="2:8" x14ac:dyDescent="0.2">
      <c r="B31" s="1" t="s">
        <v>57</v>
      </c>
    </row>
    <row r="32" spans="2:8" x14ac:dyDescent="0.2">
      <c r="B32" t="s">
        <v>75</v>
      </c>
    </row>
    <row r="33" spans="2:2" x14ac:dyDescent="0.2">
      <c r="B33" t="s">
        <v>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75EA-8C57-244D-8B96-5DBA27A14282}">
  <dimension ref="B2:G29"/>
  <sheetViews>
    <sheetView zoomScale="190" zoomScaleNormal="190" workbookViewId="0">
      <selection activeCell="B21" sqref="B21:C21"/>
    </sheetView>
  </sheetViews>
  <sheetFormatPr baseColWidth="10" defaultRowHeight="16" x14ac:dyDescent="0.2"/>
  <cols>
    <col min="1" max="1" width="6.1640625" customWidth="1"/>
    <col min="2" max="2" width="72.1640625" customWidth="1"/>
  </cols>
  <sheetData>
    <row r="2" spans="2:7" ht="21" x14ac:dyDescent="0.25">
      <c r="B2" s="2" t="s">
        <v>34</v>
      </c>
    </row>
    <row r="3" spans="2:7" x14ac:dyDescent="0.2">
      <c r="B3" t="s">
        <v>30</v>
      </c>
    </row>
    <row r="5" spans="2:7" x14ac:dyDescent="0.2">
      <c r="B5" t="s">
        <v>62</v>
      </c>
    </row>
    <row r="6" spans="2:7" x14ac:dyDescent="0.2">
      <c r="B6" t="s">
        <v>35</v>
      </c>
    </row>
    <row r="7" spans="2:7" x14ac:dyDescent="0.2">
      <c r="B7" t="s">
        <v>36</v>
      </c>
    </row>
    <row r="9" spans="2:7" x14ac:dyDescent="0.2">
      <c r="C9" s="1" t="s">
        <v>2</v>
      </c>
      <c r="D9" s="1" t="s">
        <v>3</v>
      </c>
      <c r="E9" s="1" t="s">
        <v>1</v>
      </c>
      <c r="G9" s="1" t="s">
        <v>59</v>
      </c>
    </row>
    <row r="10" spans="2:7" x14ac:dyDescent="0.2">
      <c r="B10" t="s">
        <v>37</v>
      </c>
      <c r="C10">
        <f>27.33-2</f>
        <v>25.33</v>
      </c>
      <c r="D10">
        <v>74.092680000000001</v>
      </c>
      <c r="E10">
        <f>C10/D10</f>
        <v>0.34186912931209934</v>
      </c>
      <c r="G10" t="s">
        <v>12</v>
      </c>
    </row>
    <row r="11" spans="2:7" x14ac:dyDescent="0.2">
      <c r="B11" t="s">
        <v>53</v>
      </c>
      <c r="C11" s="4">
        <f>E11*D11</f>
        <v>34.216621358547158</v>
      </c>
      <c r="D11">
        <v>100.0869</v>
      </c>
      <c r="E11">
        <f>E10</f>
        <v>0.34186912931209934</v>
      </c>
    </row>
    <row r="12" spans="2:7" x14ac:dyDescent="0.2">
      <c r="B12" t="s">
        <v>48</v>
      </c>
      <c r="C12" s="4">
        <f>E12*D12</f>
        <v>6.1588680879136772</v>
      </c>
      <c r="D12">
        <v>18.015280000000001</v>
      </c>
      <c r="E12">
        <f>E11</f>
        <v>0.34186912931209934</v>
      </c>
    </row>
    <row r="13" spans="2:7" x14ac:dyDescent="0.2">
      <c r="B13" t="s">
        <v>49</v>
      </c>
      <c r="C13" s="4">
        <f>C11+C12-C10</f>
        <v>15.045489446460834</v>
      </c>
      <c r="D13">
        <v>44.009500000000003</v>
      </c>
      <c r="E13">
        <f>E10</f>
        <v>0.34186912931209934</v>
      </c>
    </row>
    <row r="14" spans="2:7" x14ac:dyDescent="0.2">
      <c r="B14" t="s">
        <v>51</v>
      </c>
      <c r="C14" s="4">
        <f>C11+C12</f>
        <v>40.375489446460833</v>
      </c>
    </row>
    <row r="15" spans="2:7" x14ac:dyDescent="0.2">
      <c r="B15" t="s">
        <v>50</v>
      </c>
      <c r="C15" s="4">
        <f>C10+C13</f>
        <v>40.375489446460833</v>
      </c>
      <c r="D15" s="4"/>
    </row>
    <row r="16" spans="2:7" x14ac:dyDescent="0.2">
      <c r="C16" s="4"/>
    </row>
    <row r="17" spans="2:5" x14ac:dyDescent="0.2">
      <c r="B17" s="1" t="s">
        <v>4</v>
      </c>
      <c r="C17" s="1" t="s">
        <v>2</v>
      </c>
      <c r="D17" s="1" t="s">
        <v>3</v>
      </c>
      <c r="E17" s="1" t="s">
        <v>1</v>
      </c>
    </row>
    <row r="18" spans="2:5" x14ac:dyDescent="0.2">
      <c r="B18" t="s">
        <v>0</v>
      </c>
      <c r="C18">
        <v>0.83</v>
      </c>
    </row>
    <row r="19" spans="2:5" x14ac:dyDescent="0.2">
      <c r="B19" t="s">
        <v>52</v>
      </c>
      <c r="C19">
        <v>23.09</v>
      </c>
    </row>
    <row r="20" spans="2:5" x14ac:dyDescent="0.2">
      <c r="B20" t="s">
        <v>54</v>
      </c>
      <c r="C20">
        <f>C19-C18</f>
        <v>22.26</v>
      </c>
      <c r="D20">
        <f>D11</f>
        <v>100.0869</v>
      </c>
      <c r="E20">
        <f>C20/D20</f>
        <v>0.22240672855288757</v>
      </c>
    </row>
    <row r="21" spans="2:5" x14ac:dyDescent="0.2">
      <c r="B21" t="s">
        <v>67</v>
      </c>
      <c r="C21">
        <f>C20-C10</f>
        <v>-3.0699999999999967</v>
      </c>
    </row>
    <row r="22" spans="2:5" x14ac:dyDescent="0.2">
      <c r="C22" s="4"/>
    </row>
    <row r="24" spans="2:5" x14ac:dyDescent="0.2">
      <c r="C24" s="1"/>
      <c r="D24" s="1"/>
    </row>
    <row r="26" spans="2:5" x14ac:dyDescent="0.2">
      <c r="C26" s="5"/>
      <c r="D26" s="1"/>
    </row>
    <row r="28" spans="2:5" x14ac:dyDescent="0.2">
      <c r="C28" s="5"/>
      <c r="D28" s="1"/>
    </row>
    <row r="29" spans="2:5" x14ac:dyDescent="0.2">
      <c r="D29"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45F89-A8A4-8A4D-9678-ED3BA6722B2A}">
  <dimension ref="B2:G24"/>
  <sheetViews>
    <sheetView zoomScale="190" zoomScaleNormal="190" workbookViewId="0">
      <selection activeCell="B24" sqref="B24:C24"/>
    </sheetView>
  </sheetViews>
  <sheetFormatPr baseColWidth="10" defaultRowHeight="16" x14ac:dyDescent="0.2"/>
  <cols>
    <col min="1" max="1" width="6.1640625" customWidth="1"/>
    <col min="2" max="2" width="72.1640625" customWidth="1"/>
  </cols>
  <sheetData>
    <row r="2" spans="2:7" ht="21" x14ac:dyDescent="0.25">
      <c r="B2" s="2" t="s">
        <v>33</v>
      </c>
    </row>
    <row r="3" spans="2:7" x14ac:dyDescent="0.2">
      <c r="B3" t="s">
        <v>30</v>
      </c>
    </row>
    <row r="5" spans="2:7" x14ac:dyDescent="0.2">
      <c r="B5" t="s">
        <v>40</v>
      </c>
    </row>
    <row r="6" spans="2:7" x14ac:dyDescent="0.2">
      <c r="B6" t="s">
        <v>38</v>
      </c>
    </row>
    <row r="7" spans="2:7" x14ac:dyDescent="0.2">
      <c r="B7" t="s">
        <v>41</v>
      </c>
    </row>
    <row r="8" spans="2:7" x14ac:dyDescent="0.2">
      <c r="B8" t="s">
        <v>39</v>
      </c>
    </row>
    <row r="9" spans="2:7" x14ac:dyDescent="0.2">
      <c r="B9" t="s">
        <v>31</v>
      </c>
    </row>
    <row r="10" spans="2:7" x14ac:dyDescent="0.2">
      <c r="B10" s="3" t="s">
        <v>32</v>
      </c>
    </row>
    <row r="12" spans="2:7" x14ac:dyDescent="0.2">
      <c r="C12" s="1" t="s">
        <v>2</v>
      </c>
      <c r="D12" s="1" t="s">
        <v>3</v>
      </c>
      <c r="E12" s="1" t="s">
        <v>1</v>
      </c>
      <c r="G12" s="1" t="s">
        <v>59</v>
      </c>
    </row>
    <row r="13" spans="2:7" x14ac:dyDescent="0.2">
      <c r="B13" t="s">
        <v>37</v>
      </c>
      <c r="C13">
        <f>100.14-9.22</f>
        <v>90.92</v>
      </c>
      <c r="D13">
        <v>74.092680000000001</v>
      </c>
      <c r="E13">
        <f>C13/D13</f>
        <v>1.2271117740645905</v>
      </c>
      <c r="G13" t="s">
        <v>12</v>
      </c>
    </row>
    <row r="14" spans="2:7" x14ac:dyDescent="0.2">
      <c r="B14" t="s">
        <v>53</v>
      </c>
      <c r="C14" s="4">
        <f>E14*D14</f>
        <v>122.81781341962527</v>
      </c>
      <c r="D14">
        <v>100.0869</v>
      </c>
      <c r="E14">
        <f>E13</f>
        <v>1.2271117740645905</v>
      </c>
    </row>
    <row r="15" spans="2:7" x14ac:dyDescent="0.2">
      <c r="B15" t="s">
        <v>48</v>
      </c>
      <c r="C15" s="4">
        <f>E15*D15</f>
        <v>22.106762201070335</v>
      </c>
      <c r="D15">
        <v>18.015280000000001</v>
      </c>
      <c r="E15">
        <f>E14</f>
        <v>1.2271117740645905</v>
      </c>
    </row>
    <row r="16" spans="2:7" x14ac:dyDescent="0.2">
      <c r="B16" t="s">
        <v>49</v>
      </c>
      <c r="C16" s="4">
        <f>C14+C15-C13</f>
        <v>54.004575620695604</v>
      </c>
      <c r="D16">
        <v>44.009500000000003</v>
      </c>
      <c r="E16">
        <f>E13</f>
        <v>1.2271117740645905</v>
      </c>
    </row>
    <row r="17" spans="2:5" x14ac:dyDescent="0.2">
      <c r="B17" t="s">
        <v>51</v>
      </c>
      <c r="C17" s="4">
        <f>C14+C15</f>
        <v>144.92457562069561</v>
      </c>
    </row>
    <row r="18" spans="2:5" x14ac:dyDescent="0.2">
      <c r="B18" t="s">
        <v>50</v>
      </c>
      <c r="C18" s="4">
        <f>C13+C16</f>
        <v>144.92457562069561</v>
      </c>
      <c r="D18" s="4"/>
    </row>
    <row r="20" spans="2:5" x14ac:dyDescent="0.2">
      <c r="B20" s="1" t="s">
        <v>4</v>
      </c>
      <c r="C20" s="1" t="s">
        <v>2</v>
      </c>
      <c r="D20" s="1" t="s">
        <v>3</v>
      </c>
      <c r="E20" s="1" t="s">
        <v>1</v>
      </c>
    </row>
    <row r="21" spans="2:5" x14ac:dyDescent="0.2">
      <c r="B21" t="s">
        <v>0</v>
      </c>
      <c r="C21">
        <v>0.83</v>
      </c>
    </row>
    <row r="22" spans="2:5" x14ac:dyDescent="0.2">
      <c r="B22" t="s">
        <v>52</v>
      </c>
      <c r="C22">
        <v>80.72</v>
      </c>
    </row>
    <row r="23" spans="2:5" x14ac:dyDescent="0.2">
      <c r="B23" t="s">
        <v>54</v>
      </c>
      <c r="C23">
        <f>C22-C21</f>
        <v>79.89</v>
      </c>
      <c r="D23">
        <f>D14</f>
        <v>100.0869</v>
      </c>
      <c r="E23">
        <f>C23/D23</f>
        <v>0.798206358674312</v>
      </c>
    </row>
    <row r="24" spans="2:5" x14ac:dyDescent="0.2">
      <c r="B24" t="s">
        <v>67</v>
      </c>
      <c r="C24">
        <f>C23-C13</f>
        <v>-11.030000000000001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Summary</vt:lpstr>
      <vt:lpstr>January</vt:lpstr>
      <vt:lpstr>Jan13-21</vt:lpstr>
      <vt:lpstr>Jan12-21b</vt:lpstr>
      <vt:lpstr>Jan12-21a</vt:lpstr>
      <vt:lpstr>Jan11-21b</vt:lpstr>
      <vt:lpstr>Jan11-21a</vt:lpstr>
      <vt:lpstr>Jan10-21b</vt:lpstr>
      <vt:lpstr>Jan10-21a</vt:lpstr>
      <vt:lpstr>Jan7-21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Dahl Winters</dc:creator>
  <cp:lastModifiedBy>Dahl Winters</cp:lastModifiedBy>
  <dcterms:created xsi:type="dcterms:W3CDTF">2021-01-07T15:51:41Z</dcterms:created>
  <dcterms:modified xsi:type="dcterms:W3CDTF">2021-02-01T04:58:03Z</dcterms:modified>
</cp:coreProperties>
</file>