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yan Calcs" sheetId="1" r:id="rId4"/>
  </sheets>
  <definedNames/>
  <calcPr/>
</workbook>
</file>

<file path=xl/sharedStrings.xml><?xml version="1.0" encoding="utf-8"?>
<sst xmlns="http://schemas.openxmlformats.org/spreadsheetml/2006/main" count="299" uniqueCount="263">
  <si>
    <t>Expected size of device (actual device shown, built into a portable file box)</t>
  </si>
  <si>
    <t>Conversion Factors</t>
  </si>
  <si>
    <t>Project Cyan - Requirements for Distributed Carbon Capture</t>
  </si>
  <si>
    <t>MT</t>
  </si>
  <si>
    <t>g C</t>
  </si>
  <si>
    <t>Dahl Winters, 1/5/2021</t>
  </si>
  <si>
    <t>US tons</t>
  </si>
  <si>
    <r>
      <rPr>
        <rFont val="Calibri"/>
        <color theme="1"/>
        <sz val="11.0"/>
      </rPr>
      <t>g CO</t>
    </r>
    <r>
      <rPr>
        <rFont val="Calibri (Body)"/>
        <color theme="1"/>
        <sz val="11.0"/>
        <vertAlign val="subscript"/>
      </rPr>
      <t>2</t>
    </r>
  </si>
  <si>
    <t xml:space="preserve">https://cdiac.ess-dive.lbl.gov/pns/convert.html </t>
  </si>
  <si>
    <t>references in Column F and at the bottom</t>
  </si>
  <si>
    <t>ton C</t>
  </si>
  <si>
    <r>
      <rPr>
        <rFont val="Calibri"/>
        <color theme="1"/>
        <sz val="11.0"/>
      </rPr>
      <t>mol CO</t>
    </r>
    <r>
      <rPr>
        <rFont val="Calibri (Body)"/>
        <color theme="1"/>
        <sz val="11.0"/>
        <vertAlign val="subscript"/>
      </rPr>
      <t>2</t>
    </r>
  </si>
  <si>
    <r>
      <rPr>
        <rFont val="Calibri"/>
        <color theme="1"/>
      </rPr>
      <t>tons CO</t>
    </r>
    <r>
      <rPr>
        <rFont val="Calibri (Body)"/>
        <color theme="1"/>
        <sz val="11.0"/>
        <vertAlign val="subscript"/>
      </rPr>
      <t>2</t>
    </r>
  </si>
  <si>
    <t>L</t>
  </si>
  <si>
    <r>
      <rPr>
        <rFont val="Calibri"/>
        <b/>
        <color theme="1"/>
        <sz val="11.0"/>
      </rPr>
      <t>Summary:</t>
    </r>
    <r>
      <rPr>
        <rFont val="Calibri"/>
        <color theme="1"/>
        <sz val="11.0"/>
      </rPr>
      <t xml:space="preserve"> A top-down analysis of how to meet a near-term climate goal via</t>
    </r>
  </si>
  <si>
    <r>
      <rPr>
        <rFont val="Calibri"/>
        <color theme="1"/>
      </rPr>
      <t>m</t>
    </r>
    <r>
      <rPr>
        <rFont val="Calibri (Body)"/>
        <color theme="1"/>
        <sz val="11.0"/>
        <vertAlign val="superscript"/>
      </rPr>
      <t>3</t>
    </r>
  </si>
  <si>
    <r>
      <rPr>
        <rFont val="Calibri"/>
        <color theme="1"/>
        <sz val="11.0"/>
      </rPr>
      <t>ft</t>
    </r>
    <r>
      <rPr>
        <rFont val="Calibri (Body)"/>
        <color theme="1"/>
        <sz val="11.0"/>
        <vertAlign val="superscript"/>
      </rPr>
      <t>3</t>
    </r>
  </si>
  <si>
    <t>numerous low-cost (&lt;$100), distributed, small-scale direct air carbon capture (DACC) devices.</t>
  </si>
  <si>
    <t>ft3</t>
  </si>
  <si>
    <t>kg</t>
  </si>
  <si>
    <t>lb</t>
  </si>
  <si>
    <r>
      <rPr>
        <rFont val="Calibri"/>
        <b/>
        <color theme="1"/>
        <sz val="11.0"/>
      </rPr>
      <t>Goal:</t>
    </r>
    <r>
      <rPr>
        <rFont val="Calibri"/>
        <color theme="1"/>
        <sz val="11.0"/>
      </rPr>
      <t xml:space="preserve"> Use consumer-available materials with minimal environmental impact.</t>
    </r>
  </si>
  <si>
    <t>Key to quantities below:</t>
  </si>
  <si>
    <t>Simple, low-cost system design that can be done at home.</t>
  </si>
  <si>
    <t>Blue: Editable Inputs</t>
  </si>
  <si>
    <t>Bold: Outputs</t>
  </si>
  <si>
    <t>Bold and Italic: Important Quantities</t>
  </si>
  <si>
    <t>Level of Distribution and Flow Rates Needed</t>
  </si>
  <si>
    <t>Quantities</t>
  </si>
  <si>
    <t>Notes</t>
  </si>
  <si>
    <t>Reference Links</t>
  </si>
  <si>
    <t>Dimensions of the Problem</t>
  </si>
  <si>
    <t>Mass of CO2 in metric tons to be sequestered to reach DAC goal by 2030</t>
  </si>
  <si>
    <t>MT CO2</t>
  </si>
  <si>
    <t>equals 9 million tons by 2030 - exponential trajectory to achieving 2050 emissions goals</t>
  </si>
  <si>
    <t>https://rhg.com/research/capturing-leadership-policies-for-the-us-to-advance-direct-air-capture-technology/, https://www.youtube.com/watch?v=GvUAnX8RFmA&amp;t=20s</t>
  </si>
  <si>
    <t>Mass of CO2 in tons needed to be sequestered to reach DAC goal by 2030</t>
  </si>
  <si>
    <t>tons CO2</t>
  </si>
  <si>
    <t>CO2 emissions reduction per year between 2020-2030 needed to reach DAC goal</t>
  </si>
  <si>
    <t>People Who Can Help Solve the Problem</t>
  </si>
  <si>
    <t>Number of people in America</t>
  </si>
  <si>
    <t>population as of Nov 27, 2020</t>
  </si>
  <si>
    <t>https://www.worldometers.info/world-population/us-population/</t>
  </si>
  <si>
    <t>Number of people in Europe</t>
  </si>
  <si>
    <t>http://www.worldometers.info/world-population/europe-population/</t>
  </si>
  <si>
    <t>Number of possible participants</t>
  </si>
  <si>
    <t>assumes participants are in developed countries, NA and EU</t>
  </si>
  <si>
    <t>Fraction of people participating</t>
  </si>
  <si>
    <t>original value = 0.002 as the fraction of people participating</t>
  </si>
  <si>
    <t>Number of participants</t>
  </si>
  <si>
    <t>Devices per person</t>
  </si>
  <si>
    <t>original value = 1 device per person</t>
  </si>
  <si>
    <t xml:space="preserve">Number of devices needed </t>
  </si>
  <si>
    <t>Necessary Effort Per Device and CO2 Capture Rates</t>
  </si>
  <si>
    <t>Mass CO2 in metric tons per device per year needed to be sequestered</t>
  </si>
  <si>
    <t>MT CO2/year</t>
  </si>
  <si>
    <t>Mass CO2 in kg needed to be captured per second</t>
  </si>
  <si>
    <t>kg CO2/second</t>
  </si>
  <si>
    <t>Mass CO2 in g needed to be captured per second</t>
  </si>
  <si>
    <t>g CO2/second</t>
  </si>
  <si>
    <t>Moles CO2 needed to be captured per second</t>
  </si>
  <si>
    <t>mol CO2/second</t>
  </si>
  <si>
    <t>Volume of CO2 needed to be captured per second</t>
  </si>
  <si>
    <t>liters/second</t>
  </si>
  <si>
    <t>Hemolung: 72 mL/min at flow rate of 447 mL/min: https://pubmed.ncbi.nlm.nih.gov/21317644/</t>
  </si>
  <si>
    <t>Volume of CO2 needed to be captured per minute (mL/min)</t>
  </si>
  <si>
    <t>mL/min</t>
  </si>
  <si>
    <t xml:space="preserve">as an example only; compare to the rate of dialysis machines </t>
  </si>
  <si>
    <t>dialysis: CO2 removal rates of 100 mL/min possible: https://www.ncbi.nlm.nih.gov/pmc/articles/PMC5383917/</t>
  </si>
  <si>
    <t>Pct by vol CO2 in ambient air</t>
  </si>
  <si>
    <t>already as percent</t>
  </si>
  <si>
    <t>https://www.engineeringtoolbox.com/air-composition-d_212.html</t>
  </si>
  <si>
    <t>Volume of air needed to get required vol of CO2 per second</t>
  </si>
  <si>
    <t>Volume of air needed to get required vol of CO2 per second, cubic feet</t>
  </si>
  <si>
    <t>cubic feet/second</t>
  </si>
  <si>
    <t>Volume of air needed to get required vol of CO2 per minute, cubic feet</t>
  </si>
  <si>
    <t>cubic feet/minute</t>
  </si>
  <si>
    <t>1000 cfm = a small floor fan; 30-70 cfm = 120 mm computer fans</t>
  </si>
  <si>
    <t>https://knowtheflo.com/high-cfm-fan/</t>
  </si>
  <si>
    <t>Inputs and Outputs</t>
  </si>
  <si>
    <t>CO2 Sorbents and How Much Needed - all ambient air, 25 C unless noted</t>
  </si>
  <si>
    <t>mmol CO2 needed to be captured per hour</t>
  </si>
  <si>
    <t>mmol CO2/hr</t>
  </si>
  <si>
    <t>CO2 absorption of Dowex sorbent, kg CO2 per kg sorbent</t>
  </si>
  <si>
    <t>kg CO2/kg sorbent</t>
  </si>
  <si>
    <t>equals 29 kg sorbent per 1 kg/day CO2, assumes 8 cycles/day</t>
  </si>
  <si>
    <t>from OpenAir's DACC HACC Design Considerations page</t>
  </si>
  <si>
    <t xml:space="preserve">     CO2 absorption of Dowex sorbent, g CO2 per g sorbent</t>
  </si>
  <si>
    <t>g CO2/g sorbent</t>
  </si>
  <si>
    <t xml:space="preserve">     CO2 absorption of Dowex sorbent, mmol CO2 per g sorbent</t>
  </si>
  <si>
    <t>mmol CO2/g sorbent</t>
  </si>
  <si>
    <t>calculated to be able to compare against other sorbents</t>
  </si>
  <si>
    <t>CO2 absorption of moisture swing (MS) sorbent, mmol CO2/g sorbent</t>
  </si>
  <si>
    <t>close to the Dowex which is expected</t>
  </si>
  <si>
    <t>https://www.researchgate.net/publication/334970095_Sorbents_for_Direct_Capture_of_CO2_from_Ambient_Air</t>
  </si>
  <si>
    <t>CO2 absorption of NaOH sorbent, tons CO2 per ton sorbent</t>
  </si>
  <si>
    <t>tons CO2/ton sorbent</t>
  </si>
  <si>
    <t>1 ton of CO2 per 0.9 ton NaOH sorbent reported</t>
  </si>
  <si>
    <t>https://www.sciencedirect.com/science/article/pii/S0301479712005737</t>
  </si>
  <si>
    <t xml:space="preserve">     CO2 absorption of NaOH sorbent, g CO2 per g sorbent</t>
  </si>
  <si>
    <t xml:space="preserve">     CO2 absorption of NaOH sorbent, mol CO2 per g sorbent</t>
  </si>
  <si>
    <t>mol CO2/g sorbent</t>
  </si>
  <si>
    <t xml:space="preserve">     CO2 absorption of NaOH sorbent, mmol CO2 per g sorbent</t>
  </si>
  <si>
    <t>more than 30x the absorption of the Dowex sorbent, assumed for concentrated solid</t>
  </si>
  <si>
    <t>CO2 absorption of CaO sorbent, g CO2 per g sorbent</t>
  </si>
  <si>
    <t>https://www.sciencedirect.com/science/article/abs/pii/S0016236111006284</t>
  </si>
  <si>
    <t xml:space="preserve">     CO2 absorption of CaO sorbent, mol CO2/g sorbent</t>
  </si>
  <si>
    <t xml:space="preserve">     CO2 absorption of CaO sorbent, mmol CO2/g sorbent</t>
  </si>
  <si>
    <t>CO2 absorption of Ca(OH)2 sorbent, g CO2 per g sorbent</t>
  </si>
  <si>
    <t>From Table 2, calcium base - see link at right</t>
  </si>
  <si>
    <t>https://www.researchgate.net/profile/Josefa_Fernandez-Ferreras/publication/282707459_Preparation_and_use_of_calcium_base_sorbents_with_mesoporous_supports_to_capture_CO_2/links/57015d9b08aea6b7746a7c33.pdf</t>
  </si>
  <si>
    <t xml:space="preserve">     CO2 absorption of Ca(OH)2 sorbent, mol CO2/g sorbent</t>
  </si>
  <si>
    <t xml:space="preserve">     CO2 absorption of Ca(OH)2 sorbent, mmol CO2/g sorbent</t>
  </si>
  <si>
    <t xml:space="preserve">     CO2 absorption of Ca(OH)2 sorbent, mmol CO2/g sorbent, upper limit</t>
  </si>
  <si>
    <t>upper limit of actual CO2 absorptions for Ca(OH)2; high temperatures needed to reach</t>
  </si>
  <si>
    <t>https://www.sciencedirect.com/science/article/pii/S0169433219333288</t>
  </si>
  <si>
    <t>CO2 absorption of Ca(OH)2 sorbent in saturated aqueous solution, g CO2/(g sorbent * L)</t>
  </si>
  <si>
    <t>g CO2/(g sorbent * L)</t>
  </si>
  <si>
    <t>Note: this is an experiment-derived value for a 30% CO2 mixture for comparison</t>
  </si>
  <si>
    <t>https://www.researchgate.net/publication/231272927_Carbon_Dioxide_Capture_Using_Calcium_Hydroxide_Aqueous_Solution_as_the_Absorbent</t>
  </si>
  <si>
    <t xml:space="preserve">     CO2 absorption of Ca(OH)2 sorbent in saturated aqueous solution, mol CO2/(g sorbent * L)</t>
  </si>
  <si>
    <t>mol CO2/(g sorbent * L)</t>
  </si>
  <si>
    <t xml:space="preserve">     CO2 absorption of Ca(OH)2 sorbent in saturated aqueous solution, mmol CO2/(g sorbent * L)</t>
  </si>
  <si>
    <t>mmol CO2/(g sorbent * L)</t>
  </si>
  <si>
    <t>Chosen sorbent, mmol CO2/g sorbent</t>
  </si>
  <si>
    <t>chosen sorbent is Ca(OH)2, upper limit of 11 mmol CO2/g sorbent and we choose 50% of that</t>
  </si>
  <si>
    <t>Mass in g of sorbent needed per hour</t>
  </si>
  <si>
    <t>g sorbent/hr</t>
  </si>
  <si>
    <t>Mass in kg of sorbent needed per day</t>
  </si>
  <si>
    <t>kg sorbent/day</t>
  </si>
  <si>
    <t>Mass in lbs of sorbent needed per day</t>
  </si>
  <si>
    <t>lbs sorbent/day</t>
  </si>
  <si>
    <t>Carbon Capture Product to Store</t>
  </si>
  <si>
    <t>Gram molecular weight of Ca(OH)2</t>
  </si>
  <si>
    <t>g/mol</t>
  </si>
  <si>
    <t>https://www.convertunits.com/molarmass/Calcium+hydroxide</t>
  </si>
  <si>
    <t>Moles Ca(OH)2 needed per hour</t>
  </si>
  <si>
    <t>mol Ca(OH)2/hr</t>
  </si>
  <si>
    <t>Moles CO2 captured per hour</t>
  </si>
  <si>
    <t>mol CO2/hr</t>
  </si>
  <si>
    <r>
      <rPr>
        <rFont val="Calibri"/>
        <color theme="1"/>
        <sz val="11.0"/>
      </rPr>
      <t>from Ca(OH)</t>
    </r>
    <r>
      <rPr>
        <rFont val="Calibri (Body)"/>
        <color theme="1"/>
        <sz val="11.0"/>
        <vertAlign val="subscript"/>
      </rPr>
      <t>2</t>
    </r>
    <r>
      <rPr>
        <rFont val="Calibri"/>
        <color theme="1"/>
        <sz val="11.0"/>
      </rPr>
      <t xml:space="preserve"> + 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 xml:space="preserve"> → 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 xml:space="preserve"> + H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O</t>
    </r>
  </si>
  <si>
    <t>Moles CaCO3 produced per hour</t>
  </si>
  <si>
    <t>mol CaCO3/hr</t>
  </si>
  <si>
    <r>
      <rPr>
        <rFont val="Calibri"/>
        <color theme="1"/>
        <sz val="11.0"/>
      </rPr>
      <t>from Ca(OH)</t>
    </r>
    <r>
      <rPr>
        <rFont val="Calibri (Body)"/>
        <color theme="1"/>
        <sz val="11.0"/>
        <vertAlign val="subscript"/>
      </rPr>
      <t>2</t>
    </r>
    <r>
      <rPr>
        <rFont val="Calibri"/>
        <color theme="1"/>
        <sz val="11.0"/>
      </rPr>
      <t xml:space="preserve"> + 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 xml:space="preserve"> → 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 xml:space="preserve"> + H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O</t>
    </r>
  </si>
  <si>
    <t>Gram molecular weight of CaCO3</t>
  </si>
  <si>
    <t>https://www.convertunits.com/molarmass/Calcium+Carbonate</t>
  </si>
  <si>
    <t>Mass in g of CaCO3 produced per hour</t>
  </si>
  <si>
    <t>g CaCO3/hr</t>
  </si>
  <si>
    <t>Mass in kg of CaCO3 produced per day</t>
  </si>
  <si>
    <t>kg CaCO3/day</t>
  </si>
  <si>
    <t>Mass in lbs of CaCO3 produced per day</t>
  </si>
  <si>
    <t>lbs CaCO3/day</t>
  </si>
  <si>
    <t>Energy Consumption</t>
  </si>
  <si>
    <t>1) Fan energy demand</t>
  </si>
  <si>
    <t>W</t>
  </si>
  <si>
    <t>1000 cfm fan - 12V 80W</t>
  </si>
  <si>
    <t xml:space="preserve">https://www.amazon.com/gp/product/B01N90UOOH/ref=ewc_pr_img_2?smid=A3H9C4LFOCKWCW&amp;psc=1 </t>
  </si>
  <si>
    <t xml:space="preserve">     Energy in kWh through fan use per hour</t>
  </si>
  <si>
    <t>kWh</t>
  </si>
  <si>
    <t>2) Pump energy demand</t>
  </si>
  <si>
    <t>Size pump so that it equals fan energy consumption, works just right</t>
  </si>
  <si>
    <t xml:space="preserve">     Number of pumps</t>
  </si>
  <si>
    <t xml:space="preserve">     Energy in kWh through pump use per hour</t>
  </si>
  <si>
    <t>Total kWh demand per hour</t>
  </si>
  <si>
    <t>can be met with a solar array of this many kilowatts</t>
  </si>
  <si>
    <t>Mass in lb of CO2 per MWh</t>
  </si>
  <si>
    <t>lb CO2/MWh</t>
  </si>
  <si>
    <t>EPA emission factor from 2020 for electricity, US average</t>
  </si>
  <si>
    <t>http://carbonfund.org/wp-content/uploads/2020/06/EPA-ghg-emission-factors-hub-2018-Mar-2020.pdf</t>
  </si>
  <si>
    <t>Mass in lb of CO2 per kWh</t>
  </si>
  <si>
    <t>lb CO2/kWh</t>
  </si>
  <si>
    <t>Mass in lbs of CO2 emitted through device use per hour</t>
  </si>
  <si>
    <t>lb CO2/hr</t>
  </si>
  <si>
    <t>Mass in kg of CO2 emitted through device use per hour</t>
  </si>
  <si>
    <t>kg CO2/hr</t>
  </si>
  <si>
    <t>Material Transportation Costs and Emissions</t>
  </si>
  <si>
    <t>CO2 emissions of all of Amazon's deliveries for 2017, worldwide</t>
  </si>
  <si>
    <t>19.1 million metric tons = all of Amazon's deliveries for 2017</t>
  </si>
  <si>
    <t>https://www.seattletimes.com/business/amazon/amazon-employees-push-company-to-act-faster-on-climate-change-and-disclose-more/</t>
  </si>
  <si>
    <t>Assume material transportation required is equivalent to this fraction of Amazon's deliveries</t>
  </si>
  <si>
    <t>original value = 0.01</t>
  </si>
  <si>
    <t>Mass in metric tons of CO2 emitted by material transportation to supply all devices</t>
  </si>
  <si>
    <t xml:space="preserve">     Annual CO2 sequestration goal</t>
  </si>
  <si>
    <t xml:space="preserve">     Fraction of annual goal consumed by transportation emissions for all devices</t>
  </si>
  <si>
    <t>Mass in metric tons of CO2 assumed emitted by material transportation per device, per year</t>
  </si>
  <si>
    <t>MT CO2/yr</t>
  </si>
  <si>
    <t>Mass in kg CO2 assumed emitted by material transportation per device, per year</t>
  </si>
  <si>
    <t>kg CO2/yr</t>
  </si>
  <si>
    <t>Mass in kg CO2 assumed emitted by material transportation per device, per hour</t>
  </si>
  <si>
    <t>Emissions Removed vs Created by Device Operation</t>
  </si>
  <si>
    <t>Mass in kg of CO2 emitted through transportation of input material per hour</t>
  </si>
  <si>
    <t>Mass in kg of CO2 removed by the device per hour</t>
  </si>
  <si>
    <t>Ratio of mass CO2 removed to mass CO2 emitted by device use</t>
  </si>
  <si>
    <t>Input Costs</t>
  </si>
  <si>
    <t>Cost of Ca(OH)2 per metric ton</t>
  </si>
  <si>
    <t>$/MT</t>
  </si>
  <si>
    <t>major input</t>
  </si>
  <si>
    <t>https://www.alibaba.com/trade/search?fsb=y&amp;IndexArea=product_en&amp;CatId=&amp;SearchText=calcium+hydroxide</t>
  </si>
  <si>
    <t>Cost of electricity per metric ton</t>
  </si>
  <si>
    <t>using $0.10/kWh</t>
  </si>
  <si>
    <t>Similar Systems</t>
  </si>
  <si>
    <t>Large, Commercial Scale Comparison - CarbonCure</t>
  </si>
  <si>
    <t>CO2 in metric tons stored to date (5 yrs) by CarbonCure</t>
  </si>
  <si>
    <t>as of Nov 27, 2020</t>
  </si>
  <si>
    <t>https://www.carboncure.com/</t>
  </si>
  <si>
    <t>Percentage of per-year emissions reduction that has been stored to date by CarbonCure</t>
  </si>
  <si>
    <t>CO2 stored per year, annual average</t>
  </si>
  <si>
    <t>Number of devices needed to equal CarbonCure's annual performance</t>
  </si>
  <si>
    <t>devices</t>
  </si>
  <si>
    <t>Total System Costs - CO2 from Direct Air</t>
  </si>
  <si>
    <t>rationale: much easier to distribute the DACC effort to a consumer base; more cost-effective</t>
  </si>
  <si>
    <t>Amount of limiting input (Ca(OH)2) that can be produced each year</t>
  </si>
  <si>
    <t>MT/yr</t>
  </si>
  <si>
    <t>https://www.globenewswire.com/news-release/2020/10/09/2106082/0/en/Global-Calcium-Hydroxide-Industry.html</t>
  </si>
  <si>
    <t>Fraction of input devoted to carbon capture</t>
  </si>
  <si>
    <t>Number of devices that can be supported</t>
  </si>
  <si>
    <t>Number of annual CarbonCure-scale efforts that can be supported</t>
  </si>
  <si>
    <t>Input material costs of a device per MT (operating cost)</t>
  </si>
  <si>
    <t>$/MT/device</t>
  </si>
  <si>
    <t>includes Ca(OH)2 cost only</t>
  </si>
  <si>
    <t>Other device operational costs per MT</t>
  </si>
  <si>
    <t>electricity + $50 for maintenance, topping off regeneration losses - an estimate</t>
  </si>
  <si>
    <t>Total cost of materials across N number of devices per year</t>
  </si>
  <si>
    <t>$/yr</t>
  </si>
  <si>
    <t>Total CO2 sequestered across N number of devices per year</t>
  </si>
  <si>
    <t>Percent of CO2 sequestration goal per year</t>
  </si>
  <si>
    <t>Dollars that must be spent per metric ton CO2 sequestered</t>
  </si>
  <si>
    <t>effective cost per metric ton accounting for energy and materials inputs</t>
  </si>
  <si>
    <t>Additional References</t>
  </si>
  <si>
    <t>CO2 air capture guide</t>
  </si>
  <si>
    <t>https://www.pnas.org/content/109/33/13156</t>
  </si>
  <si>
    <t>Techno-economic assessment of separating CO2 from ambient air</t>
  </si>
  <si>
    <t>https://www.sciencedirect.com/science/article/pii/S0306261918302794</t>
  </si>
  <si>
    <t>CaCO3 electrolysis to CaOH2</t>
  </si>
  <si>
    <t>https://www.pnas.org/content/117/23/12584</t>
  </si>
  <si>
    <t>MgO and CaO mmol/g uptake</t>
  </si>
  <si>
    <t>https://pubs.rsc.org/en/content/articlelanding/2016/ta/c6ta03916b#!divAbstract</t>
  </si>
  <si>
    <t>DAC system design and cost</t>
  </si>
  <si>
    <t>https://link.springer.com/article/10.1007/s10584-012-0679-y</t>
  </si>
  <si>
    <t>Calcium looping cost feasibility analysis</t>
  </si>
  <si>
    <t>https://www.sciencedirect.com/science/article/pii/S1876610214020542</t>
  </si>
  <si>
    <t>MgO CO2 uptake - very low, &lt;0.01 g CO2/g sorbent</t>
  </si>
  <si>
    <t>https://www.aidic.it/iscre25/review/papers/118hu.pdf</t>
  </si>
  <si>
    <t>CaO theoretical g CO2/g sorbent: 0.786</t>
  </si>
  <si>
    <t>https://www.sciencedirect.com/science/article/pii/S1876610214020554</t>
  </si>
  <si>
    <t>Aluminum electrode electrocoagulation - formation of Al(OH)3</t>
  </si>
  <si>
    <t>https://www.sciencedirect.com/science/article/pii/S0045653520327661</t>
  </si>
  <si>
    <t>H2/Cl2 fuel cell - recombining H2 with Cl2 to form HCl, of industrial importance</t>
  </si>
  <si>
    <t>https://www.deepdyve.com/lp/springer-journals/h-2-cl-2-fuel-cell-for-co-generation-of-electricity-and-hcl-UEo6Ngg9i1</t>
  </si>
  <si>
    <t>What typically happens when dissolving CO2 in CaCl2 aqueous solution</t>
  </si>
  <si>
    <t xml:space="preserve">https://www.quora.com/What-are-the-results-when-Co2-dissolves-in-CaCl2?share=1 </t>
  </si>
  <si>
    <t>HCl hydrolyzes cellulose - creates sugars that can be used for biofuel</t>
  </si>
  <si>
    <t>https://www.sciencedirect.com/science/article/pii/0141460782900191</t>
  </si>
  <si>
    <t>HCl neutralized by dissolving waste concrete to calcium chloride and water</t>
  </si>
  <si>
    <t xml:space="preserve">https://www.aboutcivil.org/acid-attack-on-concrete.html </t>
  </si>
  <si>
    <t>Prior work mentions this overall reaction but different design; patent has expired</t>
  </si>
  <si>
    <t>https://patents.google.com/patent/EP0610781A1/en</t>
  </si>
  <si>
    <t>Carbonatation process is slow in concrete</t>
  </si>
  <si>
    <t>https://www.ndtconcrete.net/index.php?option=com_content&amp;task=view&amp;id=66699&amp;Itemid=48</t>
  </si>
  <si>
    <t>Dry ice production at 13 MT/hour possible</t>
  </si>
  <si>
    <t>https://www.acpco2.com/en/dry-ice</t>
  </si>
  <si>
    <t>Emissions-free lime through electrochemistry</t>
  </si>
  <si>
    <t xml:space="preserve">https://news.mit.edu/2019/carbon-dioxide-emissions-free-cement-0916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</si>
</sst>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"/>
    <numFmt numFmtId="165" formatCode="&quot;$&quot;#,##0_);[Red]\(&quot;$&quot;#,##0\)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0.0000"/>
    <numFmt numFmtId="169" formatCode="0.0000%"/>
    <numFmt numFmtId="170" formatCode="_(* #,##0.00_);_(* \(#,##0.00\);_(* &quot;-&quot;??_);_(@_)"/>
  </numFmts>
  <fonts count="20">
    <font>
      <sz val="11.0"/>
      <color theme="1"/>
      <name val="Arial"/>
    </font>
    <font>
      <i/>
      <sz val="11.0"/>
      <color theme="1"/>
      <name val="Calibri"/>
    </font>
    <font>
      <sz val="11.0"/>
      <color theme="1"/>
      <name val="Calibri"/>
    </font>
    <font>
      <b/>
      <u/>
      <sz val="11.0"/>
      <color theme="1"/>
      <name val="Calibri"/>
    </font>
    <font>
      <b/>
      <sz val="16.0"/>
      <color theme="1"/>
      <name val="Calibri"/>
    </font>
    <font>
      <u/>
      <sz val="11.0"/>
      <color theme="10"/>
      <name val="Calibri"/>
    </font>
    <font>
      <color theme="1"/>
      <name val="Calibri"/>
    </font>
    <font/>
    <font>
      <u/>
      <sz val="11.0"/>
      <color theme="10"/>
    </font>
    <font>
      <sz val="11.0"/>
      <color theme="1"/>
    </font>
    <font>
      <b/>
      <u/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b/>
      <i/>
      <sz val="11.0"/>
      <color theme="1"/>
      <name val="Calibri"/>
    </font>
    <font>
      <sz val="16.0"/>
      <color theme="1"/>
      <name val="Calibri"/>
    </font>
    <font>
      <u/>
      <sz val="11.0"/>
      <color theme="10"/>
    </font>
    <font>
      <u/>
      <sz val="11.0"/>
      <color theme="10"/>
      <name val="Calibri"/>
    </font>
    <font>
      <sz val="11.0"/>
      <color rgb="FF000000"/>
      <name val="Calibri"/>
    </font>
    <font>
      <b/>
      <u/>
      <sz val="11.0"/>
      <color theme="1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2" numFmtId="0" xfId="0" applyFont="1"/>
    <xf borderId="0" fillId="0" fontId="8" numFmtId="0" xfId="0" applyFont="1"/>
    <xf borderId="0" fillId="0" fontId="9" numFmtId="0" xfId="0" applyAlignment="1" applyFont="1">
      <alignment horizontal="left" readingOrder="0"/>
    </xf>
    <xf borderId="0" fillId="0" fontId="2" numFmtId="14" xfId="0" applyAlignment="1" applyFont="1" applyNumberFormat="1">
      <alignment horizontal="left"/>
    </xf>
    <xf borderId="0" fillId="0" fontId="2" numFmtId="164" xfId="0" applyFont="1" applyNumberFormat="1"/>
    <xf borderId="0" fillId="0" fontId="2" numFmtId="165" xfId="0" applyFont="1" applyNumberFormat="1"/>
    <xf borderId="0" fillId="0" fontId="10" numFmtId="0" xfId="0" applyAlignment="1" applyFont="1">
      <alignment horizontal="left"/>
    </xf>
    <xf borderId="0" fillId="0" fontId="11" numFmtId="0" xfId="0" applyFont="1"/>
    <xf borderId="0" fillId="0" fontId="2" numFmtId="0" xfId="0" applyAlignment="1" applyFont="1">
      <alignment horizontal="right"/>
    </xf>
    <xf borderId="1" fillId="2" fontId="12" numFmtId="0" xfId="0" applyBorder="1" applyFill="1" applyFont="1"/>
    <xf borderId="0" fillId="0" fontId="13" numFmtId="0" xfId="0" applyFont="1"/>
    <xf borderId="0" fillId="0" fontId="14" numFmtId="0" xfId="0" applyFont="1"/>
    <xf borderId="0" fillId="0" fontId="2" numFmtId="11" xfId="0" applyFont="1" applyNumberFormat="1"/>
    <xf borderId="0" fillId="0" fontId="13" numFmtId="166" xfId="0" applyFont="1" applyNumberFormat="1"/>
    <xf borderId="0" fillId="0" fontId="2" numFmtId="167" xfId="0" applyFont="1" applyNumberFormat="1"/>
    <xf borderId="0" fillId="0" fontId="11" numFmtId="167" xfId="0" applyFont="1" applyNumberFormat="1"/>
    <xf borderId="0" fillId="0" fontId="2" numFmtId="166" xfId="0" applyFont="1" applyNumberFormat="1"/>
    <xf borderId="0" fillId="0" fontId="11" numFmtId="166" xfId="0" applyFont="1" applyNumberFormat="1"/>
    <xf borderId="0" fillId="0" fontId="13" numFmtId="168" xfId="0" applyFont="1" applyNumberFormat="1"/>
    <xf borderId="0" fillId="0" fontId="13" numFmtId="167" xfId="0" applyFont="1" applyNumberFormat="1"/>
    <xf borderId="0" fillId="0" fontId="2" numFmtId="168" xfId="0" applyFont="1" applyNumberFormat="1"/>
    <xf borderId="0" fillId="0" fontId="2" numFmtId="1" xfId="0" applyFont="1" applyNumberFormat="1"/>
    <xf borderId="0" fillId="0" fontId="2" numFmtId="169" xfId="0" applyFont="1" applyNumberFormat="1"/>
    <xf borderId="0" fillId="0" fontId="11" numFmtId="1" xfId="0" applyFont="1" applyNumberFormat="1"/>
    <xf borderId="0" fillId="0" fontId="15" numFmtId="0" xfId="0" applyAlignment="1" applyFont="1">
      <alignment horizontal="left" readingOrder="1" vertical="center"/>
    </xf>
    <xf borderId="0" fillId="0" fontId="16" numFmtId="0" xfId="0" applyAlignment="1" applyFont="1">
      <alignment horizontal="left" readingOrder="1" vertical="center"/>
    </xf>
    <xf borderId="0" fillId="0" fontId="11" numFmtId="168" xfId="0" applyFont="1" applyNumberFormat="1"/>
    <xf borderId="0" fillId="0" fontId="2" numFmtId="2" xfId="0" applyFont="1" applyNumberFormat="1"/>
    <xf borderId="1" fillId="2" fontId="12" numFmtId="168" xfId="0" applyBorder="1" applyFont="1" applyNumberFormat="1"/>
    <xf borderId="0" fillId="0" fontId="2" numFmtId="1" xfId="0" applyAlignment="1" applyFont="1" applyNumberFormat="1">
      <alignment horizontal="left"/>
    </xf>
    <xf borderId="0" fillId="0" fontId="14" numFmtId="1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168" xfId="0" applyAlignment="1" applyFont="1" applyNumberFormat="1">
      <alignment horizontal="right"/>
    </xf>
    <xf borderId="0" fillId="0" fontId="17" numFmtId="0" xfId="0" applyFont="1"/>
    <xf borderId="0" fillId="0" fontId="18" numFmtId="0" xfId="0" applyAlignment="1" applyFont="1">
      <alignment horizontal="right"/>
    </xf>
    <xf borderId="0" fillId="0" fontId="2" numFmtId="0" xfId="0" applyAlignment="1" applyFont="1">
      <alignment vertical="top"/>
    </xf>
    <xf borderId="0" fillId="0" fontId="2" numFmtId="2" xfId="0" applyAlignment="1" applyFont="1" applyNumberFormat="1">
      <alignment vertical="top"/>
    </xf>
    <xf borderId="0" fillId="0" fontId="2" numFmtId="0" xfId="0" applyAlignment="1" applyFont="1">
      <alignment shrinkToFit="0" vertical="top" wrapText="1"/>
    </xf>
    <xf borderId="0" fillId="0" fontId="19" numFmtId="0" xfId="0" applyAlignment="1" applyFont="1">
      <alignment vertical="top"/>
    </xf>
    <xf borderId="0" fillId="0" fontId="11" numFmtId="2" xfId="0" applyFont="1" applyNumberFormat="1"/>
    <xf borderId="1" fillId="2" fontId="12" numFmtId="2" xfId="0" applyBorder="1" applyFont="1" applyNumberFormat="1"/>
    <xf borderId="0" fillId="0" fontId="2" numFmtId="170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2</xdr:row>
      <xdr:rowOff>57150</xdr:rowOff>
    </xdr:from>
    <xdr:ext cx="2790825" cy="2133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quora.com/What-are-the-results-when-Co2-dissolves-in-CaCl2?share=1" TargetMode="External"/><Relationship Id="rId22" Type="http://schemas.openxmlformats.org/officeDocument/2006/relationships/hyperlink" Target="https://www.aboutcivil.org/acid-attack-on-concrete.html" TargetMode="External"/><Relationship Id="rId21" Type="http://schemas.openxmlformats.org/officeDocument/2006/relationships/hyperlink" Target="https://www.sciencedirect.com/science/article/pii/0141460782900191" TargetMode="External"/><Relationship Id="rId24" Type="http://schemas.openxmlformats.org/officeDocument/2006/relationships/hyperlink" Target="https://www.ndtconcrete.net/index.php?option=com_content&amp;task=view&amp;id=66699&amp;Itemid=48" TargetMode="External"/><Relationship Id="rId23" Type="http://schemas.openxmlformats.org/officeDocument/2006/relationships/hyperlink" Target="https://patents.google.com/patent/EP0610781A1/en" TargetMode="External"/><Relationship Id="rId1" Type="http://schemas.openxmlformats.org/officeDocument/2006/relationships/hyperlink" Target="https://cdiac.ess-dive.lbl.gov/pns/convert.html" TargetMode="External"/><Relationship Id="rId2" Type="http://schemas.openxmlformats.org/officeDocument/2006/relationships/hyperlink" Target="https://cdiac.ess-dive.lbl.gov/pns/convert.html" TargetMode="External"/><Relationship Id="rId3" Type="http://schemas.openxmlformats.org/officeDocument/2006/relationships/hyperlink" Target="http://www.worldometers.info/world-population/europe-population/" TargetMode="External"/><Relationship Id="rId4" Type="http://schemas.openxmlformats.org/officeDocument/2006/relationships/hyperlink" Target="https://www.engineeringtoolbox.com/air-composition-d_212.html" TargetMode="External"/><Relationship Id="rId9" Type="http://schemas.openxmlformats.org/officeDocument/2006/relationships/hyperlink" Target="https://www.globenewswire.com/news-release/2020/10/09/2106082/0/en/Global-Calcium-Hydroxide-Industry.html" TargetMode="External"/><Relationship Id="rId26" Type="http://schemas.openxmlformats.org/officeDocument/2006/relationships/hyperlink" Target="https://news.mit.edu/2019/carbon-dioxide-emissions-free-cement-0916" TargetMode="External"/><Relationship Id="rId25" Type="http://schemas.openxmlformats.org/officeDocument/2006/relationships/hyperlink" Target="https://www.acpco2.com/en/dry-ice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knowtheflo.com/high-cfm-fan/" TargetMode="External"/><Relationship Id="rId6" Type="http://schemas.openxmlformats.org/officeDocument/2006/relationships/hyperlink" Target="https://www.amazon.com/gp/product/B01N90UOOH/ref=ewc_pr_img_2?smid=A3H9C4LFOCKWCW&amp;psc=1" TargetMode="External"/><Relationship Id="rId7" Type="http://schemas.openxmlformats.org/officeDocument/2006/relationships/hyperlink" Target="https://www.seattletimes.com/business/amazon/amazon-employees-push-company-to-act-faster-on-climate-change-and-disclose-more/" TargetMode="External"/><Relationship Id="rId8" Type="http://schemas.openxmlformats.org/officeDocument/2006/relationships/hyperlink" Target="https://www.carboncure.com/" TargetMode="External"/><Relationship Id="rId11" Type="http://schemas.openxmlformats.org/officeDocument/2006/relationships/hyperlink" Target="https://www.sciencedirect.com/science/article/pii/S0306261918302794" TargetMode="External"/><Relationship Id="rId10" Type="http://schemas.openxmlformats.org/officeDocument/2006/relationships/hyperlink" Target="https://www.pnas.org/content/109/33/13156" TargetMode="External"/><Relationship Id="rId13" Type="http://schemas.openxmlformats.org/officeDocument/2006/relationships/hyperlink" Target="https://pubs.rsc.org/en/content/articlelanding/2016/ta/c6ta03916b" TargetMode="External"/><Relationship Id="rId12" Type="http://schemas.openxmlformats.org/officeDocument/2006/relationships/hyperlink" Target="https://www.pnas.org/content/117/23/12584" TargetMode="External"/><Relationship Id="rId15" Type="http://schemas.openxmlformats.org/officeDocument/2006/relationships/hyperlink" Target="https://www.sciencedirect.com/science/article/pii/S1876610214020542" TargetMode="External"/><Relationship Id="rId14" Type="http://schemas.openxmlformats.org/officeDocument/2006/relationships/hyperlink" Target="https://link.springer.com/article/10.1007/s10584-012-0679-y" TargetMode="External"/><Relationship Id="rId17" Type="http://schemas.openxmlformats.org/officeDocument/2006/relationships/hyperlink" Target="https://www.sciencedirect.com/science/article/pii/S1876610214020554" TargetMode="External"/><Relationship Id="rId16" Type="http://schemas.openxmlformats.org/officeDocument/2006/relationships/hyperlink" Target="https://www.aidic.it/iscre25/review/papers/118hu.pdf" TargetMode="External"/><Relationship Id="rId19" Type="http://schemas.openxmlformats.org/officeDocument/2006/relationships/hyperlink" Target="https://www.deepdyve.com/lp/springer-journals/h-2-cl-2-fuel-cell-for-co-generation-of-electricity-and-hcl-UEo6Ngg9i1" TargetMode="External"/><Relationship Id="rId18" Type="http://schemas.openxmlformats.org/officeDocument/2006/relationships/hyperlink" Target="https://www.sciencedirect.com/science/article/pii/S00456535203276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73.0"/>
    <col customWidth="1" min="3" max="3" width="16.0"/>
    <col customWidth="1" min="4" max="4" width="19.0"/>
    <col customWidth="1" min="5" max="5" width="62.0"/>
    <col customWidth="1" min="6" max="6" width="29.0"/>
    <col customWidth="1" min="7" max="7" width="8.25"/>
    <col customWidth="1" min="8" max="8" width="9.13"/>
    <col customWidth="1" min="9" max="26" width="7.75"/>
  </cols>
  <sheetData>
    <row r="1" ht="15.0" customHeight="1">
      <c r="C1" s="1"/>
    </row>
    <row r="2" ht="15.0" customHeight="1">
      <c r="E2" s="2" t="s">
        <v>0</v>
      </c>
      <c r="G2" s="3" t="s">
        <v>1</v>
      </c>
    </row>
    <row r="3" ht="20.25" customHeight="1">
      <c r="B3" s="4" t="s">
        <v>2</v>
      </c>
      <c r="E3" s="5"/>
      <c r="F3" s="6">
        <v>1.0</v>
      </c>
      <c r="G3" s="6" t="s">
        <v>3</v>
      </c>
      <c r="H3" s="6">
        <v>1.0</v>
      </c>
      <c r="I3" s="6" t="s">
        <v>4</v>
      </c>
    </row>
    <row r="4" ht="15.0" customHeight="1">
      <c r="B4" s="7" t="s">
        <v>5</v>
      </c>
      <c r="F4" s="6">
        <v>1.10231</v>
      </c>
      <c r="G4" s="6" t="s">
        <v>6</v>
      </c>
      <c r="H4" s="8">
        <v>3.664</v>
      </c>
      <c r="I4" s="8" t="s">
        <v>7</v>
      </c>
      <c r="J4" s="9" t="s">
        <v>8</v>
      </c>
    </row>
    <row r="5" ht="15.0" customHeight="1">
      <c r="B5" s="10" t="s">
        <v>9</v>
      </c>
      <c r="F5" s="6">
        <v>1.0</v>
      </c>
      <c r="G5" s="6" t="s">
        <v>10</v>
      </c>
      <c r="H5" s="8">
        <v>0.083</v>
      </c>
      <c r="I5" s="8" t="s">
        <v>11</v>
      </c>
      <c r="J5" s="9" t="s">
        <v>8</v>
      </c>
    </row>
    <row r="6" ht="15.0" customHeight="1">
      <c r="B6" s="11"/>
      <c r="F6" s="12">
        <v>3.664</v>
      </c>
      <c r="G6" s="6" t="s">
        <v>12</v>
      </c>
      <c r="H6" s="8">
        <v>1.0</v>
      </c>
      <c r="I6" s="8" t="s">
        <v>13</v>
      </c>
    </row>
    <row r="7" ht="15.0" customHeight="1">
      <c r="B7" s="6" t="s">
        <v>14</v>
      </c>
      <c r="F7" s="6">
        <v>1.0</v>
      </c>
      <c r="G7" s="6" t="s">
        <v>15</v>
      </c>
      <c r="H7" s="8">
        <v>0.03531467</v>
      </c>
      <c r="I7" s="13" t="s">
        <v>16</v>
      </c>
    </row>
    <row r="8" ht="15.0" customHeight="1">
      <c r="B8" s="6" t="s">
        <v>17</v>
      </c>
      <c r="F8" s="6">
        <v>35.315</v>
      </c>
      <c r="G8" s="6" t="s">
        <v>18</v>
      </c>
      <c r="H8" s="8">
        <v>1.0</v>
      </c>
      <c r="I8" s="8" t="s">
        <v>19</v>
      </c>
    </row>
    <row r="9" ht="15.0" customHeight="1">
      <c r="E9" s="14"/>
      <c r="F9" s="6">
        <v>1000.0</v>
      </c>
      <c r="G9" s="6" t="s">
        <v>13</v>
      </c>
      <c r="H9" s="8">
        <v>2.205</v>
      </c>
      <c r="I9" s="8" t="s">
        <v>20</v>
      </c>
    </row>
    <row r="10">
      <c r="B10" s="6" t="s">
        <v>21</v>
      </c>
      <c r="C10" s="6" t="s">
        <v>22</v>
      </c>
      <c r="E10" s="15"/>
      <c r="F10" s="16"/>
      <c r="G10" s="15"/>
    </row>
    <row r="11">
      <c r="B11" s="6" t="s">
        <v>23</v>
      </c>
      <c r="C11" s="17" t="s">
        <v>24</v>
      </c>
      <c r="E11" s="15"/>
      <c r="F11" s="16"/>
      <c r="G11" s="15"/>
    </row>
    <row r="12">
      <c r="C12" s="15" t="s">
        <v>25</v>
      </c>
      <c r="E12" s="15"/>
      <c r="F12" s="16"/>
      <c r="G12" s="15"/>
    </row>
    <row r="13">
      <c r="C13" s="18" t="s">
        <v>26</v>
      </c>
      <c r="F13" s="16"/>
      <c r="G13" s="15"/>
    </row>
    <row r="14">
      <c r="B14" s="19" t="s">
        <v>27</v>
      </c>
    </row>
    <row r="15">
      <c r="C15" s="15" t="s">
        <v>28</v>
      </c>
      <c r="E15" s="15" t="s">
        <v>29</v>
      </c>
      <c r="F15" s="15" t="s">
        <v>30</v>
      </c>
    </row>
    <row r="16">
      <c r="B16" s="3" t="s">
        <v>31</v>
      </c>
    </row>
    <row r="17">
      <c r="B17" s="8" t="s">
        <v>32</v>
      </c>
      <c r="C17" s="20">
        <f>9000000/F4</f>
        <v>8164672.37</v>
      </c>
      <c r="D17" s="8" t="s">
        <v>33</v>
      </c>
      <c r="E17" s="6" t="s">
        <v>34</v>
      </c>
      <c r="F17" s="8" t="s">
        <v>35</v>
      </c>
    </row>
    <row r="18">
      <c r="B18" s="6" t="s">
        <v>36</v>
      </c>
      <c r="C18" s="20">
        <f>C17*F4</f>
        <v>9000000</v>
      </c>
      <c r="D18" s="6" t="s">
        <v>37</v>
      </c>
      <c r="F18" s="5"/>
    </row>
    <row r="19">
      <c r="B19" s="1" t="s">
        <v>38</v>
      </c>
      <c r="C19" s="21">
        <f>C17*0.1</f>
        <v>816467.237</v>
      </c>
      <c r="D19" s="18" t="s">
        <v>33</v>
      </c>
      <c r="E19" s="8"/>
      <c r="F19" s="5"/>
    </row>
    <row r="20">
      <c r="C20" s="20"/>
      <c r="D20" s="22"/>
      <c r="E20" s="22"/>
      <c r="F20" s="5"/>
    </row>
    <row r="21" ht="15.75" customHeight="1">
      <c r="B21" s="3" t="s">
        <v>39</v>
      </c>
      <c r="C21" s="23"/>
      <c r="D21" s="22"/>
      <c r="E21" s="22"/>
      <c r="F21" s="5"/>
    </row>
    <row r="22" ht="15.75" customHeight="1">
      <c r="B22" s="6" t="s">
        <v>40</v>
      </c>
      <c r="C22" s="20">
        <v>3.31806723E8</v>
      </c>
      <c r="E22" s="6" t="s">
        <v>41</v>
      </c>
      <c r="F22" s="5" t="s">
        <v>42</v>
      </c>
    </row>
    <row r="23" ht="15.75" customHeight="1">
      <c r="B23" s="6" t="s">
        <v>43</v>
      </c>
      <c r="C23" s="20">
        <v>7.47823415E8</v>
      </c>
      <c r="E23" s="6" t="s">
        <v>41</v>
      </c>
      <c r="F23" s="9" t="s">
        <v>44</v>
      </c>
      <c r="K23" s="13"/>
    </row>
    <row r="24" ht="15.75" customHeight="1">
      <c r="B24" s="6" t="s">
        <v>45</v>
      </c>
      <c r="C24" s="20">
        <f>SUM(C22:C23)</f>
        <v>1079630138</v>
      </c>
      <c r="E24" s="6" t="s">
        <v>46</v>
      </c>
      <c r="K24" s="13"/>
    </row>
    <row r="25" ht="15.75" customHeight="1">
      <c r="B25" s="8" t="s">
        <v>47</v>
      </c>
      <c r="C25" s="17">
        <v>0.002</v>
      </c>
      <c r="D25" s="22"/>
      <c r="E25" s="6" t="s">
        <v>48</v>
      </c>
      <c r="F25" s="15"/>
      <c r="J25" s="22"/>
      <c r="K25" s="13"/>
    </row>
    <row r="26" ht="15.75" customHeight="1">
      <c r="B26" s="8" t="s">
        <v>49</v>
      </c>
      <c r="C26" s="24">
        <f>C24*C25</f>
        <v>2159260.276</v>
      </c>
      <c r="D26" s="22"/>
      <c r="F26" s="15"/>
      <c r="J26" s="22"/>
      <c r="K26" s="13"/>
    </row>
    <row r="27" ht="15.75" customHeight="1">
      <c r="B27" s="8" t="s">
        <v>50</v>
      </c>
      <c r="C27" s="17">
        <v>1.0</v>
      </c>
      <c r="D27" s="22"/>
      <c r="E27" s="6" t="s">
        <v>51</v>
      </c>
      <c r="F27" s="15"/>
      <c r="J27" s="22"/>
      <c r="K27" s="13"/>
    </row>
    <row r="28" ht="15.75" customHeight="1">
      <c r="B28" s="15" t="s">
        <v>52</v>
      </c>
      <c r="C28" s="25">
        <f>C26*C27</f>
        <v>2159260.276</v>
      </c>
      <c r="D28" s="23"/>
      <c r="F28" s="15"/>
      <c r="J28" s="22"/>
      <c r="K28" s="13"/>
    </row>
    <row r="29" ht="15.75" customHeight="1">
      <c r="C29" s="20"/>
      <c r="D29" s="22"/>
      <c r="F29" s="15"/>
      <c r="J29" s="22"/>
      <c r="K29" s="13"/>
    </row>
    <row r="30" ht="15.75" customHeight="1">
      <c r="B30" s="3" t="s">
        <v>53</v>
      </c>
      <c r="C30" s="20"/>
      <c r="D30" s="22"/>
      <c r="F30" s="5"/>
      <c r="J30" s="22"/>
      <c r="K30" s="13"/>
    </row>
    <row r="31" ht="15.75" customHeight="1">
      <c r="B31" s="8" t="s">
        <v>54</v>
      </c>
      <c r="C31" s="26">
        <f>C19/C28</f>
        <v>0.3781235852</v>
      </c>
      <c r="D31" s="27" t="s">
        <v>55</v>
      </c>
      <c r="F31" s="15"/>
      <c r="J31" s="22"/>
      <c r="K31" s="13"/>
    </row>
    <row r="32" ht="15.75" customHeight="1">
      <c r="B32" s="6" t="s">
        <v>56</v>
      </c>
      <c r="C32" s="28">
        <f>C31*1000/365/24/3600</f>
        <v>0.00001199022023</v>
      </c>
      <c r="D32" s="22" t="s">
        <v>57</v>
      </c>
      <c r="J32" s="22"/>
    </row>
    <row r="33" ht="15.75" customHeight="1">
      <c r="B33" s="8" t="s">
        <v>58</v>
      </c>
      <c r="C33" s="28">
        <f>C32*1000</f>
        <v>0.01199022023</v>
      </c>
      <c r="D33" s="22" t="s">
        <v>59</v>
      </c>
      <c r="J33" s="22"/>
    </row>
    <row r="34" ht="15.75" customHeight="1">
      <c r="B34" s="8" t="s">
        <v>60</v>
      </c>
      <c r="C34" s="28">
        <f>C33/H4*H5</f>
        <v>0.0002716125216</v>
      </c>
      <c r="D34" s="22" t="s">
        <v>61</v>
      </c>
      <c r="J34" s="22"/>
    </row>
    <row r="35" ht="15.75" customHeight="1">
      <c r="B35" s="6" t="s">
        <v>62</v>
      </c>
      <c r="C35" s="28">
        <f>C34*22.4</f>
        <v>0.006084120484</v>
      </c>
      <c r="D35" s="22" t="s">
        <v>63</v>
      </c>
      <c r="F35" s="6" t="s">
        <v>64</v>
      </c>
      <c r="J35" s="22"/>
    </row>
    <row r="36" ht="15.75" customHeight="1">
      <c r="B36" s="6" t="s">
        <v>65</v>
      </c>
      <c r="C36" s="29">
        <f>C35*1000*60</f>
        <v>365.0472291</v>
      </c>
      <c r="D36" s="22" t="s">
        <v>66</v>
      </c>
      <c r="E36" s="6" t="s">
        <v>67</v>
      </c>
      <c r="F36" s="6" t="s">
        <v>68</v>
      </c>
      <c r="J36" s="22"/>
    </row>
    <row r="37" ht="15.75" customHeight="1">
      <c r="B37" s="6" t="s">
        <v>69</v>
      </c>
      <c r="C37" s="30">
        <v>4.12E-4</v>
      </c>
      <c r="D37" s="22" t="s">
        <v>70</v>
      </c>
      <c r="F37" s="9" t="s">
        <v>71</v>
      </c>
      <c r="J37" s="22"/>
    </row>
    <row r="38" ht="15.75" customHeight="1">
      <c r="B38" s="6" t="s">
        <v>72</v>
      </c>
      <c r="C38" s="28">
        <f>C35/C37</f>
        <v>14.76728273</v>
      </c>
      <c r="D38" s="22" t="s">
        <v>63</v>
      </c>
      <c r="F38" s="5"/>
      <c r="J38" s="22"/>
    </row>
    <row r="39" ht="15.75" customHeight="1">
      <c r="B39" s="6" t="s">
        <v>73</v>
      </c>
      <c r="C39" s="28">
        <f>C38*H7</f>
        <v>0.5215017164</v>
      </c>
      <c r="D39" s="22" t="s">
        <v>74</v>
      </c>
      <c r="F39" s="5"/>
      <c r="J39" s="22"/>
    </row>
    <row r="40" ht="15.75" customHeight="1">
      <c r="B40" s="15" t="s">
        <v>75</v>
      </c>
      <c r="C40" s="31">
        <f>C39*60</f>
        <v>31.29010298</v>
      </c>
      <c r="D40" s="23" t="s">
        <v>76</v>
      </c>
      <c r="E40" s="8" t="s">
        <v>77</v>
      </c>
      <c r="F40" s="32" t="s">
        <v>78</v>
      </c>
      <c r="J40" s="22"/>
    </row>
    <row r="41" ht="15.75" customHeight="1">
      <c r="B41" s="15"/>
      <c r="C41" s="31"/>
      <c r="D41" s="23"/>
      <c r="E41" s="8"/>
      <c r="F41" s="33"/>
      <c r="J41" s="22"/>
    </row>
    <row r="42" ht="15.75" customHeight="1">
      <c r="B42" s="19" t="s">
        <v>79</v>
      </c>
      <c r="C42" s="34"/>
      <c r="D42" s="23"/>
      <c r="E42" s="8"/>
      <c r="F42" s="33"/>
      <c r="J42" s="22"/>
    </row>
    <row r="43" ht="15.75" customHeight="1">
      <c r="C43" s="34"/>
      <c r="D43" s="23"/>
      <c r="F43" s="5"/>
      <c r="J43" s="22"/>
    </row>
    <row r="44" ht="15.75" customHeight="1">
      <c r="B44" s="3" t="s">
        <v>80</v>
      </c>
      <c r="C44" s="34"/>
      <c r="D44" s="23"/>
      <c r="F44" s="5"/>
      <c r="J44" s="22"/>
    </row>
    <row r="45" ht="15.75" customHeight="1">
      <c r="B45" s="6" t="s">
        <v>81</v>
      </c>
      <c r="C45" s="29">
        <f>C34*1000*3600</f>
        <v>977.8050778</v>
      </c>
      <c r="D45" s="28" t="s">
        <v>82</v>
      </c>
      <c r="F45" s="5"/>
      <c r="J45" s="12"/>
    </row>
    <row r="46" ht="15.75" customHeight="1">
      <c r="B46" s="8" t="s">
        <v>83</v>
      </c>
      <c r="C46" s="28">
        <v>0.0344827586206897</v>
      </c>
      <c r="D46" s="28" t="s">
        <v>84</v>
      </c>
      <c r="E46" s="6" t="s">
        <v>85</v>
      </c>
      <c r="F46" s="6" t="s">
        <v>86</v>
      </c>
      <c r="J46" s="35"/>
    </row>
    <row r="47" ht="15.75" customHeight="1">
      <c r="B47" s="6" t="s">
        <v>87</v>
      </c>
      <c r="C47" s="28">
        <f>C46</f>
        <v>0.03448275862</v>
      </c>
      <c r="D47" s="28" t="s">
        <v>88</v>
      </c>
      <c r="F47" s="5"/>
      <c r="J47" s="22"/>
    </row>
    <row r="48" ht="15.75" customHeight="1">
      <c r="B48" s="1" t="s">
        <v>89</v>
      </c>
      <c r="C48" s="26">
        <f>C47*H5/H4*1000</f>
        <v>0.7811323596</v>
      </c>
      <c r="D48" s="26" t="s">
        <v>90</v>
      </c>
      <c r="E48" s="6" t="s">
        <v>91</v>
      </c>
      <c r="F48" s="5"/>
      <c r="J48" s="22"/>
    </row>
    <row r="49" ht="15.75" customHeight="1">
      <c r="B49" s="1" t="s">
        <v>92</v>
      </c>
      <c r="C49" s="26">
        <v>0.82</v>
      </c>
      <c r="D49" s="26" t="s">
        <v>90</v>
      </c>
      <c r="E49" s="6" t="s">
        <v>93</v>
      </c>
      <c r="F49" s="5" t="s">
        <v>94</v>
      </c>
      <c r="J49" s="22"/>
    </row>
    <row r="50" ht="15.75" customHeight="1">
      <c r="B50" s="6" t="s">
        <v>95</v>
      </c>
      <c r="C50" s="28">
        <f>1/0.9</f>
        <v>1.111111111</v>
      </c>
      <c r="D50" s="28" t="s">
        <v>96</v>
      </c>
      <c r="E50" s="6" t="s">
        <v>97</v>
      </c>
      <c r="F50" s="5" t="s">
        <v>98</v>
      </c>
      <c r="J50" s="22"/>
    </row>
    <row r="51" ht="15.75" customHeight="1">
      <c r="B51" s="6" t="s">
        <v>99</v>
      </c>
      <c r="C51" s="28">
        <f>C50</f>
        <v>1.111111111</v>
      </c>
      <c r="D51" s="28" t="s">
        <v>88</v>
      </c>
      <c r="F51" s="5"/>
      <c r="J51" s="22"/>
    </row>
    <row r="52" ht="15.75" customHeight="1">
      <c r="B52" s="6" t="s">
        <v>100</v>
      </c>
      <c r="C52" s="28">
        <f>C51*H5/H4</f>
        <v>0.02516982048</v>
      </c>
      <c r="D52" s="28" t="s">
        <v>101</v>
      </c>
      <c r="E52" s="8"/>
      <c r="F52" s="5"/>
      <c r="J52" s="22"/>
    </row>
    <row r="53" ht="15.75" customHeight="1">
      <c r="B53" s="1" t="s">
        <v>102</v>
      </c>
      <c r="C53" s="26">
        <f>C52*1000</f>
        <v>25.16982048</v>
      </c>
      <c r="D53" s="26" t="s">
        <v>90</v>
      </c>
      <c r="E53" s="8" t="s">
        <v>103</v>
      </c>
      <c r="F53" s="5"/>
      <c r="J53" s="22"/>
    </row>
    <row r="54" ht="15.75" customHeight="1">
      <c r="B54" s="8" t="s">
        <v>104</v>
      </c>
      <c r="C54" s="28">
        <v>0.24</v>
      </c>
      <c r="D54" s="28" t="s">
        <v>88</v>
      </c>
      <c r="E54" s="8"/>
      <c r="F54" s="5" t="s">
        <v>105</v>
      </c>
      <c r="J54" s="22"/>
    </row>
    <row r="55" ht="15.75" customHeight="1">
      <c r="B55" s="8" t="s">
        <v>106</v>
      </c>
      <c r="C55" s="28">
        <f>C54*H5/H4</f>
        <v>0.005436681223</v>
      </c>
      <c r="D55" s="28" t="s">
        <v>101</v>
      </c>
      <c r="E55" s="8"/>
      <c r="F55" s="5"/>
      <c r="J55" s="22"/>
    </row>
    <row r="56" ht="15.75" customHeight="1">
      <c r="B56" s="8" t="s">
        <v>107</v>
      </c>
      <c r="C56" s="26">
        <f>C55*1000</f>
        <v>5.436681223</v>
      </c>
      <c r="D56" s="26" t="s">
        <v>90</v>
      </c>
      <c r="E56" s="8"/>
      <c r="F56" s="5"/>
      <c r="J56" s="22"/>
    </row>
    <row r="57" ht="15.75" customHeight="1">
      <c r="B57" s="8" t="s">
        <v>108</v>
      </c>
      <c r="C57" s="28">
        <f>15/1000</f>
        <v>0.015</v>
      </c>
      <c r="D57" s="28" t="s">
        <v>88</v>
      </c>
      <c r="E57" s="8" t="s">
        <v>109</v>
      </c>
      <c r="F57" s="5" t="s">
        <v>110</v>
      </c>
      <c r="J57" s="22"/>
    </row>
    <row r="58" ht="15.75" customHeight="1">
      <c r="B58" s="8" t="s">
        <v>111</v>
      </c>
      <c r="C58" s="28">
        <f>C57*H5/H4</f>
        <v>0.0003397925764</v>
      </c>
      <c r="D58" s="28" t="s">
        <v>101</v>
      </c>
      <c r="E58" s="28"/>
      <c r="F58" s="5"/>
      <c r="J58" s="22"/>
    </row>
    <row r="59" ht="15.75" customHeight="1">
      <c r="B59" s="8" t="s">
        <v>112</v>
      </c>
      <c r="C59" s="34">
        <f>C58*1000</f>
        <v>0.3397925764</v>
      </c>
      <c r="D59" s="26" t="s">
        <v>90</v>
      </c>
      <c r="E59" s="8"/>
      <c r="F59" s="5"/>
      <c r="J59" s="22"/>
    </row>
    <row r="60" ht="15.75" customHeight="1">
      <c r="B60" s="8" t="s">
        <v>113</v>
      </c>
      <c r="C60" s="34">
        <v>11.0</v>
      </c>
      <c r="D60" s="26" t="s">
        <v>90</v>
      </c>
      <c r="E60" s="8" t="s">
        <v>114</v>
      </c>
      <c r="F60" s="5" t="s">
        <v>115</v>
      </c>
      <c r="J60" s="22"/>
    </row>
    <row r="61" ht="15.75" customHeight="1">
      <c r="B61" s="8" t="s">
        <v>116</v>
      </c>
      <c r="C61" s="28">
        <v>3.05</v>
      </c>
      <c r="D61" s="28" t="s">
        <v>117</v>
      </c>
      <c r="E61" s="1" t="s">
        <v>118</v>
      </c>
      <c r="F61" s="5" t="s">
        <v>119</v>
      </c>
      <c r="J61" s="22"/>
    </row>
    <row r="62" ht="15.75" customHeight="1">
      <c r="B62" s="8" t="s">
        <v>120</v>
      </c>
      <c r="C62" s="28">
        <f>C61*H5/H4</f>
        <v>0.06909115721</v>
      </c>
      <c r="D62" s="28" t="s">
        <v>121</v>
      </c>
      <c r="E62" s="8"/>
      <c r="F62" s="5"/>
      <c r="J62" s="22"/>
    </row>
    <row r="63" ht="15.75" customHeight="1">
      <c r="B63" s="8" t="s">
        <v>122</v>
      </c>
      <c r="C63" s="28">
        <f>C62*1000</f>
        <v>69.09115721</v>
      </c>
      <c r="D63" s="28" t="s">
        <v>123</v>
      </c>
      <c r="E63" s="8"/>
      <c r="F63" s="5"/>
      <c r="J63" s="22"/>
    </row>
    <row r="64" ht="15.75" customHeight="1">
      <c r="B64" s="8" t="s">
        <v>124</v>
      </c>
      <c r="C64" s="36">
        <v>5.5</v>
      </c>
      <c r="D64" s="28" t="s">
        <v>90</v>
      </c>
      <c r="E64" s="8" t="s">
        <v>125</v>
      </c>
      <c r="F64" s="5"/>
      <c r="J64" s="22"/>
    </row>
    <row r="65" ht="15.75" customHeight="1">
      <c r="B65" s="8" t="s">
        <v>126</v>
      </c>
      <c r="C65" s="29">
        <f>C45/C64</f>
        <v>177.7827414</v>
      </c>
      <c r="D65" s="28" t="s">
        <v>127</v>
      </c>
      <c r="E65" s="8"/>
      <c r="F65" s="5"/>
      <c r="J65" s="22"/>
    </row>
    <row r="66" ht="15.75" customHeight="1">
      <c r="A66" s="8"/>
      <c r="B66" s="15" t="s">
        <v>128</v>
      </c>
      <c r="C66" s="34">
        <f>C65/1000*24</f>
        <v>4.266785794</v>
      </c>
      <c r="D66" s="34" t="s">
        <v>129</v>
      </c>
      <c r="E66" s="8"/>
      <c r="F66" s="5"/>
      <c r="G66" s="8"/>
      <c r="H66" s="8"/>
      <c r="I66" s="8"/>
      <c r="J66" s="22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 t="s">
        <v>130</v>
      </c>
      <c r="C67" s="28">
        <f>C66*H9</f>
        <v>9.408262676</v>
      </c>
      <c r="D67" s="28" t="s">
        <v>131</v>
      </c>
      <c r="E67" s="8"/>
      <c r="F67" s="5"/>
      <c r="G67" s="8"/>
      <c r="H67" s="8"/>
      <c r="I67" s="8"/>
      <c r="J67" s="22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C68" s="28"/>
      <c r="D68" s="28"/>
      <c r="F68" s="5"/>
      <c r="J68" s="22"/>
    </row>
    <row r="69" ht="15.75" customHeight="1">
      <c r="B69" s="3" t="s">
        <v>132</v>
      </c>
      <c r="C69" s="28"/>
      <c r="D69" s="28"/>
      <c r="F69" s="5"/>
      <c r="J69" s="22"/>
    </row>
    <row r="70" ht="15.75" customHeight="1">
      <c r="B70" s="8" t="s">
        <v>133</v>
      </c>
      <c r="C70" s="28">
        <v>74.09268</v>
      </c>
      <c r="D70" s="28" t="s">
        <v>134</v>
      </c>
      <c r="F70" s="5" t="s">
        <v>135</v>
      </c>
      <c r="J70" s="22"/>
    </row>
    <row r="71" ht="15.75" customHeight="1">
      <c r="B71" s="8" t="s">
        <v>136</v>
      </c>
      <c r="C71" s="28">
        <f>C65/C70</f>
        <v>2.399464312</v>
      </c>
      <c r="D71" s="28" t="s">
        <v>137</v>
      </c>
      <c r="F71" s="5"/>
      <c r="J71" s="22"/>
    </row>
    <row r="72" ht="15.75" customHeight="1">
      <c r="B72" s="8" t="s">
        <v>138</v>
      </c>
      <c r="C72" s="28">
        <f>C71</f>
        <v>2.399464312</v>
      </c>
      <c r="D72" s="28" t="s">
        <v>139</v>
      </c>
      <c r="E72" s="8" t="s">
        <v>140</v>
      </c>
      <c r="F72" s="5"/>
      <c r="J72" s="22"/>
    </row>
    <row r="73" ht="15.75" customHeight="1">
      <c r="B73" s="8" t="s">
        <v>141</v>
      </c>
      <c r="C73" s="28">
        <f>C71</f>
        <v>2.399464312</v>
      </c>
      <c r="D73" s="28" t="s">
        <v>142</v>
      </c>
      <c r="E73" s="8" t="s">
        <v>143</v>
      </c>
      <c r="F73" s="5"/>
      <c r="J73" s="22"/>
    </row>
    <row r="74" ht="15.75" customHeight="1">
      <c r="B74" s="8" t="s">
        <v>144</v>
      </c>
      <c r="C74" s="28">
        <v>105.98844</v>
      </c>
      <c r="D74" s="28" t="s">
        <v>134</v>
      </c>
      <c r="F74" s="5" t="s">
        <v>145</v>
      </c>
      <c r="J74" s="22"/>
    </row>
    <row r="75" ht="15.75" customHeight="1">
      <c r="B75" s="8" t="s">
        <v>146</v>
      </c>
      <c r="C75" s="29">
        <f>C73*C74</f>
        <v>254.3154792</v>
      </c>
      <c r="D75" s="28" t="s">
        <v>147</v>
      </c>
      <c r="E75" s="37"/>
      <c r="F75" s="5"/>
      <c r="J75" s="22"/>
    </row>
    <row r="76" ht="15.75" customHeight="1">
      <c r="B76" s="15" t="s">
        <v>148</v>
      </c>
      <c r="C76" s="34">
        <f>C75/1000*24</f>
        <v>6.103571502</v>
      </c>
      <c r="D76" s="34" t="s">
        <v>149</v>
      </c>
      <c r="F76" s="5"/>
      <c r="J76" s="22"/>
    </row>
    <row r="77" ht="15.75" customHeight="1">
      <c r="A77" s="8"/>
      <c r="B77" s="8" t="s">
        <v>150</v>
      </c>
      <c r="C77" s="28">
        <f>C76*H9</f>
        <v>13.45837516</v>
      </c>
      <c r="D77" s="28" t="s">
        <v>151</v>
      </c>
      <c r="E77" s="8"/>
      <c r="F77" s="5"/>
      <c r="G77" s="8"/>
      <c r="H77" s="8"/>
      <c r="I77" s="8"/>
      <c r="J77" s="22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B78" s="15"/>
      <c r="C78" s="34"/>
      <c r="D78" s="34"/>
    </row>
    <row r="79" ht="15.75" customHeight="1">
      <c r="B79" s="19" t="s">
        <v>152</v>
      </c>
      <c r="C79" s="34"/>
      <c r="D79" s="34"/>
    </row>
    <row r="80" ht="15.75" customHeight="1">
      <c r="B80" s="15"/>
      <c r="C80" s="34"/>
      <c r="D80" s="34"/>
    </row>
    <row r="81" ht="15.75" customHeight="1">
      <c r="B81" s="8" t="s">
        <v>153</v>
      </c>
      <c r="C81" s="29">
        <f>C40*80/1000</f>
        <v>2.503208239</v>
      </c>
      <c r="D81" s="6" t="s">
        <v>154</v>
      </c>
      <c r="E81" s="6" t="s">
        <v>155</v>
      </c>
      <c r="F81" s="9" t="s">
        <v>156</v>
      </c>
    </row>
    <row r="82" ht="15.75" customHeight="1">
      <c r="B82" s="8" t="s">
        <v>157</v>
      </c>
      <c r="C82" s="28">
        <f>C81/1000</f>
        <v>0.002503208239</v>
      </c>
      <c r="D82" s="6" t="s">
        <v>158</v>
      </c>
    </row>
    <row r="83" ht="15.75" customHeight="1">
      <c r="B83" s="8" t="s">
        <v>159</v>
      </c>
      <c r="C83" s="29">
        <f>C81</f>
        <v>2.503208239</v>
      </c>
      <c r="D83" s="6" t="s">
        <v>154</v>
      </c>
      <c r="E83" s="6" t="s">
        <v>160</v>
      </c>
    </row>
    <row r="84" ht="15.75" customHeight="1">
      <c r="B84" s="8" t="s">
        <v>161</v>
      </c>
      <c r="C84" s="29">
        <v>1.0</v>
      </c>
    </row>
    <row r="85" ht="15.75" customHeight="1">
      <c r="B85" s="8" t="s">
        <v>162</v>
      </c>
      <c r="C85" s="28">
        <f>C83/1000*C84</f>
        <v>0.002503208239</v>
      </c>
      <c r="D85" s="6" t="s">
        <v>158</v>
      </c>
    </row>
    <row r="86" ht="15.75" customHeight="1">
      <c r="B86" s="8" t="s">
        <v>163</v>
      </c>
      <c r="C86" s="28">
        <f>C82+C85</f>
        <v>0.005006416477</v>
      </c>
      <c r="D86" s="6" t="s">
        <v>158</v>
      </c>
      <c r="E86" s="6" t="s">
        <v>164</v>
      </c>
    </row>
    <row r="87" ht="15.75" customHeight="1">
      <c r="B87" s="8" t="s">
        <v>165</v>
      </c>
      <c r="C87" s="6">
        <v>947.2</v>
      </c>
      <c r="D87" s="6" t="s">
        <v>166</v>
      </c>
      <c r="E87" s="6" t="s">
        <v>167</v>
      </c>
      <c r="F87" s="5" t="s">
        <v>168</v>
      </c>
    </row>
    <row r="88" ht="15.75" customHeight="1">
      <c r="B88" s="8" t="s">
        <v>169</v>
      </c>
      <c r="C88" s="6">
        <f>C87/1000</f>
        <v>0.9472</v>
      </c>
      <c r="D88" s="6" t="s">
        <v>170</v>
      </c>
      <c r="F88" s="5"/>
    </row>
    <row r="89" ht="15.75" customHeight="1">
      <c r="B89" s="8" t="s">
        <v>171</v>
      </c>
      <c r="C89" s="28">
        <f>C86*C88</f>
        <v>0.004742077687</v>
      </c>
      <c r="D89" s="6" t="s">
        <v>172</v>
      </c>
      <c r="F89" s="5"/>
    </row>
    <row r="90" ht="15.75" customHeight="1">
      <c r="B90" s="8" t="s">
        <v>173</v>
      </c>
      <c r="C90" s="28">
        <f>C89/H9</f>
        <v>0.002150602126</v>
      </c>
      <c r="D90" s="6" t="s">
        <v>174</v>
      </c>
      <c r="F90" s="5"/>
    </row>
    <row r="91" ht="15.0" customHeight="1">
      <c r="E91" s="14"/>
    </row>
    <row r="92" ht="15.75" customHeight="1">
      <c r="B92" s="38" t="s">
        <v>175</v>
      </c>
      <c r="E92" s="39"/>
      <c r="H92" s="8"/>
      <c r="I92" s="13"/>
    </row>
    <row r="93" ht="15.75" customHeight="1">
      <c r="E93" s="8"/>
    </row>
    <row r="94" ht="15.75" customHeight="1">
      <c r="B94" s="6" t="s">
        <v>176</v>
      </c>
      <c r="C94" s="20">
        <v>1.91E7</v>
      </c>
      <c r="D94" s="6" t="s">
        <v>33</v>
      </c>
      <c r="E94" s="8" t="s">
        <v>177</v>
      </c>
      <c r="F94" s="9" t="s">
        <v>178</v>
      </c>
    </row>
    <row r="95" ht="15.75" customHeight="1">
      <c r="B95" s="6" t="s">
        <v>179</v>
      </c>
      <c r="C95" s="17">
        <v>0.01</v>
      </c>
      <c r="E95" s="8" t="s">
        <v>180</v>
      </c>
    </row>
    <row r="96" ht="15.75" customHeight="1">
      <c r="B96" s="6" t="s">
        <v>181</v>
      </c>
      <c r="C96" s="24">
        <f>C94*C95</f>
        <v>191000</v>
      </c>
      <c r="D96" s="6" t="s">
        <v>33</v>
      </c>
      <c r="E96" s="8"/>
    </row>
    <row r="97" ht="15.75" customHeight="1">
      <c r="B97" s="6" t="s">
        <v>182</v>
      </c>
      <c r="C97" s="24">
        <f>C19</f>
        <v>816467.237</v>
      </c>
      <c r="D97" s="6" t="s">
        <v>33</v>
      </c>
    </row>
    <row r="98" ht="15.75" customHeight="1">
      <c r="B98" s="6" t="s">
        <v>183</v>
      </c>
      <c r="C98" s="40">
        <f>C96/C97</f>
        <v>0.2339346778</v>
      </c>
      <c r="E98" s="8"/>
      <c r="F98" s="15"/>
    </row>
    <row r="99" ht="15.75" customHeight="1">
      <c r="B99" s="6" t="s">
        <v>184</v>
      </c>
      <c r="C99" s="28">
        <f>C96/C28</f>
        <v>0.08845621907</v>
      </c>
      <c r="D99" s="6" t="s">
        <v>185</v>
      </c>
      <c r="E99" s="15"/>
    </row>
    <row r="100" ht="15.75" customHeight="1">
      <c r="B100" s="6" t="s">
        <v>186</v>
      </c>
      <c r="C100" s="28">
        <f>C99*1000</f>
        <v>88.45621907</v>
      </c>
      <c r="D100" s="6" t="s">
        <v>187</v>
      </c>
    </row>
    <row r="101" ht="15.75" customHeight="1">
      <c r="B101" s="6" t="s">
        <v>188</v>
      </c>
      <c r="C101" s="28">
        <f>C100/365/24</f>
        <v>0.0100977419</v>
      </c>
      <c r="D101" s="6" t="s">
        <v>174</v>
      </c>
    </row>
    <row r="102" ht="15.75" customHeight="1"/>
    <row r="103" ht="15.75" customHeight="1">
      <c r="B103" s="38" t="s">
        <v>189</v>
      </c>
    </row>
    <row r="104" ht="15.75" customHeight="1">
      <c r="I104" s="41"/>
    </row>
    <row r="105" ht="15.75" customHeight="1">
      <c r="B105" s="8" t="s">
        <v>173</v>
      </c>
      <c r="C105" s="28">
        <f>C90</f>
        <v>0.002150602126</v>
      </c>
      <c r="D105" s="6" t="s">
        <v>174</v>
      </c>
      <c r="F105" s="5"/>
    </row>
    <row r="106" ht="15.75" customHeight="1">
      <c r="B106" s="8" t="s">
        <v>190</v>
      </c>
      <c r="C106" s="28">
        <f>C101</f>
        <v>0.0100977419</v>
      </c>
      <c r="D106" s="6" t="s">
        <v>174</v>
      </c>
      <c r="F106" s="5"/>
    </row>
    <row r="107" ht="15.75" customHeight="1">
      <c r="B107" s="8" t="s">
        <v>191</v>
      </c>
      <c r="C107" s="28">
        <f>C32*3600</f>
        <v>0.04316479283</v>
      </c>
      <c r="D107" s="6" t="s">
        <v>174</v>
      </c>
      <c r="F107" s="5"/>
    </row>
    <row r="108" ht="15.75" customHeight="1">
      <c r="B108" s="15" t="s">
        <v>192</v>
      </c>
      <c r="C108" s="34">
        <f>C107/(C105+C106)</f>
        <v>3.524132955</v>
      </c>
      <c r="D108" s="15"/>
    </row>
    <row r="109" ht="15.75" customHeight="1">
      <c r="C109" s="42"/>
      <c r="D109" s="16"/>
    </row>
    <row r="110" ht="15.75" customHeight="1">
      <c r="B110" s="19" t="s">
        <v>193</v>
      </c>
      <c r="C110" s="34"/>
      <c r="D110" s="15"/>
      <c r="F110" s="5"/>
    </row>
    <row r="111" ht="15.75" customHeight="1">
      <c r="B111" s="15"/>
      <c r="C111" s="34"/>
      <c r="D111" s="15"/>
      <c r="F111" s="5"/>
    </row>
    <row r="112" ht="15.75" customHeight="1">
      <c r="B112" s="8" t="s">
        <v>194</v>
      </c>
      <c r="C112" s="35">
        <v>80.0</v>
      </c>
      <c r="D112" s="8" t="s">
        <v>195</v>
      </c>
      <c r="E112" s="6" t="s">
        <v>196</v>
      </c>
      <c r="F112" s="5" t="s">
        <v>197</v>
      </c>
    </row>
    <row r="113" ht="15.75" customHeight="1">
      <c r="A113" s="43"/>
      <c r="B113" s="43" t="s">
        <v>198</v>
      </c>
      <c r="C113" s="44">
        <f>C86*24*365*0.1/C31</f>
        <v>11.59837949</v>
      </c>
      <c r="D113" s="43" t="s">
        <v>195</v>
      </c>
      <c r="E113" s="45" t="s">
        <v>199</v>
      </c>
      <c r="F113" s="46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/>
    <row r="115" ht="15.75" customHeight="1">
      <c r="B115" s="19" t="s">
        <v>200</v>
      </c>
      <c r="C115" s="34"/>
      <c r="F115" s="5"/>
    </row>
    <row r="116" ht="15.75" customHeight="1">
      <c r="B116" s="15"/>
      <c r="C116" s="34"/>
      <c r="D116" s="15"/>
      <c r="F116" s="5"/>
    </row>
    <row r="117" ht="15.75" customHeight="1">
      <c r="B117" s="3" t="s">
        <v>201</v>
      </c>
    </row>
    <row r="118" ht="15.75" customHeight="1">
      <c r="B118" s="8" t="s">
        <v>202</v>
      </c>
      <c r="C118" s="29">
        <v>98066.1</v>
      </c>
      <c r="D118" s="6" t="s">
        <v>3</v>
      </c>
      <c r="E118" s="6" t="s">
        <v>203</v>
      </c>
      <c r="F118" s="9" t="s">
        <v>204</v>
      </c>
    </row>
    <row r="119" ht="15.75" customHeight="1">
      <c r="B119" s="6" t="s">
        <v>205</v>
      </c>
      <c r="C119" s="30">
        <f>C118/C19</f>
        <v>0.1201102697</v>
      </c>
      <c r="D119" s="6" t="s">
        <v>70</v>
      </c>
      <c r="F119" s="5"/>
    </row>
    <row r="120" ht="15.75" customHeight="1">
      <c r="B120" s="6" t="s">
        <v>206</v>
      </c>
      <c r="C120" s="29">
        <f>C118/5</f>
        <v>19613.22</v>
      </c>
      <c r="D120" s="6" t="s">
        <v>3</v>
      </c>
      <c r="F120" s="5"/>
    </row>
    <row r="121" ht="15.75" customHeight="1">
      <c r="B121" s="15" t="s">
        <v>207</v>
      </c>
      <c r="C121" s="31">
        <f>C120/C31</f>
        <v>51869.8668</v>
      </c>
      <c r="D121" s="15" t="s">
        <v>208</v>
      </c>
      <c r="F121" s="5"/>
    </row>
    <row r="122" ht="15.75" customHeight="1">
      <c r="B122" s="15"/>
      <c r="C122" s="31"/>
      <c r="D122" s="15"/>
      <c r="F122" s="5"/>
    </row>
    <row r="123" ht="15.75" customHeight="1">
      <c r="B123" s="19" t="s">
        <v>209</v>
      </c>
      <c r="C123" s="47" t="s">
        <v>210</v>
      </c>
      <c r="D123" s="8"/>
      <c r="F123" s="5"/>
    </row>
    <row r="124" ht="15.75" customHeight="1">
      <c r="B124" s="15"/>
      <c r="C124" s="47"/>
      <c r="D124" s="8"/>
      <c r="F124" s="5"/>
    </row>
    <row r="125" ht="15.75" customHeight="1">
      <c r="B125" s="8" t="s">
        <v>211</v>
      </c>
      <c r="C125" s="24">
        <v>7.12E7</v>
      </c>
      <c r="D125" s="8" t="s">
        <v>212</v>
      </c>
      <c r="F125" s="9" t="s">
        <v>213</v>
      </c>
    </row>
    <row r="126" ht="15.75" customHeight="1">
      <c r="B126" s="8" t="s">
        <v>214</v>
      </c>
      <c r="C126" s="48">
        <v>0.05</v>
      </c>
      <c r="D126" s="8"/>
      <c r="F126" s="5"/>
    </row>
    <row r="127" ht="15.75" customHeight="1">
      <c r="B127" s="8" t="s">
        <v>215</v>
      </c>
      <c r="C127" s="24">
        <f>C125*C126/C31</f>
        <v>9414911.26</v>
      </c>
      <c r="D127" s="8" t="s">
        <v>208</v>
      </c>
      <c r="F127" s="5"/>
    </row>
    <row r="128" ht="15.75" customHeight="1">
      <c r="B128" s="8" t="s">
        <v>216</v>
      </c>
      <c r="C128" s="35">
        <f>C127/C121</f>
        <v>181.5102263</v>
      </c>
      <c r="D128" s="8"/>
      <c r="F128" s="5"/>
    </row>
    <row r="129" ht="15.75" customHeight="1">
      <c r="B129" s="8" t="s">
        <v>217</v>
      </c>
      <c r="C129" s="49">
        <f>C112</f>
        <v>80</v>
      </c>
      <c r="D129" s="8" t="s">
        <v>218</v>
      </c>
      <c r="E129" s="6" t="s">
        <v>219</v>
      </c>
      <c r="F129" s="5"/>
    </row>
    <row r="130" ht="15.75" customHeight="1">
      <c r="B130" s="8" t="s">
        <v>220</v>
      </c>
      <c r="C130" s="49">
        <f>C113+50</f>
        <v>61.59837949</v>
      </c>
      <c r="D130" s="8" t="s">
        <v>218</v>
      </c>
      <c r="E130" s="6" t="s">
        <v>221</v>
      </c>
      <c r="F130" s="5"/>
    </row>
    <row r="131" ht="15.75" customHeight="1">
      <c r="B131" s="8" t="s">
        <v>222</v>
      </c>
      <c r="C131" s="24">
        <f>C127*C31*SUM(C129:C130)</f>
        <v>504090231</v>
      </c>
      <c r="D131" s="8" t="s">
        <v>223</v>
      </c>
      <c r="F131" s="5"/>
    </row>
    <row r="132" ht="15.75" customHeight="1">
      <c r="B132" s="8" t="s">
        <v>224</v>
      </c>
      <c r="C132" s="24">
        <f>C127*C31</f>
        <v>3560000</v>
      </c>
      <c r="D132" s="8" t="s">
        <v>212</v>
      </c>
      <c r="F132" s="5"/>
    </row>
    <row r="133" ht="15.75" customHeight="1">
      <c r="B133" s="8" t="s">
        <v>225</v>
      </c>
      <c r="C133" s="50">
        <f>C132/C19</f>
        <v>4.360248444</v>
      </c>
      <c r="D133" s="8"/>
      <c r="F133" s="5"/>
    </row>
    <row r="134" ht="15.75" customHeight="1">
      <c r="B134" s="15" t="s">
        <v>226</v>
      </c>
      <c r="C134" s="47">
        <f>C131/C132</f>
        <v>141.5983795</v>
      </c>
      <c r="D134" s="8" t="s">
        <v>195</v>
      </c>
      <c r="E134" s="6" t="s">
        <v>227</v>
      </c>
      <c r="F134" s="5"/>
    </row>
    <row r="135" ht="15.75" customHeight="1">
      <c r="B135" s="15"/>
      <c r="C135" s="47"/>
      <c r="D135" s="8"/>
      <c r="F135" s="5"/>
    </row>
    <row r="136" ht="15.75" customHeight="1">
      <c r="B136" s="19" t="s">
        <v>228</v>
      </c>
      <c r="C136" s="31"/>
      <c r="D136" s="15"/>
      <c r="F136" s="49"/>
    </row>
    <row r="137" ht="15.75" customHeight="1">
      <c r="B137" s="15"/>
      <c r="C137" s="31"/>
      <c r="D137" s="15"/>
      <c r="F137" s="5"/>
    </row>
    <row r="138" ht="15.75" customHeight="1">
      <c r="B138" s="41" t="s">
        <v>229</v>
      </c>
      <c r="C138" s="9" t="s">
        <v>230</v>
      </c>
      <c r="D138" s="22"/>
    </row>
    <row r="139" ht="15.75" customHeight="1">
      <c r="B139" s="41" t="s">
        <v>231</v>
      </c>
      <c r="C139" s="9" t="s">
        <v>232</v>
      </c>
    </row>
    <row r="140" ht="15.75" customHeight="1">
      <c r="B140" s="41" t="s">
        <v>233</v>
      </c>
      <c r="C140" s="9" t="s">
        <v>234</v>
      </c>
      <c r="D140" s="22"/>
    </row>
    <row r="141" ht="15.75" customHeight="1">
      <c r="B141" s="6" t="s">
        <v>235</v>
      </c>
      <c r="C141" s="9" t="s">
        <v>236</v>
      </c>
      <c r="D141" s="22"/>
    </row>
    <row r="142" ht="15.75" customHeight="1">
      <c r="B142" s="6" t="s">
        <v>237</v>
      </c>
      <c r="C142" s="9" t="s">
        <v>238</v>
      </c>
      <c r="D142" s="22"/>
    </row>
    <row r="143" ht="15.75" customHeight="1">
      <c r="B143" s="6" t="s">
        <v>239</v>
      </c>
      <c r="C143" s="9" t="s">
        <v>240</v>
      </c>
      <c r="D143" s="22"/>
    </row>
    <row r="144" ht="15.75" customHeight="1">
      <c r="B144" s="6" t="s">
        <v>241</v>
      </c>
      <c r="C144" s="9" t="s">
        <v>242</v>
      </c>
      <c r="D144" s="22"/>
    </row>
    <row r="145" ht="15.75" customHeight="1">
      <c r="B145" s="6" t="s">
        <v>243</v>
      </c>
      <c r="C145" s="9" t="s">
        <v>244</v>
      </c>
      <c r="D145" s="22"/>
    </row>
    <row r="146" ht="15.75" customHeight="1">
      <c r="B146" s="6" t="s">
        <v>245</v>
      </c>
      <c r="C146" s="9" t="s">
        <v>246</v>
      </c>
      <c r="D146" s="22"/>
    </row>
    <row r="147" ht="15.75" customHeight="1">
      <c r="B147" s="6" t="s">
        <v>247</v>
      </c>
      <c r="C147" s="9" t="s">
        <v>248</v>
      </c>
      <c r="D147" s="22"/>
    </row>
    <row r="148" ht="15.75" customHeight="1">
      <c r="B148" s="6" t="s">
        <v>249</v>
      </c>
      <c r="C148" s="9" t="s">
        <v>250</v>
      </c>
      <c r="D148" s="22"/>
    </row>
    <row r="149" ht="15.75" customHeight="1">
      <c r="B149" s="6" t="s">
        <v>251</v>
      </c>
      <c r="C149" s="9" t="s">
        <v>252</v>
      </c>
    </row>
    <row r="150" ht="15.75" customHeight="1">
      <c r="B150" s="6" t="s">
        <v>253</v>
      </c>
      <c r="C150" s="9" t="s">
        <v>254</v>
      </c>
    </row>
    <row r="151" ht="15.75" customHeight="1">
      <c r="B151" s="6" t="s">
        <v>255</v>
      </c>
      <c r="C151" s="9" t="s">
        <v>256</v>
      </c>
    </row>
    <row r="152" ht="15.75" customHeight="1">
      <c r="B152" s="6" t="s">
        <v>257</v>
      </c>
      <c r="C152" s="9" t="s">
        <v>258</v>
      </c>
    </row>
    <row r="153" ht="15.75" customHeight="1">
      <c r="B153" s="6" t="s">
        <v>259</v>
      </c>
      <c r="C153" s="9" t="s">
        <v>260</v>
      </c>
    </row>
    <row r="154" ht="15.75" customHeight="1">
      <c r="B154" s="6" t="s">
        <v>261</v>
      </c>
      <c r="C154" s="9" t="s">
        <v>262</v>
      </c>
    </row>
    <row r="155" ht="15.75" customHeight="1"/>
  </sheetData>
  <hyperlinks>
    <hyperlink r:id="rId1" ref="J4"/>
    <hyperlink r:id="rId2" ref="J5"/>
    <hyperlink r:id="rId3" ref="F23"/>
    <hyperlink r:id="rId4" ref="F37"/>
    <hyperlink r:id="rId5" ref="F40"/>
    <hyperlink r:id="rId6" ref="F81"/>
    <hyperlink r:id="rId7" ref="F94"/>
    <hyperlink r:id="rId8" ref="F118"/>
    <hyperlink r:id="rId9" ref="F125"/>
    <hyperlink r:id="rId10" ref="C138"/>
    <hyperlink r:id="rId11" ref="C139"/>
    <hyperlink r:id="rId12" ref="C140"/>
    <hyperlink r:id="rId13" location="!divAbstract" ref="C141"/>
    <hyperlink r:id="rId14" ref="C142"/>
    <hyperlink r:id="rId15" ref="C143"/>
    <hyperlink r:id="rId16" ref="C144"/>
    <hyperlink r:id="rId17" ref="C145"/>
    <hyperlink r:id="rId18" ref="C146"/>
    <hyperlink r:id="rId19" ref="C147"/>
    <hyperlink r:id="rId20" ref="C148"/>
    <hyperlink r:id="rId21" ref="C149"/>
    <hyperlink r:id="rId22" ref="C150"/>
    <hyperlink r:id="rId23" ref="C151"/>
    <hyperlink r:id="rId24" ref="C152"/>
    <hyperlink r:id="rId25" ref="C153"/>
    <hyperlink r:id="rId26" ref="C154"/>
  </hyperlinks>
  <printOptions/>
  <pageMargins bottom="0.75" footer="0.0" header="0.0" left="0.25" right="0.25" top="0.75"/>
  <pageSetup fitToHeight="0" orientation="landscape"/>
  <drawing r:id="rId27"/>
</worksheet>
</file>