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16380" windowHeight="8200" tabRatio="602" firstSheet="0" activeTab="0" autoFilterDateGrouping="1"/>
  </bookViews>
  <sheets>
    <sheet name="Mass and Balance Sheet" sheetId="1" state="visible" r:id="rId1"/>
    <sheet name="FC" sheetId="2" state="visible" r:id="rId2"/>
    <sheet name="Performance" sheetId="3" state="visible" r:id="rId3"/>
    <sheet name="Dep 620" sheetId="4" state="visible" r:id="rId4"/>
    <sheet name="Land 620" sheetId="5" state="visible" r:id="rId5"/>
    <sheet name="Alternate 620" sheetId="6" state="visible" r:id="rId6"/>
    <sheet name="Fuel" sheetId="7" state="visible" r:id="rId7"/>
    <sheet name="Navigation Log" sheetId="8" state="visible" r:id="rId8"/>
    <sheet name="Navigation Log Sheet" sheetId="9" state="visible" r:id="rId9"/>
    <sheet name="Aeródromos" sheetId="10" state="visible" r:id="rId10"/>
  </sheets>
  <definedNames>
    <definedName name="Aeronave">'Mass and Balance Sheet'!$L$4:$L$7</definedName>
    <definedName name="Print_Area_0" localSheetId="2">Performance!$A$3:$J$19,Performance!$A$34:$J$34,Performance!$A$50:$J$65</definedName>
    <definedName name="_xlnm.Print_Area" localSheetId="0">'Mass and Balance Sheet'!$A$1:$D$13</definedName>
    <definedName name="_xlnm.Print_Area" localSheetId="2">'Performance'!$A$1:$K$18,'Performance'!$A$20:$K$33,'Performance'!$A$35:$K$49</definedName>
    <definedName name="_xlnm.Print_Area" localSheetId="7">'Navigation Log'!$A$1:$U$31</definedName>
    <definedName name="_xlnm.Print_Area" localSheetId="8">'Navigation Log Sheet'!$A$1:$P$42</definedName>
  </definedNames>
  <calcPr calcId="191029" fullCalcOnLoad="1" iterateDelta="0.0001"/>
</workbook>
</file>

<file path=xl/styles.xml><?xml version="1.0" encoding="utf-8"?>
<styleSheet xmlns="http://schemas.openxmlformats.org/spreadsheetml/2006/main">
  <numFmts count="12">
    <numFmt numFmtId="164" formatCode="0.0"/>
    <numFmt numFmtId="165" formatCode="0.000"/>
    <numFmt numFmtId="166" formatCode="0000"/>
    <numFmt numFmtId="167" formatCode="000"/>
    <numFmt numFmtId="168" formatCode="00"/>
    <numFmt numFmtId="169" formatCode="h\ &quot;h&quot;\ mm\ &quot;min&quot;"/>
    <numFmt numFmtId="170" formatCode="0.0\ \l"/>
    <numFmt numFmtId="171" formatCode="General\ \f\t"/>
    <numFmt numFmtId="172" formatCode="General\ \º\C"/>
    <numFmt numFmtId="173" formatCode="d/m/yyyy;@"/>
    <numFmt numFmtId="174" formatCode="0.0\ \k\t"/>
    <numFmt numFmtId="175" formatCode="0.0\ &quot;l/h&quot;"/>
  </numFmts>
  <fonts count="30">
    <font>
      <name val="Arial"/>
      <charset val="1"/>
      <color rgb="FF000000"/>
      <sz val="10"/>
    </font>
    <font>
      <name val="Arial"/>
      <charset val="1"/>
      <color rgb="FFFFFFFF"/>
      <sz val="10"/>
    </font>
    <font>
      <name val="Arial"/>
      <charset val="1"/>
      <b val="1"/>
      <color rgb="FF000000"/>
      <sz val="10"/>
    </font>
    <font>
      <name val="Arial"/>
      <charset val="1"/>
      <b val="1"/>
      <color rgb="FFFFFFFF"/>
      <sz val="10"/>
    </font>
    <font>
      <name val="Arial"/>
      <charset val="1"/>
      <i val="1"/>
      <color rgb="FF808080"/>
      <sz val="10"/>
    </font>
    <font>
      <name val="Arial"/>
      <charset val="1"/>
      <b val="1"/>
      <color rgb="FF000000"/>
      <sz val="24"/>
    </font>
    <font>
      <name val="Arial"/>
      <charset val="1"/>
      <color rgb="FF0000EE"/>
      <sz val="10"/>
      <u val="single"/>
    </font>
    <font>
      <name val="Arial"/>
      <charset val="1"/>
      <b val="1"/>
      <i val="1"/>
      <color rgb="FF000000"/>
      <sz val="10"/>
      <u val="single"/>
    </font>
    <font>
      <name val="Arial"/>
      <charset val="1"/>
      <color rgb="FFCC0000"/>
      <sz val="10"/>
    </font>
    <font>
      <name val="Calibri"/>
      <charset val="1"/>
      <family val="2"/>
      <color rgb="FF000000"/>
      <sz val="10"/>
    </font>
    <font>
      <name val="Arial"/>
      <charset val="1"/>
      <family val="2"/>
      <color rgb="FF000000"/>
      <sz val="10"/>
    </font>
    <font>
      <name val="Arial"/>
      <charset val="1"/>
      <b val="1"/>
      <color rgb="FFFFFFFF"/>
      <sz val="8"/>
    </font>
    <font>
      <name val="Arial"/>
      <charset val="1"/>
      <sz val="10"/>
    </font>
    <font>
      <name val="Arial"/>
      <charset val="1"/>
      <family val="2"/>
      <b val="1"/>
      <color rgb="FFFFFFFF"/>
      <sz val="8"/>
    </font>
    <font>
      <name val="Arial"/>
      <charset val="1"/>
      <family val="2"/>
      <sz val="10"/>
    </font>
    <font>
      <name val="Arial"/>
      <charset val="1"/>
      <family val="2"/>
      <b val="1"/>
      <color rgb="FFFFFFFF"/>
      <sz val="10"/>
    </font>
    <font>
      <name val="Roboto"/>
      <charset val="1"/>
      <b val="1"/>
      <color rgb="FFFFFFFF"/>
      <sz val="8"/>
    </font>
    <font>
      <name val="Arial"/>
      <charset val="1"/>
      <family val="2"/>
      <b val="1"/>
      <color rgb="FF999999"/>
      <sz val="10"/>
    </font>
    <font>
      <name val="Arial"/>
      <charset val="1"/>
      <family val="2"/>
      <color rgb="FF000000"/>
      <sz val="8"/>
    </font>
    <font>
      <name val="Arial"/>
      <charset val="1"/>
      <family val="2"/>
      <b val="1"/>
      <color rgb="FF000000"/>
      <sz val="12"/>
    </font>
    <font>
      <name val="Arial"/>
      <charset val="1"/>
      <family val="2"/>
      <sz val="18"/>
    </font>
    <font>
      <name val="Arial"/>
      <charset val="1"/>
      <family val="2"/>
      <sz val="12"/>
    </font>
    <font>
      <name val="Arial"/>
      <charset val="1"/>
      <family val="2"/>
      <b val="1"/>
      <color rgb="FF000000"/>
      <sz val="6"/>
    </font>
    <font>
      <name val="Arial"/>
      <charset val="1"/>
      <color rgb="FF000000"/>
      <sz val="6"/>
    </font>
    <font>
      <name val="Arial"/>
      <family val="2"/>
      <sz val="18"/>
    </font>
    <font>
      <name val="Arial"/>
      <charset val="1"/>
      <color rgb="FF000000"/>
      <sz val="8"/>
    </font>
    <font>
      <name val="Arial"/>
      <charset val="1"/>
      <color rgb="FF000000"/>
      <sz val="10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Verdana"/>
      <family val="2"/>
      <color rgb="FF000000"/>
      <sz val="10"/>
    </font>
  </fonts>
  <fills count="17">
    <fill>
      <patternFill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99999"/>
      </patternFill>
    </fill>
    <fill>
      <patternFill patternType="solid">
        <fgColor rgb="FFDDDDDD"/>
        <bgColor rgb="FFCFE2F3"/>
      </patternFill>
    </fill>
    <fill>
      <patternFill patternType="solid">
        <fgColor rgb="FFCC0000"/>
        <bgColor rgb="FF800000"/>
      </patternFill>
    </fill>
    <fill>
      <patternFill patternType="solid">
        <fgColor rgb="FFBBE33D"/>
        <bgColor rgb="FFD4EA6B"/>
      </patternFill>
    </fill>
    <fill>
      <patternFill patternType="solid">
        <fgColor rgb="FFD4EA6B"/>
        <bgColor rgb="FFBBE33D"/>
      </patternFill>
    </fill>
    <fill>
      <patternFill patternType="solid">
        <fgColor rgb="FFA9D18E"/>
        <bgColor rgb="FFB7B7B7"/>
      </patternFill>
    </fill>
    <fill>
      <patternFill patternType="solid">
        <fgColor rgb="FFFFD966"/>
        <bgColor rgb="FFD4EA6B"/>
      </patternFill>
    </fill>
    <fill>
      <patternFill patternType="solid">
        <fgColor rgb="FF2F5597"/>
        <bgColor rgb="FF666699"/>
      </patternFill>
    </fill>
    <fill>
      <patternFill patternType="solid">
        <fgColor rgb="FF9DC3E6"/>
        <bgColor rgb="FFB7B7B7"/>
      </patternFill>
    </fill>
    <fill>
      <patternFill patternType="solid">
        <fgColor rgb="FF3C78D8"/>
        <bgColor rgb="FF666699"/>
      </patternFill>
    </fill>
    <fill>
      <patternFill patternType="solid">
        <fgColor rgb="FF6FA8DC"/>
        <bgColor rgb="FF9DC3E6"/>
      </patternFill>
    </fill>
    <fill>
      <patternFill patternType="solid">
        <fgColor rgb="FFEFEFEF"/>
        <bgColor rgb="FFFFFFFF"/>
      </patternFill>
    </fill>
    <fill>
      <patternFill patternType="solid">
        <fgColor rgb="FFCFE2F3"/>
        <bgColor rgb="FFDDDDDD"/>
      </patternFill>
    </fill>
    <fill>
      <patternFill patternType="solid">
        <fgColor theme="0"/>
        <bgColor rgb="FFB7B7B7"/>
      </patternFill>
    </fill>
  </fills>
  <borders count="9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rgb="FFB7B7B7"/>
      </right>
      <top style="thick">
        <color auto="1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ck">
        <color auto="1"/>
      </top>
      <bottom style="thin">
        <color rgb="FFB7B7B7"/>
      </bottom>
      <diagonal/>
    </border>
    <border>
      <left style="dashed">
        <color auto="1"/>
      </left>
      <right style="thin">
        <color rgb="FFB7B7B7"/>
      </right>
      <top style="thick">
        <color auto="1"/>
      </top>
      <bottom style="thin">
        <color rgb="FFB7B7B7"/>
      </bottom>
      <diagonal/>
    </border>
    <border>
      <left style="thin">
        <color rgb="FFB7B7B7"/>
      </left>
      <right style="thick">
        <color auto="1"/>
      </right>
      <top style="thick">
        <color auto="1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ck">
        <color auto="1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dashed">
        <color auto="1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ck">
        <color auto="1"/>
      </right>
      <top style="thin">
        <color rgb="FFB7B7B7"/>
      </top>
      <bottom style="thin">
        <color rgb="FFB7B7B7"/>
      </bottom>
      <diagonal/>
    </border>
    <border>
      <left style="thick">
        <color auto="1"/>
      </left>
      <right style="thin">
        <color rgb="FFB7B7B7"/>
      </right>
      <top style="thin">
        <color rgb="FFB7B7B7"/>
      </top>
      <bottom style="thick">
        <color auto="1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ck">
        <color auto="1"/>
      </bottom>
      <diagonal/>
    </border>
    <border>
      <left style="dashed">
        <color auto="1"/>
      </left>
      <right style="thin">
        <color rgb="FFB7B7B7"/>
      </right>
      <top style="thin">
        <color rgb="FFB7B7B7"/>
      </top>
      <bottom style="thick">
        <color auto="1"/>
      </bottom>
      <diagonal/>
    </border>
    <border>
      <left style="thin">
        <color rgb="FFB7B7B7"/>
      </left>
      <right style="thick">
        <color auto="1"/>
      </right>
      <top style="thin">
        <color rgb="FFB7B7B7"/>
      </top>
      <bottom style="thick">
        <color rgb="FFFFFFFF"/>
      </bottom>
      <diagonal/>
    </border>
    <border>
      <left style="thin">
        <color auto="1"/>
      </left>
      <right style="thin">
        <color rgb="FFFFFFFF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rgb="FFB7B7B7"/>
      </left>
      <right style="dashed">
        <color auto="1"/>
      </right>
      <top style="thick">
        <color auto="1"/>
      </top>
      <bottom style="thin">
        <color rgb="FFB7B7B7"/>
      </bottom>
      <diagonal/>
    </border>
    <border>
      <left style="thin">
        <color rgb="FFB7B7B7"/>
      </left>
      <right style="dashed">
        <color auto="1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dashed">
        <color auto="1"/>
      </right>
      <top style="thin">
        <color rgb="FFB7B7B7"/>
      </top>
      <bottom style="thick">
        <color auto="1"/>
      </bottom>
      <diagonal/>
    </border>
    <border>
      <left style="thin">
        <color rgb="FFB7B7B7"/>
      </left>
      <right style="thick">
        <color rgb="FFFFFFFF"/>
      </right>
      <top style="thin">
        <color rgb="FFB7B7B7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rgb="FFCCCCCC"/>
      </right>
      <top style="thick">
        <color auto="1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ck">
        <color auto="1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ck">
        <color auto="1"/>
      </right>
      <top style="thick">
        <color auto="1"/>
      </top>
      <bottom style="thin">
        <color rgb="FFCCCCCC"/>
      </bottom>
      <diagonal/>
    </border>
    <border>
      <left style="thick">
        <color auto="1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ck">
        <color auto="1"/>
      </right>
      <top style="thin">
        <color rgb="FFCCCCCC"/>
      </top>
      <bottom style="thin">
        <color rgb="FFCCCCCC"/>
      </bottom>
      <diagonal/>
    </border>
    <border>
      <left style="thick">
        <color auto="1"/>
      </left>
      <right style="thin">
        <color rgb="FFCCCCCC"/>
      </right>
      <top style="thin">
        <color rgb="FFCCCCCC"/>
      </top>
      <bottom style="thick">
        <color auto="1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ck">
        <color auto="1"/>
      </bottom>
      <diagonal/>
    </border>
    <border>
      <left style="thin">
        <color rgb="FFCCCCCC"/>
      </left>
      <right style="thick">
        <color auto="1"/>
      </right>
      <top style="thin">
        <color rgb="FFCCCCCC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 style="thick">
        <color auto="1"/>
      </bottom>
      <diagonal/>
    </border>
    <border>
      <left/>
      <right style="thick">
        <color auto="1"/>
      </right>
      <top style="thin">
        <color rgb="FFCCCCCC"/>
      </top>
      <bottom/>
      <diagonal/>
    </border>
    <border>
      <left/>
      <right style="thick">
        <color auto="1"/>
      </right>
      <top style="thin">
        <color rgb="FFCCCCCC"/>
      </top>
      <bottom style="thick">
        <color auto="1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/>
      <bottom/>
      <diagonal/>
    </border>
    <border>
      <left/>
      <right style="thick">
        <color auto="1"/>
      </right>
      <top style="thin">
        <color rgb="FFCCCCCC"/>
      </top>
      <bottom style="thin">
        <color rgb="FFCCCCCC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rgb="FFCCCCCC"/>
      </right>
      <top style="thick">
        <color auto="1"/>
      </top>
      <bottom/>
      <diagonal/>
    </border>
    <border>
      <left/>
      <right style="thin">
        <color rgb="FFCCCCCC"/>
      </right>
      <top style="thick">
        <color auto="1"/>
      </top>
      <bottom style="thin">
        <color rgb="FFCCCCCC"/>
      </bottom>
      <diagonal/>
    </border>
    <border>
      <left/>
      <right style="thick">
        <color auto="1"/>
      </right>
      <top style="thick">
        <color auto="1"/>
      </top>
      <bottom style="thin">
        <color rgb="FFCCCCCC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26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7" fillId="0" borderId="0"/>
    <xf numFmtId="0" fontId="26" fillId="0" borderId="0"/>
    <xf numFmtId="0" fontId="26" fillId="0" borderId="0"/>
    <xf numFmtId="0" fontId="8" fillId="0" borderId="0"/>
  </cellStyleXfs>
  <cellXfs count="23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0" fillId="7" borderId="0" pivotButton="0" quotePrefix="0" xfId="0"/>
    <xf numFmtId="0" fontId="0" fillId="0" borderId="0" applyAlignment="1" pivotButton="0" quotePrefix="0" xfId="0">
      <alignment horizontal="right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164" fontId="0" fillId="8" borderId="1" pivotButton="0" quotePrefix="0" xfId="0"/>
    <xf numFmtId="0" fontId="10" fillId="0" borderId="1" applyAlignment="1" pivotButton="0" quotePrefix="0" xfId="0">
      <alignment horizontal="right"/>
    </xf>
    <xf numFmtId="0" fontId="0" fillId="9" borderId="1" applyAlignment="1" pivotButton="0" quotePrefix="0" xfId="0">
      <alignment horizontal="right"/>
    </xf>
    <xf numFmtId="164" fontId="0" fillId="9" borderId="1" pivotButton="0" quotePrefix="0" xfId="0"/>
    <xf numFmtId="165" fontId="0" fillId="9" borderId="1" pivotButton="0" quotePrefix="0" xfId="0"/>
    <xf numFmtId="2" fontId="0" fillId="9" borderId="1" pivotButton="0" quotePrefix="0" xfId="0"/>
    <xf numFmtId="164" fontId="0" fillId="0" borderId="1" pivotButton="0" quotePrefix="0" xfId="0"/>
    <xf numFmtId="2" fontId="0" fillId="0" borderId="1" pivotButton="0" quotePrefix="0" xfId="0"/>
    <xf numFmtId="0" fontId="0" fillId="6" borderId="0" pivotButton="0" quotePrefix="0" xfId="0"/>
    <xf numFmtId="0" fontId="1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0" fillId="0" borderId="4" pivotButton="0" quotePrefix="0" xfId="0"/>
    <xf numFmtId="0" fontId="10" fillId="0" borderId="5" pivotButton="0" quotePrefix="0" xfId="0"/>
    <xf numFmtId="0" fontId="0" fillId="0" borderId="6" pivotButton="0" quotePrefix="0" xfId="0"/>
    <xf numFmtId="10" fontId="0" fillId="0" borderId="7" pivotButton="0" quotePrefix="0" xfId="0"/>
    <xf numFmtId="10" fontId="0" fillId="0" borderId="1" pivotButton="0" quotePrefix="0" xfId="0"/>
    <xf numFmtId="10" fontId="0" fillId="0" borderId="8" pivotButton="0" quotePrefix="0" xfId="0"/>
    <xf numFmtId="164" fontId="0" fillId="0" borderId="7" pivotButton="0" quotePrefix="0" xfId="0"/>
    <xf numFmtId="164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0" fontId="0" fillId="0" borderId="11" pivotButton="0" quotePrefix="0" xfId="0"/>
    <xf numFmtId="10" fontId="0" fillId="0" borderId="12" pivotButton="0" quotePrefix="0" xfId="0"/>
    <xf numFmtId="10" fontId="0" fillId="0" borderId="13" pivotButton="0" quotePrefix="0" xfId="0"/>
    <xf numFmtId="164" fontId="0" fillId="0" borderId="11" pivotButton="0" quotePrefix="0" xfId="0"/>
    <xf numFmtId="164" fontId="0" fillId="0" borderId="12" pivotButton="0" quotePrefix="0" xfId="0"/>
    <xf numFmtId="164" fontId="0" fillId="0" borderId="13" pivotButton="0" quotePrefix="0" xfId="0"/>
    <xf numFmtId="10" fontId="0" fillId="0" borderId="0" pivotButton="0" quotePrefix="0" xfId="0"/>
    <xf numFmtId="164" fontId="0" fillId="0" borderId="0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8" pivotButton="0" quotePrefix="0" xfId="0"/>
    <xf numFmtId="0" fontId="0" fillId="0" borderId="0" pivotButton="0" quotePrefix="0" xfId="0"/>
    <xf numFmtId="0" fontId="0" fillId="0" borderId="19" pivotButton="0" quotePrefix="0" xfId="0"/>
    <xf numFmtId="0" fontId="3" fillId="11" borderId="7" pivotButton="0" quotePrefix="0" xfId="0"/>
    <xf numFmtId="0" fontId="3" fillId="11" borderId="1" applyAlignment="1" pivotButton="0" quotePrefix="0" xfId="0">
      <alignment horizontal="center"/>
    </xf>
    <xf numFmtId="166" fontId="0" fillId="0" borderId="1" pivotButton="0" quotePrefix="0" xfId="0"/>
    <xf numFmtId="0" fontId="3" fillId="10" borderId="1" pivotButton="0" quotePrefix="0" xfId="0"/>
    <xf numFmtId="0" fontId="3" fillId="10" borderId="1" applyAlignment="1" pivotButton="0" quotePrefix="0" xfId="0">
      <alignment horizontal="center"/>
    </xf>
    <xf numFmtId="167" fontId="0" fillId="0" borderId="1" pivotButton="0" quotePrefix="0" xfId="0"/>
    <xf numFmtId="0" fontId="3" fillId="10" borderId="0" applyAlignment="1" pivotButton="0" quotePrefix="0" xfId="0">
      <alignment horizontal="center"/>
    </xf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1" applyAlignment="1" pivotButton="0" quotePrefix="0" xfId="0">
      <alignment horizontal="right"/>
    </xf>
    <xf numFmtId="164" fontId="0" fillId="0" borderId="0" applyProtection="1" pivotButton="0" quotePrefix="0" xfId="0">
      <protection locked="0" hidden="0"/>
    </xf>
    <xf numFmtId="2" fontId="0" fillId="0" borderId="0" pivotButton="0" quotePrefix="0" xfId="0"/>
    <xf numFmtId="0" fontId="0" fillId="6" borderId="0" applyProtection="1" pivotButton="0" quotePrefix="0" xfId="0">
      <protection locked="0" hidden="0"/>
    </xf>
    <xf numFmtId="0" fontId="0" fillId="0" borderId="23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164" fontId="0" fillId="6" borderId="0" applyProtection="1" pivotButton="0" quotePrefix="0" xfId="0">
      <protection locked="0" hidden="0"/>
    </xf>
    <xf numFmtId="0" fontId="11" fillId="13" borderId="25" applyAlignment="1" pivotButton="0" quotePrefix="0" xfId="0">
      <alignment horizontal="center" vertical="center" wrapText="1" readingOrder="1"/>
    </xf>
    <xf numFmtId="0" fontId="11" fillId="13" borderId="26" applyAlignment="1" pivotButton="0" quotePrefix="0" xfId="0">
      <alignment horizontal="center" vertical="center" wrapText="1" readingOrder="1"/>
    </xf>
    <xf numFmtId="0" fontId="12" fillId="14" borderId="29" applyAlignment="1" pivotButton="0" quotePrefix="0" xfId="0">
      <alignment wrapText="1"/>
    </xf>
    <xf numFmtId="0" fontId="12" fillId="14" borderId="30" applyAlignment="1" pivotButton="0" quotePrefix="0" xfId="0">
      <alignment wrapText="1"/>
    </xf>
    <xf numFmtId="0" fontId="12" fillId="0" borderId="30" applyAlignment="1" pivotButton="0" quotePrefix="0" xfId="0">
      <alignment wrapText="1"/>
    </xf>
    <xf numFmtId="167" fontId="12" fillId="0" borderId="30" applyAlignment="1" pivotButton="0" quotePrefix="0" xfId="0">
      <alignment wrapText="1"/>
    </xf>
    <xf numFmtId="168" fontId="12" fillId="0" borderId="30" applyAlignment="1" pivotButton="0" quotePrefix="0" xfId="0">
      <alignment wrapText="1"/>
    </xf>
    <xf numFmtId="0" fontId="12" fillId="0" borderId="31" applyAlignment="1" pivotButton="0" quotePrefix="0" xfId="0">
      <alignment wrapText="1"/>
    </xf>
    <xf numFmtId="1" fontId="12" fillId="0" borderId="30" applyAlignment="1" pivotButton="0" quotePrefix="0" xfId="0">
      <alignment wrapText="1"/>
    </xf>
    <xf numFmtId="0" fontId="12" fillId="15" borderId="32" applyAlignment="1" pivotButton="0" quotePrefix="0" xfId="0">
      <alignment wrapText="1"/>
    </xf>
    <xf numFmtId="0" fontId="12" fillId="15" borderId="29" applyAlignment="1" pivotButton="0" quotePrefix="0" xfId="0">
      <alignment horizontal="center" wrapText="1"/>
    </xf>
    <xf numFmtId="164" fontId="12" fillId="0" borderId="32" applyAlignment="1" pivotButton="0" quotePrefix="0" xfId="0">
      <alignment vertical="top" wrapText="1"/>
    </xf>
    <xf numFmtId="164" fontId="12" fillId="0" borderId="33" applyAlignment="1" pivotButton="0" quotePrefix="0" xfId="0">
      <alignment wrapText="1"/>
    </xf>
    <xf numFmtId="0" fontId="12" fillId="14" borderId="34" applyAlignment="1" pivotButton="0" quotePrefix="0" xfId="0">
      <alignment wrapText="1"/>
    </xf>
    <xf numFmtId="0" fontId="12" fillId="14" borderId="33" applyAlignment="1" pivotButton="0" quotePrefix="0" xfId="0">
      <alignment wrapText="1"/>
    </xf>
    <xf numFmtId="0" fontId="12" fillId="0" borderId="33" applyAlignment="1" pivotButton="0" quotePrefix="0" xfId="0">
      <alignment wrapText="1"/>
    </xf>
    <xf numFmtId="167" fontId="12" fillId="0" borderId="33" applyAlignment="1" pivotButton="0" quotePrefix="0" xfId="0">
      <alignment wrapText="1"/>
    </xf>
    <xf numFmtId="168" fontId="12" fillId="0" borderId="33" applyAlignment="1" pivotButton="0" quotePrefix="0" xfId="0">
      <alignment wrapText="1"/>
    </xf>
    <xf numFmtId="0" fontId="12" fillId="0" borderId="35" applyAlignment="1" pivotButton="0" quotePrefix="0" xfId="0">
      <alignment wrapText="1"/>
    </xf>
    <xf numFmtId="1" fontId="12" fillId="0" borderId="33" applyAlignment="1" pivotButton="0" quotePrefix="0" xfId="0">
      <alignment vertical="top" wrapText="1"/>
    </xf>
    <xf numFmtId="0" fontId="12" fillId="15" borderId="33" applyAlignment="1" pivotButton="0" quotePrefix="0" xfId="0">
      <alignment horizontal="center" wrapText="1"/>
    </xf>
    <xf numFmtId="0" fontId="12" fillId="15" borderId="30" applyAlignment="1" pivotButton="0" quotePrefix="0" xfId="0">
      <alignment wrapText="1"/>
    </xf>
    <xf numFmtId="0" fontId="12" fillId="15" borderId="33" applyAlignment="1" pivotButton="0" quotePrefix="0" xfId="0">
      <alignment wrapText="1"/>
    </xf>
    <xf numFmtId="164" fontId="12" fillId="0" borderId="36" applyAlignment="1" pivotButton="0" quotePrefix="0" xfId="0">
      <alignment wrapText="1"/>
    </xf>
    <xf numFmtId="0" fontId="12" fillId="14" borderId="37" applyAlignment="1" pivotButton="0" quotePrefix="0" xfId="0">
      <alignment wrapText="1"/>
    </xf>
    <xf numFmtId="0" fontId="12" fillId="14" borderId="38" applyAlignment="1" pivotButton="0" quotePrefix="0" xfId="0">
      <alignment wrapText="1"/>
    </xf>
    <xf numFmtId="0" fontId="12" fillId="0" borderId="38" applyAlignment="1" pivotButton="0" quotePrefix="0" xfId="0">
      <alignment wrapText="1"/>
    </xf>
    <xf numFmtId="167" fontId="12" fillId="0" borderId="38" applyAlignment="1" pivotButton="0" quotePrefix="0" xfId="0">
      <alignment wrapText="1"/>
    </xf>
    <xf numFmtId="168" fontId="12" fillId="0" borderId="38" applyAlignment="1" pivotButton="0" quotePrefix="0" xfId="0">
      <alignment wrapText="1"/>
    </xf>
    <xf numFmtId="0" fontId="12" fillId="0" borderId="39" applyAlignment="1" pivotButton="0" quotePrefix="0" xfId="0">
      <alignment wrapText="1"/>
    </xf>
    <xf numFmtId="1" fontId="12" fillId="0" borderId="38" applyAlignment="1" pivotButton="0" quotePrefix="0" xfId="0">
      <alignment vertical="top" wrapText="1"/>
    </xf>
    <xf numFmtId="0" fontId="12" fillId="15" borderId="38" applyAlignment="1" pivotButton="0" quotePrefix="0" xfId="0">
      <alignment wrapText="1"/>
    </xf>
    <xf numFmtId="164" fontId="12" fillId="0" borderId="38" applyAlignment="1" pivotButton="0" quotePrefix="0" xfId="0">
      <alignment wrapText="1"/>
    </xf>
    <xf numFmtId="164" fontId="12" fillId="0" borderId="40" applyAlignment="1" pivotButton="0" quotePrefix="0" xfId="0">
      <alignment wrapText="1"/>
    </xf>
    <xf numFmtId="0" fontId="12" fillId="0" borderId="25" applyAlignment="1" pivotButton="0" quotePrefix="0" xfId="0">
      <alignment wrapText="1"/>
    </xf>
    <xf numFmtId="1" fontId="12" fillId="0" borderId="26" applyAlignment="1" pivotButton="0" quotePrefix="0" xfId="0">
      <alignment vertical="top" wrapText="1"/>
    </xf>
    <xf numFmtId="0" fontId="11" fillId="12" borderId="41" applyAlignment="1" pivotButton="0" quotePrefix="0" xfId="0">
      <alignment horizontal="center" vertical="center" wrapText="1" readingOrder="1"/>
    </xf>
    <xf numFmtId="164" fontId="12" fillId="0" borderId="43" applyAlignment="1" pivotButton="0" quotePrefix="0" xfId="0">
      <alignment wrapText="1"/>
    </xf>
    <xf numFmtId="0" fontId="11" fillId="13" borderId="41" applyAlignment="1" pivotButton="0" quotePrefix="0" xfId="0">
      <alignment horizontal="center" vertical="center" wrapText="1" readingOrder="1"/>
    </xf>
    <xf numFmtId="164" fontId="12" fillId="0" borderId="44" applyAlignment="1" pivotButton="0" quotePrefix="0" xfId="0">
      <alignment wrapText="1"/>
    </xf>
    <xf numFmtId="167" fontId="12" fillId="0" borderId="45" applyAlignment="1" pivotButton="0" quotePrefix="0" xfId="0">
      <alignment wrapText="1"/>
    </xf>
    <xf numFmtId="167" fontId="12" fillId="0" borderId="46" applyAlignment="1" pivotButton="0" quotePrefix="0" xfId="0">
      <alignment wrapText="1"/>
    </xf>
    <xf numFmtId="1" fontId="12" fillId="0" borderId="33" applyAlignment="1" pivotButton="0" quotePrefix="0" xfId="0">
      <alignment wrapText="1"/>
    </xf>
    <xf numFmtId="167" fontId="12" fillId="0" borderId="47" applyAlignment="1" pivotButton="0" quotePrefix="0" xfId="0">
      <alignment wrapText="1"/>
    </xf>
    <xf numFmtId="1" fontId="12" fillId="0" borderId="38" applyAlignment="1" pivotButton="0" quotePrefix="0" xfId="0">
      <alignment wrapText="1"/>
    </xf>
    <xf numFmtId="0" fontId="12" fillId="0" borderId="48" applyAlignment="1" pivotButton="0" quotePrefix="0" xfId="0">
      <alignment wrapText="1"/>
    </xf>
    <xf numFmtId="164" fontId="12" fillId="0" borderId="50" applyAlignment="1" pivotButton="0" quotePrefix="0" xfId="0">
      <alignment wrapText="1"/>
    </xf>
    <xf numFmtId="0" fontId="0" fillId="0" borderId="52" pivotButton="0" quotePrefix="0" xfId="0"/>
    <xf numFmtId="0" fontId="13" fillId="13" borderId="25" applyAlignment="1" pivotButton="0" quotePrefix="0" xfId="0">
      <alignment horizontal="center" vertical="center" wrapText="1" readingOrder="1"/>
    </xf>
    <xf numFmtId="0" fontId="14" fillId="0" borderId="54" applyAlignment="1" pivotButton="0" quotePrefix="0" xfId="0">
      <alignment vertical="top" wrapText="1"/>
    </xf>
    <xf numFmtId="0" fontId="14" fillId="0" borderId="58" applyAlignment="1" pivotButton="0" quotePrefix="0" xfId="0">
      <alignment vertical="top" wrapText="1"/>
    </xf>
    <xf numFmtId="0" fontId="14" fillId="0" borderId="61" applyAlignment="1" pivotButton="0" quotePrefix="0" xfId="0">
      <alignment vertical="top" wrapText="1"/>
    </xf>
    <xf numFmtId="0" fontId="13" fillId="13" borderId="1" applyAlignment="1" pivotButton="0" quotePrefix="0" xfId="0">
      <alignment horizontal="center" vertical="center" wrapText="1" readingOrder="1"/>
    </xf>
    <xf numFmtId="10" fontId="22" fillId="0" borderId="1" applyAlignment="1" pivotButton="0" quotePrefix="0" xfId="0">
      <alignment horizontal="right" vertical="center" wrapText="1" readingOrder="1"/>
    </xf>
    <xf numFmtId="0" fontId="23" fillId="0" borderId="0" pivotButton="0" quotePrefix="0" xfId="0"/>
    <xf numFmtId="0" fontId="0" fillId="0" borderId="1" applyAlignment="1" pivotButton="0" quotePrefix="0" xfId="0">
      <alignment wrapText="1"/>
    </xf>
    <xf numFmtId="169" fontId="22" fillId="0" borderId="1" applyAlignment="1" pivotButton="0" quotePrefix="0" xfId="0">
      <alignment horizontal="center" vertical="center" wrapText="1" readingOrder="1"/>
    </xf>
    <xf numFmtId="170" fontId="22" fillId="0" borderId="1" applyAlignment="1" pivotButton="0" quotePrefix="0" xfId="0">
      <alignment horizontal="right" vertical="center" wrapText="1" readingOrder="1"/>
    </xf>
    <xf numFmtId="171" fontId="22" fillId="0" borderId="64" applyAlignment="1" pivotButton="0" quotePrefix="0" xfId="0">
      <alignment horizontal="right" vertical="center" wrapText="1" readingOrder="1"/>
    </xf>
    <xf numFmtId="172" fontId="22" fillId="0" borderId="64" applyAlignment="1" pivotButton="0" quotePrefix="0" xfId="0">
      <alignment horizontal="right" vertical="center" wrapText="1" readingOrder="1"/>
    </xf>
    <xf numFmtId="2" fontId="0" fillId="0" borderId="1" pivotButton="0" quotePrefix="0" xfId="0"/>
    <xf numFmtId="0" fontId="0" fillId="0" borderId="64" pivotButton="0" quotePrefix="0" xfId="0"/>
    <xf numFmtId="0" fontId="0" fillId="16" borderId="64" pivotButton="0" quotePrefix="0" xfId="0"/>
    <xf numFmtId="164" fontId="0" fillId="16" borderId="1" pivotButton="0" quotePrefix="0" xfId="0"/>
    <xf numFmtId="0" fontId="0" fillId="16" borderId="1" pivotButton="0" quotePrefix="0" xfId="0"/>
    <xf numFmtId="0" fontId="28" fillId="0" borderId="1" pivotButton="0" quotePrefix="0" xfId="0"/>
    <xf numFmtId="0" fontId="29" fillId="0" borderId="1" pivotButton="0" quotePrefix="0" xfId="0"/>
    <xf numFmtId="0" fontId="0" fillId="0" borderId="0" applyAlignment="1" pivotButton="0" quotePrefix="0" xfId="0">
      <alignment vertical="center"/>
    </xf>
    <xf numFmtId="0" fontId="27" fillId="0" borderId="23" applyAlignment="1" pivotButton="0" quotePrefix="0" xfId="0">
      <alignment horizontal="center" vertical="center"/>
    </xf>
    <xf numFmtId="0" fontId="27" fillId="0" borderId="65" applyAlignment="1" pivotButton="0" quotePrefix="0" xfId="0">
      <alignment horizontal="center" vertical="center"/>
    </xf>
    <xf numFmtId="0" fontId="27" fillId="0" borderId="66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1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10" borderId="17" applyAlignment="1" pivotButton="0" quotePrefix="0" xfId="0">
      <alignment horizontal="center"/>
    </xf>
    <xf numFmtId="0" fontId="3" fillId="11" borderId="1" applyAlignment="1" pivotButton="0" quotePrefix="0" xfId="0">
      <alignment horizontal="center"/>
    </xf>
    <xf numFmtId="0" fontId="3" fillId="10" borderId="7" applyAlignment="1" pivotButton="0" quotePrefix="0" xfId="0">
      <alignment horizontal="center"/>
    </xf>
    <xf numFmtId="0" fontId="3" fillId="1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0" borderId="65" applyAlignment="1" pivotButton="0" quotePrefix="0" xfId="0">
      <alignment horizontal="center" vertical="center"/>
    </xf>
    <xf numFmtId="0" fontId="0" fillId="0" borderId="66" applyAlignment="1" pivotButton="0" quotePrefix="0" xfId="0">
      <alignment horizontal="center" vertical="center"/>
    </xf>
    <xf numFmtId="0" fontId="3" fillId="12" borderId="24" applyAlignment="1" pivotButton="0" quotePrefix="0" xfId="0">
      <alignment horizontal="center" vertical="center" wrapText="1" readingOrder="1"/>
    </xf>
    <xf numFmtId="0" fontId="11" fillId="13" borderId="26" applyAlignment="1" pivotButton="0" quotePrefix="0" xfId="0">
      <alignment horizontal="center" vertical="center" wrapText="1" readingOrder="1"/>
    </xf>
    <xf numFmtId="0" fontId="11" fillId="13" borderId="27" applyAlignment="1" pivotButton="0" quotePrefix="0" xfId="0">
      <alignment horizontal="center" vertical="center" wrapText="1" readingOrder="1"/>
    </xf>
    <xf numFmtId="0" fontId="11" fillId="13" borderId="28" applyAlignment="1" pivotButton="0" quotePrefix="0" xfId="0">
      <alignment horizontal="center" vertical="center" wrapText="1" readingOrder="1"/>
    </xf>
    <xf numFmtId="0" fontId="11" fillId="12" borderId="42" applyAlignment="1" pivotButton="0" quotePrefix="0" xfId="0">
      <alignment horizontal="center" vertical="center" wrapText="1" readingOrder="1"/>
    </xf>
    <xf numFmtId="0" fontId="11" fillId="12" borderId="49" applyAlignment="1" pivotButton="0" quotePrefix="0" xfId="0">
      <alignment horizontal="center" vertical="center" wrapText="1" readingOrder="1"/>
    </xf>
    <xf numFmtId="0" fontId="13" fillId="12" borderId="24" applyAlignment="1" pivotButton="0" quotePrefix="0" xfId="0">
      <alignment horizontal="center" vertical="center" wrapText="1" readingOrder="1"/>
    </xf>
    <xf numFmtId="0" fontId="3" fillId="12" borderId="51" applyAlignment="1" pivotButton="0" quotePrefix="0" xfId="0">
      <alignment horizontal="center" vertical="center" wrapText="1" readingOrder="1"/>
    </xf>
    <xf numFmtId="0" fontId="14" fillId="0" borderId="24" applyAlignment="1" pivotButton="0" quotePrefix="0" xfId="0">
      <alignment horizontal="center" vertical="center" wrapText="1"/>
    </xf>
    <xf numFmtId="0" fontId="13" fillId="13" borderId="26" applyAlignment="1" pivotButton="0" quotePrefix="0" xfId="0">
      <alignment horizontal="center" vertical="center" wrapText="1" readingOrder="1"/>
    </xf>
    <xf numFmtId="0" fontId="13" fillId="13" borderId="53" applyAlignment="1" pivotButton="0" quotePrefix="0" xfId="0">
      <alignment horizontal="center" vertical="center" wrapText="1" readingOrder="1"/>
    </xf>
    <xf numFmtId="0" fontId="14" fillId="0" borderId="55" applyAlignment="1" pivotButton="0" quotePrefix="0" xfId="0">
      <alignment horizontal="center" vertical="top" wrapText="1"/>
    </xf>
    <xf numFmtId="0" fontId="14" fillId="0" borderId="56" applyAlignment="1" pivotButton="0" quotePrefix="0" xfId="0">
      <alignment horizontal="center" vertical="top" wrapText="1"/>
    </xf>
    <xf numFmtId="0" fontId="14" fillId="0" borderId="57" applyAlignment="1" pivotButton="0" quotePrefix="0" xfId="0">
      <alignment horizontal="center" vertical="top" wrapText="1"/>
    </xf>
    <xf numFmtId="0" fontId="14" fillId="0" borderId="59" applyAlignment="1" pivotButton="0" quotePrefix="0" xfId="0">
      <alignment horizontal="center" vertical="top" wrapText="1"/>
    </xf>
    <xf numFmtId="0" fontId="14" fillId="0" borderId="60" applyAlignment="1" pivotButton="0" quotePrefix="0" xfId="0">
      <alignment horizontal="center" vertical="top" wrapText="1"/>
    </xf>
    <xf numFmtId="0" fontId="14" fillId="0" borderId="62" applyAlignment="1" pivotButton="0" quotePrefix="0" xfId="0">
      <alignment horizontal="center" vertical="top" wrapText="1"/>
    </xf>
    <xf numFmtId="0" fontId="14" fillId="0" borderId="63" applyAlignment="1" pivotButton="0" quotePrefix="0" xfId="0">
      <alignment horizontal="center" vertical="top" wrapText="1"/>
    </xf>
    <xf numFmtId="0" fontId="15" fillId="12" borderId="1" applyAlignment="1" pivotButton="0" quotePrefix="0" xfId="0">
      <alignment horizontal="center" vertical="center" wrapText="1" readingOrder="1"/>
    </xf>
    <xf numFmtId="0" fontId="16" fillId="13" borderId="1" applyAlignment="1" pivotButton="0" quotePrefix="0" xfId="0">
      <alignment horizontal="center" vertical="center" wrapText="1" readingOrder="1"/>
    </xf>
    <xf numFmtId="0" fontId="13" fillId="13" borderId="1" applyAlignment="1" pivotButton="0" quotePrefix="0" xfId="0">
      <alignment horizontal="center" vertical="center" wrapText="1" readingOrder="1"/>
    </xf>
    <xf numFmtId="0" fontId="17" fillId="0" borderId="1" applyAlignment="1" pivotButton="0" quotePrefix="0" xfId="0">
      <alignment horizontal="center" vertical="center" wrapText="1" readingOrder="1"/>
    </xf>
    <xf numFmtId="173" fontId="18" fillId="0" borderId="1" applyAlignment="1" pivotButton="0" quotePrefix="0" xfId="0">
      <alignment horizontal="center" vertical="center" wrapText="1"/>
    </xf>
    <xf numFmtId="0" fontId="19" fillId="0" borderId="1" applyAlignment="1" pivotButton="0" quotePrefix="0" xfId="0">
      <alignment horizontal="center" vertical="center" wrapText="1" readingOrder="1"/>
    </xf>
    <xf numFmtId="0" fontId="20" fillId="0" borderId="1" applyAlignment="1" pivotButton="0" quotePrefix="0" xfId="0">
      <alignment horizontal="center" vertical="center" wrapText="1"/>
    </xf>
    <xf numFmtId="0" fontId="21" fillId="0" borderId="1" applyAlignment="1" pivotButton="0" quotePrefix="0" xfId="0">
      <alignment horizontal="center" vertical="top" wrapText="1"/>
    </xf>
    <xf numFmtId="0" fontId="22" fillId="0" borderId="1" applyAlignment="1" pivotButton="0" quotePrefix="0" xfId="0">
      <alignment horizontal="center" vertical="center" wrapText="1" readingOrder="1"/>
    </xf>
    <xf numFmtId="174" fontId="22" fillId="0" borderId="1" applyAlignment="1" pivotButton="0" quotePrefix="0" xfId="0">
      <alignment horizontal="center" vertical="center" wrapText="1" readingOrder="1"/>
    </xf>
    <xf numFmtId="175" fontId="22" fillId="0" borderId="1" applyAlignment="1" pivotButton="0" quotePrefix="0" xfId="0">
      <alignment horizontal="center" vertical="center" wrapText="1" readingOrder="1"/>
    </xf>
    <xf numFmtId="0" fontId="20" fillId="0" borderId="1" applyAlignment="1" pivotButton="0" quotePrefix="0" xfId="0">
      <alignment horizontal="left" vertical="top" wrapText="1"/>
    </xf>
    <xf numFmtId="0" fontId="0" fillId="0" borderId="0" pivotButton="0" quotePrefix="0" xfId="0"/>
    <xf numFmtId="0" fontId="27" fillId="0" borderId="67" applyAlignment="1" pivotButton="0" quotePrefix="0" xfId="0">
      <alignment horizontal="center" vertical="center"/>
    </xf>
    <xf numFmtId="0" fontId="0" fillId="0" borderId="70" pivotButton="0" quotePrefix="0" xfId="0"/>
    <xf numFmtId="0" fontId="0" fillId="0" borderId="71" pivotButton="0" quotePrefix="0" xfId="0"/>
    <xf numFmtId="164" fontId="0" fillId="16" borderId="1" pivotButton="0" quotePrefix="0" xfId="0"/>
    <xf numFmtId="0" fontId="0" fillId="0" borderId="73" pivotButton="0" quotePrefix="0" xfId="0"/>
    <xf numFmtId="164" fontId="0" fillId="8" borderId="1" pivotButton="0" quotePrefix="0" xfId="0"/>
    <xf numFmtId="164" fontId="0" fillId="0" borderId="0" pivotButton="0" quotePrefix="0" xfId="0"/>
    <xf numFmtId="164" fontId="0" fillId="9" borderId="1" pivotButton="0" quotePrefix="0" xfId="0"/>
    <xf numFmtId="165" fontId="0" fillId="9" borderId="1" pivotButton="0" quotePrefix="0" xfId="0"/>
    <xf numFmtId="164" fontId="0" fillId="0" borderId="1" pivotButton="0" quotePrefix="0" xfId="0"/>
    <xf numFmtId="164" fontId="0" fillId="0" borderId="7" pivotButton="0" quotePrefix="0" xfId="0"/>
    <xf numFmtId="164" fontId="0" fillId="0" borderId="8" pivotButton="0" quotePrefix="0" xfId="0"/>
    <xf numFmtId="164" fontId="0" fillId="0" borderId="11" pivotButton="0" quotePrefix="0" xfId="0"/>
    <xf numFmtId="164" fontId="0" fillId="0" borderId="12" pivotButton="0" quotePrefix="0" xfId="0"/>
    <xf numFmtId="164" fontId="0" fillId="0" borderId="13" pivotButton="0" quotePrefix="0" xfId="0"/>
    <xf numFmtId="164" fontId="0" fillId="0" borderId="0" applyProtection="1" pivotButton="0" quotePrefix="0" xfId="0">
      <protection locked="0" hidden="0"/>
    </xf>
    <xf numFmtId="164" fontId="0" fillId="6" borderId="0" applyProtection="1" pivotButton="0" quotePrefix="0" xfId="0">
      <protection locked="0" hidden="0"/>
    </xf>
    <xf numFmtId="0" fontId="0" fillId="0" borderId="67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0" fillId="0" borderId="89" pivotButton="0" quotePrefix="0" xfId="0"/>
    <xf numFmtId="0" fontId="0" fillId="0" borderId="83" pivotButton="0" quotePrefix="0" xfId="0"/>
    <xf numFmtId="164" fontId="12" fillId="0" borderId="32" applyAlignment="1" pivotButton="0" quotePrefix="0" xfId="0">
      <alignment vertical="top" wrapText="1"/>
    </xf>
    <xf numFmtId="0" fontId="0" fillId="0" borderId="84" pivotButton="0" quotePrefix="0" xfId="0"/>
    <xf numFmtId="164" fontId="12" fillId="0" borderId="33" applyAlignment="1" pivotButton="0" quotePrefix="0" xfId="0">
      <alignment wrapText="1"/>
    </xf>
    <xf numFmtId="164" fontId="12" fillId="0" borderId="36" applyAlignment="1" pivotButton="0" quotePrefix="0" xfId="0">
      <alignment wrapText="1"/>
    </xf>
    <xf numFmtId="164" fontId="12" fillId="0" borderId="38" applyAlignment="1" pivotButton="0" quotePrefix="0" xfId="0">
      <alignment wrapText="1"/>
    </xf>
    <xf numFmtId="164" fontId="12" fillId="0" borderId="40" applyAlignment="1" pivotButton="0" quotePrefix="0" xfId="0">
      <alignment wrapText="1"/>
    </xf>
    <xf numFmtId="0" fontId="0" fillId="0" borderId="82" pivotButton="0" quotePrefix="0" xfId="0"/>
    <xf numFmtId="164" fontId="12" fillId="0" borderId="43" applyAlignment="1" pivotButton="0" quotePrefix="0" xfId="0">
      <alignment wrapText="1"/>
    </xf>
    <xf numFmtId="164" fontId="12" fillId="0" borderId="44" applyAlignment="1" pivotButton="0" quotePrefix="0" xfId="0">
      <alignment wrapText="1"/>
    </xf>
    <xf numFmtId="164" fontId="12" fillId="0" borderId="50" applyAlignment="1" pivotButton="0" quotePrefix="0" xfId="0">
      <alignment wrapText="1"/>
    </xf>
    <xf numFmtId="0" fontId="0" fillId="0" borderId="85" pivotButton="0" quotePrefix="0" xfId="0"/>
    <xf numFmtId="0" fontId="0" fillId="0" borderId="86" pivotButton="0" quotePrefix="0" xfId="0"/>
    <xf numFmtId="0" fontId="0" fillId="0" borderId="91" pivotButton="0" quotePrefix="0" xfId="0"/>
    <xf numFmtId="0" fontId="0" fillId="0" borderId="80" pivotButton="0" quotePrefix="0" xfId="0"/>
    <xf numFmtId="0" fontId="0" fillId="0" borderId="92" pivotButton="0" quotePrefix="0" xfId="0"/>
    <xf numFmtId="0" fontId="0" fillId="0" borderId="79" pivotButton="0" quotePrefix="0" xfId="0"/>
    <xf numFmtId="0" fontId="0" fillId="0" borderId="81" pivotButton="0" quotePrefix="0" xfId="0"/>
    <xf numFmtId="0" fontId="0" fillId="0" borderId="87" pivotButton="0" quotePrefix="0" xfId="0"/>
    <xf numFmtId="0" fontId="0" fillId="0" borderId="76" pivotButton="0" quotePrefix="0" xfId="0"/>
    <xf numFmtId="0" fontId="0" fillId="0" borderId="78" pivotButton="0" quotePrefix="0" xfId="0"/>
    <xf numFmtId="0" fontId="0" fillId="0" borderId="72" pivotButton="0" quotePrefix="0" xfId="0"/>
    <xf numFmtId="173" fontId="18" fillId="0" borderId="1" applyAlignment="1" pivotButton="0" quotePrefix="0" xfId="0">
      <alignment horizontal="center" vertical="center" wrapText="1"/>
    </xf>
    <xf numFmtId="0" fontId="0" fillId="0" borderId="68" pivotButton="0" quotePrefix="0" xfId="0"/>
    <xf numFmtId="0" fontId="0" fillId="0" borderId="95" pivotButton="0" quotePrefix="0" xfId="0"/>
    <xf numFmtId="0" fontId="0" fillId="0" borderId="97" pivotButton="0" quotePrefix="0" xfId="0"/>
    <xf numFmtId="0" fontId="0" fillId="0" borderId="96" pivotButton="0" quotePrefix="0" xfId="0"/>
    <xf numFmtId="0" fontId="0" fillId="0" borderId="93" pivotButton="0" quotePrefix="0" xfId="0"/>
    <xf numFmtId="0" fontId="0" fillId="0" borderId="94" pivotButton="0" quotePrefix="0" xfId="0"/>
    <xf numFmtId="0" fontId="0" fillId="0" borderId="98" pivotButton="0" quotePrefix="0" xfId="0"/>
    <xf numFmtId="171" fontId="22" fillId="0" borderId="64" applyAlignment="1" pivotButton="0" quotePrefix="0" xfId="0">
      <alignment horizontal="right" vertical="center" wrapText="1" readingOrder="1"/>
    </xf>
    <xf numFmtId="172" fontId="22" fillId="0" borderId="64" applyAlignment="1" pivotButton="0" quotePrefix="0" xfId="0">
      <alignment horizontal="right" vertical="center" wrapText="1" readingOrder="1"/>
    </xf>
    <xf numFmtId="174" fontId="22" fillId="0" borderId="1" applyAlignment="1" pivotButton="0" quotePrefix="0" xfId="0">
      <alignment horizontal="center" vertical="center" wrapText="1" readingOrder="1"/>
    </xf>
    <xf numFmtId="175" fontId="22" fillId="0" borderId="1" applyAlignment="1" pivotButton="0" quotePrefix="0" xfId="0">
      <alignment horizontal="center" vertical="center" wrapText="1" readingOrder="1"/>
    </xf>
  </cellXfs>
  <cellStyles count="13">
    <cellStyle name="Normal" xfId="0" builtinId="0"/>
    <cellStyle name="Accent 1 5" xfId="1"/>
    <cellStyle name="Accent 2 6" xfId="2"/>
    <cellStyle name="Accent 3 7" xfId="3"/>
    <cellStyle name="Accent 4" xfId="4"/>
    <cellStyle name="Error 8" xfId="5"/>
    <cellStyle name="Footnote 9" xfId="6"/>
    <cellStyle name="Heading 10" xfId="7"/>
    <cellStyle name="Hyperlink 11" xfId="8"/>
    <cellStyle name="Result 12" xfId="9"/>
    <cellStyle name="Status 13" xfId="10"/>
    <cellStyle name="Text 14" xfId="11"/>
    <cellStyle name="Warning 15" xfId="12"/>
  </cellStyle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6FA8DC"/>
      <rgbColor rgb="FF993366"/>
      <rgbColor rgb="FFEFEFEF"/>
      <rgbColor rgb="FFCFE2F3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9D18E"/>
      <rgbColor rgb="FFDDDDDD"/>
      <rgbColor rgb="FFD4EA6B"/>
      <rgbColor rgb="FF9DC3E6"/>
      <rgbColor rgb="FFFF99CC"/>
      <rgbColor rgb="FFCC99FF"/>
      <rgbColor rgb="FFFFD966"/>
      <rgbColor rgb="FF3C78D8"/>
      <rgbColor rgb="FF33CCCC"/>
      <rgbColor rgb="FFBBE33D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tabSelected="1" topLeftCell="F1" zoomScale="120" zoomScaleNormal="120" workbookViewId="0">
      <selection activeCell="H9" sqref="H9"/>
    </sheetView>
  </sheetViews>
  <sheetFormatPr baseColWidth="10" defaultColWidth="8.6640625" defaultRowHeight="13"/>
  <cols>
    <col width="36.5" customWidth="1" style="177" min="1" max="1"/>
    <col width="15.5" customWidth="1" style="177" min="2" max="2"/>
    <col width="18.33203125" customWidth="1" style="177" min="3" max="3"/>
    <col width="23.83203125" customWidth="1" style="177" min="4" max="4"/>
  </cols>
  <sheetData>
    <row r="1" ht="22.5" customHeight="1" s="177">
      <c r="A1" s="178" t="inlineStr">
        <is>
          <t>Mass &amp; Balance Tecnam P2002</t>
        </is>
      </c>
      <c r="B1" s="179" t="n"/>
      <c r="C1" s="179" t="n"/>
      <c r="D1" s="180" t="n"/>
    </row>
    <row r="2" ht="14.25" customHeight="1" s="177">
      <c r="B2" s="127" t="inlineStr">
        <is>
          <t>W [kg]</t>
        </is>
      </c>
      <c r="C2" s="126" t="inlineStr">
        <is>
          <t>Arm [m]</t>
        </is>
      </c>
      <c r="D2" s="6" t="inlineStr">
        <is>
          <t>Moment (M) = W*Arm [kg*m]</t>
        </is>
      </c>
    </row>
    <row r="3" ht="16.75" customHeight="1" s="177">
      <c r="A3" s="56" t="inlineStr">
        <is>
          <t>Empty Weight</t>
        </is>
      </c>
      <c r="B3" s="181">
        <f>VLOOKUP($J$4,$K$4:$N$7,3)</f>
        <v/>
      </c>
      <c r="C3" s="129">
        <f>VLOOKUP($J$4,$K$4:$N$7,4)</f>
        <v/>
      </c>
      <c r="D3" s="129">
        <f>C3*B3</f>
        <v/>
      </c>
      <c r="M3" t="inlineStr">
        <is>
          <t>W (kg)</t>
        </is>
      </c>
      <c r="N3" t="inlineStr">
        <is>
          <t>arm (m)</t>
        </is>
      </c>
    </row>
    <row r="4" ht="15.5" customHeight="1" s="177">
      <c r="A4" s="136" t="inlineStr">
        <is>
          <t>LOADING</t>
        </is>
      </c>
      <c r="B4" s="179" t="n"/>
      <c r="C4" s="179" t="n"/>
      <c r="D4" s="182" t="n"/>
      <c r="H4" t="inlineStr">
        <is>
          <t>Avião</t>
        </is>
      </c>
      <c r="J4" s="4" t="n">
        <v>3</v>
      </c>
      <c r="K4" s="5" t="n">
        <v>1</v>
      </c>
      <c r="L4" t="inlineStr">
        <is>
          <t>CS-ECO</t>
        </is>
      </c>
      <c r="M4" t="n">
        <v>402</v>
      </c>
      <c r="N4">
        <f>1.337+0.362</f>
        <v/>
      </c>
    </row>
    <row r="5" ht="16.25" customHeight="1" s="177">
      <c r="A5" s="56" t="inlineStr">
        <is>
          <t>Pilot</t>
        </is>
      </c>
      <c r="B5" s="183" t="inlineStr"/>
      <c r="C5" s="6" t="n">
        <v>1.8</v>
      </c>
      <c r="D5" s="6">
        <f>B5*C5</f>
        <v/>
      </c>
      <c r="K5" s="5" t="n">
        <v>2</v>
      </c>
      <c r="L5" t="inlineStr">
        <is>
          <t>CS-ECP</t>
        </is>
      </c>
      <c r="M5" t="n">
        <v>400</v>
      </c>
      <c r="N5">
        <f>1.337+0.363</f>
        <v/>
      </c>
    </row>
    <row r="6" ht="14.75" customHeight="1" s="177">
      <c r="A6" s="56" t="inlineStr">
        <is>
          <t>Co-Pilot</t>
        </is>
      </c>
      <c r="B6" s="183" t="inlineStr"/>
      <c r="C6" s="6" t="n">
        <v>1.8</v>
      </c>
      <c r="D6" s="6">
        <f>B6*C6</f>
        <v/>
      </c>
      <c r="K6" s="5" t="n">
        <v>3</v>
      </c>
      <c r="L6" t="inlineStr">
        <is>
          <t>CS-ECQ</t>
        </is>
      </c>
      <c r="M6" t="n">
        <v>401</v>
      </c>
      <c r="N6">
        <f>1.337+0.368</f>
        <v/>
      </c>
    </row>
    <row r="7" ht="17.5" customHeight="1" s="177">
      <c r="A7" s="56" t="inlineStr">
        <is>
          <t>Baggage</t>
        </is>
      </c>
      <c r="B7" s="183" t="inlineStr"/>
      <c r="C7" s="6" t="n">
        <v>2.26</v>
      </c>
      <c r="D7" s="6">
        <f>B7*C7</f>
        <v/>
      </c>
      <c r="K7" s="5" t="n">
        <v>4</v>
      </c>
      <c r="L7" t="inlineStr">
        <is>
          <t>CS-ECR</t>
        </is>
      </c>
      <c r="M7" t="n">
        <v>401</v>
      </c>
      <c r="N7">
        <f>1.337+0.368</f>
        <v/>
      </c>
    </row>
    <row r="8" ht="20" customHeight="1" s="177">
      <c r="A8" s="9" t="inlineStr">
        <is>
          <t>Usable Fuel (Fuel (liters)*ρfuel(0.72) [kg]</t>
        </is>
      </c>
      <c r="B8" s="184">
        <f>'Navigation Log'!U22*0.72</f>
        <v/>
      </c>
      <c r="C8" s="6" t="n">
        <v>1.53</v>
      </c>
      <c r="D8" s="125">
        <f>B8*C8</f>
        <v/>
      </c>
    </row>
    <row r="9" ht="16.75" customHeight="1" s="177">
      <c r="A9" s="136" t="inlineStr">
        <is>
          <t>TAKE-OFF CONDITION</t>
        </is>
      </c>
      <c r="B9" s="179" t="n"/>
      <c r="C9" s="179" t="n"/>
      <c r="D9" s="182" t="n"/>
    </row>
    <row r="10" ht="32.25" customHeight="1" s="177">
      <c r="A10" s="10" t="inlineStr">
        <is>
          <t>Take-off Condition</t>
        </is>
      </c>
      <c r="B10" s="185">
        <f>SUM(B3,B5:B8)</f>
        <v/>
      </c>
      <c r="C10" s="186">
        <f>D10/B10</f>
        <v/>
      </c>
      <c r="D10" s="185">
        <f>SUM(D3,D5:D8)</f>
        <v/>
      </c>
    </row>
    <row r="11" ht="16.25" customHeight="1" s="177">
      <c r="A11" s="137" t="inlineStr">
        <is>
          <t>LANDING CONDITION</t>
        </is>
      </c>
      <c r="B11" s="179" t="n"/>
      <c r="C11" s="179" t="n"/>
      <c r="D11" s="182" t="n"/>
    </row>
    <row r="12" ht="22.25" customHeight="1" s="177">
      <c r="A12" s="56" t="inlineStr">
        <is>
          <t>Fuel Required (Fuel (liters)*ρfuel(0.72) [kg]</t>
        </is>
      </c>
      <c r="B12" s="187">
        <f>'Navigation Log'!U17*0.72</f>
        <v/>
      </c>
      <c r="C12" s="6" t="n">
        <v>1.53</v>
      </c>
      <c r="D12" s="125">
        <f>B12*C12</f>
        <v/>
      </c>
    </row>
    <row r="13" ht="32.25" customHeight="1" s="177">
      <c r="A13" s="10" t="inlineStr">
        <is>
          <t>Landing Condition</t>
        </is>
      </c>
      <c r="B13" s="185">
        <f>B10-B12</f>
        <v/>
      </c>
      <c r="C13" s="186">
        <f>D13/B13</f>
        <v/>
      </c>
      <c r="D13" s="13">
        <f>D10-D12</f>
        <v/>
      </c>
    </row>
    <row r="14">
      <c r="A14" s="137" t="inlineStr">
        <is>
          <t>LANDING CONDITION</t>
        </is>
      </c>
      <c r="B14" s="179" t="n"/>
      <c r="C14" s="179" t="n"/>
      <c r="D14" s="182" t="n"/>
    </row>
    <row r="15" ht="14" customHeight="1" s="177">
      <c r="A15" s="56" t="inlineStr">
        <is>
          <t>Fuel Required (Fuel (liters)*ρfuel(0.72) [kg]</t>
        </is>
      </c>
      <c r="B15" s="187">
        <f>'Navigation Log'!U18*0.72</f>
        <v/>
      </c>
      <c r="C15" s="6" t="n">
        <v>1.53</v>
      </c>
      <c r="D15" s="125">
        <f>B15*C15</f>
        <v/>
      </c>
    </row>
    <row r="16">
      <c r="A16" s="10" t="inlineStr">
        <is>
          <t>Landing Condition</t>
        </is>
      </c>
      <c r="B16" s="185">
        <f>B13-B15</f>
        <v/>
      </c>
      <c r="C16" s="186">
        <f>D16/B16</f>
        <v/>
      </c>
      <c r="D16" s="13">
        <f>D13-D15</f>
        <v/>
      </c>
    </row>
  </sheetData>
  <mergeCells count="5">
    <mergeCell ref="A1:D1"/>
    <mergeCell ref="A4:D4"/>
    <mergeCell ref="A9:D9"/>
    <mergeCell ref="A11:D11"/>
    <mergeCell ref="A14:D14"/>
  </mergeCells>
  <pageMargins left="0" right="0" top="0.39375" bottom="0.39375" header="0.511811023622047" footer="0.511811023622047"/>
  <pageSetup orientation="landscape" paperSize="9" useFirstPageNumber="1" pageOrder="overThenDown" horizontalDpi="4294967293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7"/>
  <sheetViews>
    <sheetView zoomScale="120" zoomScaleNormal="120" workbookViewId="0">
      <selection activeCell="B1" sqref="B1"/>
    </sheetView>
  </sheetViews>
  <sheetFormatPr baseColWidth="10" defaultColWidth="8.6640625" defaultRowHeight="13"/>
  <cols>
    <col width="12.1640625" customWidth="1" style="177" min="1" max="5"/>
    <col width="13.33203125" customWidth="1" style="177" min="6" max="6"/>
    <col width="12.1640625" customWidth="1" style="177" min="7" max="12"/>
  </cols>
  <sheetData>
    <row r="1">
      <c r="A1" t="inlineStr">
        <is>
          <t>Cruise Temp</t>
        </is>
      </c>
      <c r="B1" s="16" t="n">
        <v>7</v>
      </c>
      <c r="D1" t="inlineStr">
        <is>
          <t>rpm</t>
        </is>
      </c>
      <c r="E1" s="16" t="n">
        <v>2050</v>
      </c>
      <c r="G1" s="17" t="inlineStr">
        <is>
          <t>Isa Dev</t>
        </is>
      </c>
      <c r="H1">
        <f>B1-(15-Performance!C13/1000*1.98)</f>
        <v/>
      </c>
    </row>
    <row r="2">
      <c r="B2" s="138" t="n"/>
    </row>
    <row r="3">
      <c r="A3" t="inlineStr">
        <is>
          <t>Alt</t>
        </is>
      </c>
      <c r="B3" t="inlineStr">
        <is>
          <t>Power</t>
        </is>
      </c>
      <c r="F3" t="inlineStr">
        <is>
          <t>KTAS</t>
        </is>
      </c>
      <c r="J3" t="inlineStr">
        <is>
          <t>FC</t>
        </is>
      </c>
    </row>
    <row r="4">
      <c r="A4" s="19" t="inlineStr">
        <is>
          <t>ISA +-</t>
        </is>
      </c>
      <c r="B4" s="20" t="n">
        <v>-30</v>
      </c>
      <c r="C4" s="21" t="n">
        <v>0</v>
      </c>
      <c r="D4" s="21" t="n">
        <v>30</v>
      </c>
      <c r="E4" s="22" t="inlineStr">
        <is>
          <t>OAT</t>
        </is>
      </c>
      <c r="F4" s="21" t="n">
        <v>-30</v>
      </c>
      <c r="G4" s="21" t="n">
        <v>0</v>
      </c>
      <c r="H4" s="21" t="n">
        <v>30</v>
      </c>
      <c r="I4" s="22" t="inlineStr">
        <is>
          <t>OAT</t>
        </is>
      </c>
      <c r="J4" s="21" t="n">
        <v>-30</v>
      </c>
      <c r="K4" s="21" t="n">
        <v>0</v>
      </c>
      <c r="L4" s="21" t="n">
        <v>30</v>
      </c>
      <c r="M4" s="23" t="inlineStr">
        <is>
          <t>OAT</t>
        </is>
      </c>
    </row>
    <row r="5">
      <c r="A5" s="24" t="n">
        <v>0</v>
      </c>
      <c r="B5" s="25">
        <f>_xlfn.FORECAST.LINEAR($E$1,B13:B19,$A$13:$A$19)</f>
        <v/>
      </c>
      <c r="C5" s="26">
        <f>_xlfn.FORECAST.LINEAR($E$1,C13:C19,$A$13:$A$19)</f>
        <v/>
      </c>
      <c r="D5" s="26">
        <f>_xlfn.FORECAST.LINEAR($E$1,D13:D19,$A$13:$A$19)</f>
        <v/>
      </c>
      <c r="E5" s="27">
        <f>_xlfn.FORECAST.LINEAR($H$1,B5:D5,B4:D4)</f>
        <v/>
      </c>
      <c r="F5" s="188">
        <f>_xlfn.FORECAST.LINEAR($E$1,F13:F19,$A$13:$A$19)</f>
        <v/>
      </c>
      <c r="G5" s="187">
        <f>_xlfn.FORECAST.LINEAR($E$1,G13:G19,$A$13:$A$19)</f>
        <v/>
      </c>
      <c r="H5" s="187">
        <f>_xlfn.FORECAST.LINEAR($E$1,H13:H19,$A$13:$A$19)</f>
        <v/>
      </c>
      <c r="I5" s="189">
        <f>_xlfn.FORECAST.LINEAR($H$1,F5:H5,F4:H4)</f>
        <v/>
      </c>
      <c r="J5" s="188">
        <f>_xlfn.FORECAST.LINEAR($E$1,J13:J19,$A$13:$A$19)</f>
        <v/>
      </c>
      <c r="K5" s="187">
        <f>_xlfn.FORECAST.LINEAR($E$1,K13:K19,$A$13:$A$19)</f>
        <v/>
      </c>
      <c r="L5" s="187">
        <f>_xlfn.FORECAST.LINEAR($E$1,L13:L19,$A$13:$A$19)</f>
        <v/>
      </c>
      <c r="M5" s="189">
        <f>_xlfn.FORECAST.LINEAR($H$1,J5:L5,J4:L4)</f>
        <v/>
      </c>
    </row>
    <row r="6">
      <c r="A6" s="30" t="n">
        <v>2000</v>
      </c>
      <c r="B6" s="25">
        <f>_xlfn.FORECAST.LINEAR($E$1,B24:B30,$A$24:$A$30)</f>
        <v/>
      </c>
      <c r="C6" s="26">
        <f>_xlfn.FORECAST.LINEAR($E$1,C24:C30,$A$24:$A$30)</f>
        <v/>
      </c>
      <c r="D6" s="26">
        <f>_xlfn.FORECAST.LINEAR($E$1,D24:D30,$A$24:$A$30)</f>
        <v/>
      </c>
      <c r="E6" s="27">
        <f>_xlfn.FORECAST.LINEAR($H$1,B6:D6,B4:D4)</f>
        <v/>
      </c>
      <c r="F6" s="188">
        <f>_xlfn.FORECAST.LINEAR($E$1,F24:F30,$A$24:$A$30)</f>
        <v/>
      </c>
      <c r="G6" s="187">
        <f>_xlfn.FORECAST.LINEAR($E$1,G24:G30,$A$24:$A$30)</f>
        <v/>
      </c>
      <c r="H6" s="187">
        <f>_xlfn.FORECAST.LINEAR($E$1,H24:H30,$A$24:$A$30)</f>
        <v/>
      </c>
      <c r="I6" s="189">
        <f>_xlfn.FORECAST.LINEAR($H$1,F6:H6,F4:H4)</f>
        <v/>
      </c>
      <c r="J6" s="188">
        <f>_xlfn.FORECAST.LINEAR($E$1,J24:J30,$A$24:$A$30)</f>
        <v/>
      </c>
      <c r="K6" s="187">
        <f>_xlfn.FORECAST.LINEAR($E$1,K24:K30,$A$24:$A$30)</f>
        <v/>
      </c>
      <c r="L6" s="187">
        <f>_xlfn.FORECAST.LINEAR($E$1,L24:L30,$A$24:$A$30)</f>
        <v/>
      </c>
      <c r="M6" s="189">
        <f>_xlfn.FORECAST.LINEAR($H$1,J6:L6,J4:L4)</f>
        <v/>
      </c>
    </row>
    <row r="7">
      <c r="A7" s="30" t="n">
        <v>4000</v>
      </c>
      <c r="B7" s="25">
        <f>_xlfn.FORECAST.LINEAR($E$1,B35:B40,$A$35:$A$40)</f>
        <v/>
      </c>
      <c r="C7" s="26">
        <f>_xlfn.FORECAST.LINEAR($E$1,C35:C40,$A$35:$A$40)</f>
        <v/>
      </c>
      <c r="D7" s="26">
        <f>_xlfn.FORECAST.LINEAR($E$1,D35:D40,$A$35:$A$40)</f>
        <v/>
      </c>
      <c r="E7" s="27">
        <f>_xlfn.FORECAST.LINEAR($H$1,B7:D7,B4:D4)</f>
        <v/>
      </c>
      <c r="F7" s="188">
        <f>_xlfn.FORECAST.LINEAR($E$1,F35:F40,$A$35:$A$40)</f>
        <v/>
      </c>
      <c r="G7" s="187">
        <f>_xlfn.FORECAST.LINEAR($E$1,G35:G40,$A$35:$A$40)</f>
        <v/>
      </c>
      <c r="H7" s="187">
        <f>_xlfn.FORECAST.LINEAR($E$1,H35:H40,$A$35:$A$40)</f>
        <v/>
      </c>
      <c r="I7" s="189">
        <f>_xlfn.FORECAST.LINEAR($H$1,F7:H7,F4:H4)</f>
        <v/>
      </c>
      <c r="J7" s="188">
        <f>_xlfn.FORECAST.LINEAR($E$1,J35:J40,$A$35:$A$40)</f>
        <v/>
      </c>
      <c r="K7" s="187">
        <f>_xlfn.FORECAST.LINEAR($E$1,K35:K40,$A$35:$A$40)</f>
        <v/>
      </c>
      <c r="L7" s="187">
        <f>_xlfn.FORECAST.LINEAR($E$1,L35:L40,$A$35:$A$40)</f>
        <v/>
      </c>
      <c r="M7" s="189">
        <f>_xlfn.FORECAST.LINEAR($H$1,J7:L7,J4:L4)</f>
        <v/>
      </c>
    </row>
    <row r="8">
      <c r="A8" s="31" t="n">
        <v>6000</v>
      </c>
      <c r="B8" s="32">
        <f>_xlfn.FORECAST.LINEAR($E$1,B45:B48,$A$45:$A$48)</f>
        <v/>
      </c>
      <c r="C8" s="33">
        <f>_xlfn.FORECAST.LINEAR($E$1,C45:C48,$A$45:$A$48)</f>
        <v/>
      </c>
      <c r="D8" s="33">
        <f>_xlfn.FORECAST.LINEAR($E$1,D45:D48,$A$45:$A$48)</f>
        <v/>
      </c>
      <c r="E8" s="34">
        <f>_xlfn.FORECAST.LINEAR($H$1,B8:D8,B4:D4)</f>
        <v/>
      </c>
      <c r="F8" s="190">
        <f>_xlfn.FORECAST.LINEAR($E$1,F45:F48,$A$45:$A$48)</f>
        <v/>
      </c>
      <c r="G8" s="191">
        <f>_xlfn.FORECAST.LINEAR($E$1,G45:G48,$A$45:$A$48)</f>
        <v/>
      </c>
      <c r="H8" s="191">
        <f>_xlfn.FORECAST.LINEAR($E$1,H45:H48,$A$45:$A$48)</f>
        <v/>
      </c>
      <c r="I8" s="192">
        <f>_xlfn.FORECAST.LINEAR($H$1,F8:H8,F4:H4)</f>
        <v/>
      </c>
      <c r="J8" s="190">
        <f>_xlfn.FORECAST.LINEAR($E$1,J45:J48,$A$45:$A$48)</f>
        <v/>
      </c>
      <c r="K8" s="191">
        <f>_xlfn.FORECAST.LINEAR($E$1,K45:K48,$A$45:$A$48)</f>
        <v/>
      </c>
      <c r="L8" s="191">
        <f>_xlfn.FORECAST.LINEAR($E$1,L45:L48,$A$45:$A$48)</f>
        <v/>
      </c>
      <c r="M8" s="192">
        <f>_xlfn.FORECAST.LINEAR($H$1,J8:L8,J4:L4)</f>
        <v/>
      </c>
    </row>
    <row r="11">
      <c r="A11" t="inlineStr">
        <is>
          <t>MSL</t>
        </is>
      </c>
      <c r="B11" s="138" t="inlineStr">
        <is>
          <t>Power</t>
        </is>
      </c>
      <c r="E11" t="inlineStr">
        <is>
          <t>MSL</t>
        </is>
      </c>
      <c r="F11" s="138" t="inlineStr">
        <is>
          <t>KTAS</t>
        </is>
      </c>
      <c r="I11" t="inlineStr">
        <is>
          <t>MSL</t>
        </is>
      </c>
      <c r="J11" s="138" t="inlineStr">
        <is>
          <t>FC</t>
        </is>
      </c>
    </row>
    <row r="12">
      <c r="A12" t="inlineStr">
        <is>
          <t>rpm/ISA+-</t>
        </is>
      </c>
      <c r="B12" s="138" t="n">
        <v>-30</v>
      </c>
      <c r="C12" s="138" t="n">
        <v>0</v>
      </c>
      <c r="D12" s="138" t="n">
        <v>30</v>
      </c>
      <c r="E12" t="inlineStr">
        <is>
          <t>rpm/ISA+-</t>
        </is>
      </c>
      <c r="F12" s="138" t="n">
        <v>-30</v>
      </c>
      <c r="G12" s="138" t="n">
        <v>0</v>
      </c>
      <c r="H12" s="138" t="n">
        <v>30</v>
      </c>
      <c r="I12" t="inlineStr">
        <is>
          <t>rpm/ISA+-</t>
        </is>
      </c>
      <c r="J12" s="138" t="n">
        <v>-30</v>
      </c>
      <c r="K12" s="138" t="n">
        <v>0</v>
      </c>
      <c r="L12" s="138" t="n">
        <v>30</v>
      </c>
    </row>
    <row r="13">
      <c r="A13" t="n">
        <v>2033</v>
      </c>
      <c r="B13" s="38" t="n">
        <v>0.77</v>
      </c>
      <c r="C13" s="38" t="n">
        <v>0.62</v>
      </c>
      <c r="D13" s="38" t="n">
        <v>0.5</v>
      </c>
      <c r="E13" t="n">
        <v>2033</v>
      </c>
      <c r="F13" t="n">
        <v>93</v>
      </c>
      <c r="G13" t="n">
        <v>88</v>
      </c>
      <c r="H13" t="n">
        <v>81</v>
      </c>
      <c r="I13" t="n">
        <v>2033</v>
      </c>
      <c r="J13" t="n">
        <v>20.8</v>
      </c>
      <c r="K13" t="n">
        <v>16.7</v>
      </c>
      <c r="L13" t="n">
        <v>13.4</v>
      </c>
    </row>
    <row r="14">
      <c r="A14" t="n">
        <v>2103</v>
      </c>
      <c r="B14" s="38" t="n">
        <v>0.85</v>
      </c>
      <c r="C14" s="38" t="n">
        <v>0.6899999999999999</v>
      </c>
      <c r="D14" s="38" t="n">
        <v>0.5600000000000001</v>
      </c>
      <c r="E14" t="n">
        <v>2103</v>
      </c>
      <c r="F14" t="n">
        <v>97</v>
      </c>
      <c r="G14" t="n">
        <v>92</v>
      </c>
      <c r="H14" t="n">
        <v>86</v>
      </c>
      <c r="I14" t="n">
        <v>2103</v>
      </c>
      <c r="J14" t="n">
        <v>22.9</v>
      </c>
      <c r="K14" t="n">
        <v>18.6</v>
      </c>
      <c r="L14" t="n">
        <v>15.1</v>
      </c>
    </row>
    <row r="15">
      <c r="A15" t="n">
        <v>2165</v>
      </c>
      <c r="B15" s="38" t="n">
        <v>0.93</v>
      </c>
      <c r="C15" s="38" t="n">
        <v>0.76</v>
      </c>
      <c r="D15" s="38" t="n">
        <v>0.62</v>
      </c>
      <c r="E15" t="n">
        <v>2165</v>
      </c>
      <c r="F15" t="n">
        <v>100</v>
      </c>
      <c r="G15" t="n">
        <v>95</v>
      </c>
      <c r="H15" t="n">
        <v>90</v>
      </c>
      <c r="I15" t="n">
        <v>2165</v>
      </c>
      <c r="J15" t="n">
        <v>25</v>
      </c>
      <c r="K15" t="n">
        <v>20.4</v>
      </c>
      <c r="L15" t="n">
        <v>16.8</v>
      </c>
    </row>
    <row r="16">
      <c r="A16" t="n">
        <v>2221</v>
      </c>
      <c r="B16" s="38" t="n">
        <v>1</v>
      </c>
      <c r="C16" s="38" t="n">
        <v>0.82</v>
      </c>
      <c r="D16" s="38" t="n">
        <v>0.68</v>
      </c>
      <c r="E16" t="n">
        <v>2221</v>
      </c>
      <c r="F16" t="n">
        <v>103</v>
      </c>
      <c r="G16" t="n">
        <v>99</v>
      </c>
      <c r="H16" t="n">
        <v>94</v>
      </c>
      <c r="I16" t="n">
        <v>2221</v>
      </c>
      <c r="J16" t="n">
        <v>26.9</v>
      </c>
      <c r="K16" t="n">
        <v>22.1</v>
      </c>
      <c r="L16" t="n">
        <v>18.3</v>
      </c>
    </row>
    <row r="17">
      <c r="A17" t="n">
        <v>2272</v>
      </c>
      <c r="B17" s="38" t="n">
        <v>1.07</v>
      </c>
      <c r="C17" s="38" t="n">
        <v>0.88</v>
      </c>
      <c r="D17" s="38" t="n">
        <v>0.74</v>
      </c>
      <c r="E17" t="n">
        <v>2272</v>
      </c>
      <c r="F17" t="n">
        <v>106</v>
      </c>
      <c r="G17" t="n">
        <v>101</v>
      </c>
      <c r="H17" t="n">
        <v>97</v>
      </c>
      <c r="I17" t="n">
        <v>2272</v>
      </c>
      <c r="J17" t="n">
        <v>28.8</v>
      </c>
      <c r="K17" t="n">
        <v>23.8</v>
      </c>
      <c r="L17" t="n">
        <v>19.8</v>
      </c>
    </row>
    <row r="18">
      <c r="A18" t="n">
        <v>2318</v>
      </c>
      <c r="B18" s="38" t="n">
        <v>1.13</v>
      </c>
      <c r="C18" s="38" t="n">
        <v>0.9399999999999999</v>
      </c>
      <c r="D18" s="38" t="n">
        <v>0.79</v>
      </c>
      <c r="E18" t="n">
        <v>2318</v>
      </c>
      <c r="F18" t="n">
        <v>108</v>
      </c>
      <c r="G18" t="n">
        <v>104</v>
      </c>
      <c r="H18" t="n">
        <v>100</v>
      </c>
      <c r="I18" t="n">
        <v>2318</v>
      </c>
      <c r="J18" t="n">
        <v>30.5</v>
      </c>
      <c r="K18" t="n">
        <v>25.3</v>
      </c>
      <c r="L18" t="n">
        <v>21.2</v>
      </c>
    </row>
    <row r="19">
      <c r="A19" t="n">
        <v>2361</v>
      </c>
      <c r="B19" s="38" t="n">
        <v>1.2</v>
      </c>
      <c r="C19" s="38" t="n">
        <v>1</v>
      </c>
      <c r="D19" s="38" t="n">
        <v>0.84</v>
      </c>
      <c r="E19" t="n">
        <v>2361</v>
      </c>
      <c r="F19" t="n">
        <v>110</v>
      </c>
      <c r="G19" t="n">
        <v>106</v>
      </c>
      <c r="H19" t="n">
        <v>103</v>
      </c>
      <c r="I19" t="n">
        <v>2361</v>
      </c>
      <c r="J19" t="n">
        <v>32.2</v>
      </c>
      <c r="K19" t="n">
        <v>26.8</v>
      </c>
      <c r="L19" t="n">
        <v>22.6</v>
      </c>
    </row>
    <row r="20">
      <c r="B20" s="38" t="n"/>
      <c r="C20" s="38" t="n"/>
      <c r="D20" s="184" t="n"/>
    </row>
    <row r="21">
      <c r="B21" s="38" t="n"/>
    </row>
    <row r="22">
      <c r="A22" t="n">
        <v>2000</v>
      </c>
      <c r="B22" s="138" t="inlineStr">
        <is>
          <t>Power</t>
        </is>
      </c>
      <c r="F22" s="138" t="inlineStr">
        <is>
          <t>KTAS</t>
        </is>
      </c>
      <c r="J22" s="138" t="inlineStr">
        <is>
          <t>FC</t>
        </is>
      </c>
    </row>
    <row r="23">
      <c r="A23" t="inlineStr">
        <is>
          <t>rpm</t>
        </is>
      </c>
      <c r="B23" s="138" t="n">
        <v>-30</v>
      </c>
      <c r="C23" s="138" t="n">
        <v>0</v>
      </c>
      <c r="D23" s="138" t="n">
        <v>30</v>
      </c>
      <c r="F23" s="138" t="n">
        <v>-30</v>
      </c>
      <c r="G23" s="138" t="n">
        <v>0</v>
      </c>
      <c r="H23" s="138" t="n">
        <v>30</v>
      </c>
      <c r="J23" s="138" t="n">
        <v>-30</v>
      </c>
      <c r="K23" s="138" t="n">
        <v>0</v>
      </c>
      <c r="L23" s="138" t="n">
        <v>30</v>
      </c>
    </row>
    <row r="24">
      <c r="A24" t="n">
        <v>2023</v>
      </c>
      <c r="B24" s="38" t="n">
        <v>0.72</v>
      </c>
      <c r="C24" s="38" t="n">
        <v>0.57</v>
      </c>
      <c r="D24" s="38" t="n">
        <v>0.46</v>
      </c>
      <c r="E24" t="n">
        <v>2023</v>
      </c>
      <c r="F24" t="n">
        <v>92</v>
      </c>
      <c r="G24" t="n">
        <v>86</v>
      </c>
      <c r="H24" t="n">
        <v>77</v>
      </c>
      <c r="I24" t="n">
        <v>2023</v>
      </c>
      <c r="J24" t="n">
        <v>19.4</v>
      </c>
      <c r="K24" t="n">
        <v>15.5</v>
      </c>
      <c r="L24" t="n">
        <v>12.3</v>
      </c>
    </row>
    <row r="25">
      <c r="A25" t="n">
        <v>2094</v>
      </c>
      <c r="B25" s="38" t="n">
        <v>0.8</v>
      </c>
      <c r="C25" s="38" t="n">
        <v>0.64</v>
      </c>
      <c r="D25" s="38" t="n">
        <v>0.52</v>
      </c>
      <c r="E25" t="n">
        <v>2094</v>
      </c>
      <c r="F25" t="n">
        <v>96</v>
      </c>
      <c r="G25" t="n">
        <v>90</v>
      </c>
      <c r="H25" t="n">
        <v>84</v>
      </c>
      <c r="I25" t="n">
        <v>2094</v>
      </c>
      <c r="J25" t="n">
        <v>21.4</v>
      </c>
      <c r="K25" t="n">
        <v>17.3</v>
      </c>
      <c r="L25" t="n">
        <v>13.9</v>
      </c>
    </row>
    <row r="26">
      <c r="A26" t="n">
        <v>2157</v>
      </c>
      <c r="B26" s="38" t="n">
        <v>0.87</v>
      </c>
      <c r="C26" s="38" t="n">
        <v>0.7</v>
      </c>
      <c r="D26" s="38" t="n">
        <v>0.58</v>
      </c>
      <c r="E26" t="n">
        <v>2157</v>
      </c>
      <c r="F26" t="n">
        <v>99</v>
      </c>
      <c r="G26" t="n">
        <v>94</v>
      </c>
      <c r="H26" t="n">
        <v>88</v>
      </c>
      <c r="I26" t="n">
        <v>2157</v>
      </c>
      <c r="J26" t="n">
        <v>23.4</v>
      </c>
      <c r="K26" t="n">
        <v>19</v>
      </c>
      <c r="L26" t="n">
        <v>15.5</v>
      </c>
    </row>
    <row r="27">
      <c r="A27" t="n">
        <v>2214</v>
      </c>
      <c r="B27" s="38" t="n">
        <v>0.9399999999999999</v>
      </c>
      <c r="C27" s="38" t="n">
        <v>0.76</v>
      </c>
      <c r="D27" s="38" t="n">
        <v>0.63</v>
      </c>
      <c r="E27" t="n">
        <v>2214</v>
      </c>
      <c r="F27" t="n">
        <v>102</v>
      </c>
      <c r="G27" t="n">
        <v>98</v>
      </c>
      <c r="H27" t="n">
        <v>92</v>
      </c>
      <c r="I27" t="n">
        <v>2214</v>
      </c>
      <c r="J27" t="n">
        <v>25.2</v>
      </c>
      <c r="K27" t="n">
        <v>20.6</v>
      </c>
      <c r="L27" t="n">
        <v>17</v>
      </c>
    </row>
    <row r="28">
      <c r="A28" t="n">
        <v>2265</v>
      </c>
      <c r="B28" s="38" t="n">
        <v>1</v>
      </c>
      <c r="C28" s="38" t="n">
        <v>0.82</v>
      </c>
      <c r="D28" s="38" t="n">
        <v>0.68</v>
      </c>
      <c r="E28" t="n">
        <v>2265</v>
      </c>
      <c r="F28" t="n">
        <v>105</v>
      </c>
      <c r="G28" t="n">
        <v>100</v>
      </c>
      <c r="H28" t="n">
        <v>96</v>
      </c>
      <c r="I28" t="n">
        <v>2265</v>
      </c>
      <c r="J28" t="n">
        <v>27</v>
      </c>
      <c r="K28" t="n">
        <v>22.2</v>
      </c>
      <c r="L28" t="n">
        <v>18.4</v>
      </c>
    </row>
    <row r="29">
      <c r="A29" t="n">
        <v>2312</v>
      </c>
      <c r="B29" s="38" t="n">
        <v>1.06</v>
      </c>
      <c r="C29" s="38" t="n">
        <v>0.88</v>
      </c>
      <c r="D29" s="38" t="n">
        <v>0.73</v>
      </c>
      <c r="E29" t="n">
        <v>2312</v>
      </c>
      <c r="F29" t="n">
        <v>107</v>
      </c>
      <c r="G29" t="n">
        <v>103</v>
      </c>
      <c r="H29" t="n">
        <v>99</v>
      </c>
      <c r="I29" t="n">
        <v>2312</v>
      </c>
      <c r="J29" t="n">
        <v>28.6</v>
      </c>
      <c r="K29" t="n">
        <v>23.6</v>
      </c>
      <c r="L29" t="n">
        <v>19.7</v>
      </c>
    </row>
    <row r="30">
      <c r="A30" t="n">
        <v>2355</v>
      </c>
      <c r="B30" s="38" t="n">
        <v>1.12</v>
      </c>
      <c r="C30" s="38" t="n">
        <v>0.93</v>
      </c>
      <c r="D30" s="38" t="n">
        <v>0.78</v>
      </c>
      <c r="E30" t="n">
        <v>2355</v>
      </c>
      <c r="F30" t="n">
        <v>109</v>
      </c>
      <c r="G30" t="n">
        <v>106</v>
      </c>
      <c r="H30" t="n">
        <v>101</v>
      </c>
      <c r="I30" t="n">
        <v>2355</v>
      </c>
      <c r="J30" t="n">
        <v>30.2</v>
      </c>
      <c r="K30" t="n">
        <v>25.1</v>
      </c>
      <c r="L30" t="n">
        <v>21</v>
      </c>
    </row>
    <row r="31">
      <c r="B31" s="38" t="n"/>
    </row>
    <row r="33">
      <c r="A33" t="n">
        <v>4000</v>
      </c>
      <c r="B33" s="138" t="inlineStr">
        <is>
          <t>Power</t>
        </is>
      </c>
      <c r="F33" s="138" t="inlineStr">
        <is>
          <t>KTAS</t>
        </is>
      </c>
      <c r="J33" s="138" t="inlineStr">
        <is>
          <t>FC</t>
        </is>
      </c>
    </row>
    <row r="34">
      <c r="A34" t="inlineStr">
        <is>
          <t>rpm/ISA+-</t>
        </is>
      </c>
      <c r="B34" s="138" t="n">
        <v>-30</v>
      </c>
      <c r="C34" s="138" t="n">
        <v>0</v>
      </c>
      <c r="D34" s="138" t="n">
        <v>30</v>
      </c>
      <c r="F34" s="138" t="n">
        <v>-30</v>
      </c>
      <c r="G34" s="138" t="n">
        <v>0</v>
      </c>
      <c r="H34" s="138" t="n">
        <v>30</v>
      </c>
      <c r="J34" s="138" t="n">
        <v>-30</v>
      </c>
      <c r="K34" s="138" t="n">
        <v>0</v>
      </c>
      <c r="L34" s="138" t="n">
        <v>30</v>
      </c>
    </row>
    <row r="35">
      <c r="A35" t="n">
        <v>2084</v>
      </c>
      <c r="B35" s="38" t="n">
        <v>0.74</v>
      </c>
      <c r="C35" s="38" t="n">
        <v>0.59</v>
      </c>
      <c r="D35" s="38" t="n">
        <v>0.47</v>
      </c>
      <c r="E35" t="n">
        <v>2084</v>
      </c>
      <c r="F35" t="n">
        <v>95</v>
      </c>
      <c r="G35" t="n">
        <v>89</v>
      </c>
      <c r="H35" t="n">
        <v>80</v>
      </c>
      <c r="I35" t="n">
        <v>2084</v>
      </c>
      <c r="J35" t="n">
        <v>20</v>
      </c>
      <c r="K35" t="n">
        <v>16</v>
      </c>
      <c r="L35" t="n">
        <v>12.8</v>
      </c>
    </row>
    <row r="36">
      <c r="A36" t="n">
        <v>2148</v>
      </c>
      <c r="B36" s="38" t="n">
        <v>0.8100000000000001</v>
      </c>
      <c r="C36" s="38" t="n">
        <v>0.65</v>
      </c>
      <c r="D36" s="38" t="n">
        <v>0.53</v>
      </c>
      <c r="E36" t="n">
        <v>2148</v>
      </c>
      <c r="F36" t="n">
        <v>98</v>
      </c>
      <c r="G36" t="n">
        <v>93</v>
      </c>
      <c r="H36" t="n">
        <v>86</v>
      </c>
      <c r="I36" t="n">
        <v>2148</v>
      </c>
      <c r="J36" t="n">
        <v>21.9</v>
      </c>
      <c r="K36" t="n">
        <v>17.6</v>
      </c>
      <c r="L36" t="n">
        <v>14.3</v>
      </c>
    </row>
    <row r="37">
      <c r="A37" t="n">
        <v>2206</v>
      </c>
      <c r="B37" s="38" t="n">
        <v>0.88</v>
      </c>
      <c r="C37" s="38" t="n">
        <v>0.71</v>
      </c>
      <c r="D37" s="38" t="n">
        <v>0.58</v>
      </c>
      <c r="E37" t="n">
        <v>2206</v>
      </c>
      <c r="F37" t="n">
        <v>101</v>
      </c>
      <c r="G37" t="n">
        <v>96</v>
      </c>
      <c r="H37" t="n">
        <v>90</v>
      </c>
      <c r="I37" t="n">
        <v>2206</v>
      </c>
      <c r="J37" t="n">
        <v>23.6</v>
      </c>
      <c r="K37" t="n">
        <v>19.2</v>
      </c>
      <c r="L37" t="n">
        <v>15.7</v>
      </c>
    </row>
    <row r="38">
      <c r="A38" t="n">
        <v>2257</v>
      </c>
      <c r="B38" s="38" t="n">
        <v>0.9399999999999999</v>
      </c>
      <c r="C38" s="38" t="n">
        <v>0.77</v>
      </c>
      <c r="D38" s="38" t="n">
        <v>0.63</v>
      </c>
      <c r="E38" t="n">
        <v>2257</v>
      </c>
      <c r="F38" t="n">
        <v>104</v>
      </c>
      <c r="G38" t="n">
        <v>99</v>
      </c>
      <c r="H38" t="n">
        <v>94</v>
      </c>
      <c r="I38" t="n">
        <v>2257</v>
      </c>
      <c r="J38" t="n">
        <v>25.2</v>
      </c>
      <c r="K38" t="n">
        <v>20.6</v>
      </c>
      <c r="L38" t="n">
        <v>17</v>
      </c>
    </row>
    <row r="39">
      <c r="A39" t="n">
        <v>2305</v>
      </c>
      <c r="B39" s="38" t="n">
        <v>1</v>
      </c>
      <c r="C39" s="38" t="n">
        <v>0.82</v>
      </c>
      <c r="D39" s="38" t="n">
        <v>0.68</v>
      </c>
      <c r="E39" t="n">
        <v>2305</v>
      </c>
      <c r="F39" t="n">
        <v>107</v>
      </c>
      <c r="G39" t="n">
        <v>102</v>
      </c>
      <c r="H39" t="n">
        <v>97</v>
      </c>
      <c r="I39" t="n">
        <v>2305</v>
      </c>
      <c r="J39" t="n">
        <v>26.8</v>
      </c>
      <c r="K39" t="n">
        <v>22</v>
      </c>
      <c r="L39" t="n">
        <v>18.3</v>
      </c>
    </row>
    <row r="40">
      <c r="A40" t="n">
        <v>2348</v>
      </c>
      <c r="B40" s="38" t="n">
        <v>1.05</v>
      </c>
      <c r="C40" s="38" t="n">
        <v>0.87</v>
      </c>
      <c r="D40" s="38" t="n">
        <v>0.72</v>
      </c>
      <c r="E40" t="n">
        <v>2348</v>
      </c>
      <c r="F40" t="n">
        <v>109</v>
      </c>
      <c r="G40" t="n">
        <v>105</v>
      </c>
      <c r="H40" t="n">
        <v>100</v>
      </c>
      <c r="I40" t="n">
        <v>2348</v>
      </c>
      <c r="J40" t="n">
        <v>28.3</v>
      </c>
      <c r="K40" t="n">
        <v>23.4</v>
      </c>
      <c r="L40" t="n">
        <v>19.5</v>
      </c>
    </row>
    <row r="43">
      <c r="A43" t="n">
        <v>6000</v>
      </c>
      <c r="B43" s="138" t="inlineStr">
        <is>
          <t>Power</t>
        </is>
      </c>
      <c r="F43" s="138" t="inlineStr">
        <is>
          <t>KTAS</t>
        </is>
      </c>
      <c r="J43" s="138" t="inlineStr">
        <is>
          <t>FC</t>
        </is>
      </c>
    </row>
    <row r="44">
      <c r="A44" t="inlineStr">
        <is>
          <t>rpm/ISA+-</t>
        </is>
      </c>
      <c r="B44" s="138" t="n">
        <v>-30</v>
      </c>
      <c r="C44" s="138" t="n">
        <v>0</v>
      </c>
      <c r="D44" s="138" t="n">
        <v>30</v>
      </c>
      <c r="F44" s="138" t="n">
        <v>-30</v>
      </c>
      <c r="G44" s="138" t="n">
        <v>0</v>
      </c>
      <c r="H44" s="138" t="n">
        <v>30</v>
      </c>
      <c r="J44" s="138" t="n">
        <v>-30</v>
      </c>
      <c r="K44" s="138" t="n">
        <v>0</v>
      </c>
      <c r="L44" s="138" t="n">
        <v>30</v>
      </c>
    </row>
    <row r="45">
      <c r="A45" t="n">
        <v>2196</v>
      </c>
      <c r="B45" s="38" t="n">
        <v>0.82</v>
      </c>
      <c r="C45" s="38" t="n">
        <v>0.66</v>
      </c>
      <c r="D45" s="38" t="n">
        <v>0.54</v>
      </c>
      <c r="E45" t="n">
        <v>2196</v>
      </c>
      <c r="F45" t="n">
        <v>100</v>
      </c>
      <c r="G45" t="n">
        <v>95</v>
      </c>
      <c r="H45" t="n">
        <v>87</v>
      </c>
      <c r="I45" t="n">
        <v>2196</v>
      </c>
      <c r="J45" t="n">
        <v>22</v>
      </c>
      <c r="K45" t="n">
        <v>17.8</v>
      </c>
      <c r="L45" t="n">
        <v>14.4</v>
      </c>
    </row>
    <row r="46">
      <c r="A46" t="n">
        <v>2249</v>
      </c>
      <c r="B46" s="38" t="n">
        <v>0.88</v>
      </c>
      <c r="C46" s="38" t="n">
        <v>0.71</v>
      </c>
      <c r="D46" s="38" t="n">
        <v>0.58</v>
      </c>
      <c r="E46" t="n">
        <v>2249</v>
      </c>
      <c r="F46" t="n">
        <v>103</v>
      </c>
      <c r="G46" t="n">
        <v>98</v>
      </c>
      <c r="H46" t="n">
        <v>92</v>
      </c>
      <c r="I46" t="n">
        <v>2249</v>
      </c>
      <c r="J46" t="n">
        <v>23.6</v>
      </c>
      <c r="K46" t="n">
        <v>19.2</v>
      </c>
      <c r="L46" t="n">
        <v>15.7</v>
      </c>
    </row>
    <row r="47">
      <c r="A47" t="n">
        <v>2296</v>
      </c>
      <c r="B47" s="38" t="n">
        <v>0.93</v>
      </c>
      <c r="C47" s="38" t="n">
        <v>0.76</v>
      </c>
      <c r="D47" s="38" t="n">
        <v>0.63</v>
      </c>
      <c r="E47" t="n">
        <v>2296</v>
      </c>
      <c r="F47" t="n">
        <v>106</v>
      </c>
      <c r="G47" t="n">
        <v>101</v>
      </c>
      <c r="H47" t="n">
        <v>95</v>
      </c>
      <c r="I47" t="n">
        <v>2296</v>
      </c>
      <c r="J47" t="n">
        <v>25.1</v>
      </c>
      <c r="K47" t="n">
        <v>20.5</v>
      </c>
      <c r="L47" t="n">
        <v>16.9</v>
      </c>
    </row>
    <row r="48">
      <c r="A48" t="n">
        <v>2340</v>
      </c>
      <c r="B48" s="38" t="n">
        <v>0.98</v>
      </c>
      <c r="C48" s="38" t="n">
        <v>0.8100000000000001</v>
      </c>
      <c r="D48" s="38" t="n">
        <v>0.67</v>
      </c>
      <c r="E48" t="n">
        <v>2340</v>
      </c>
      <c r="F48" t="n">
        <v>108</v>
      </c>
      <c r="G48" t="n">
        <v>103</v>
      </c>
      <c r="H48" t="n">
        <v>98</v>
      </c>
      <c r="I48" t="n">
        <v>2340</v>
      </c>
      <c r="J48" t="n">
        <v>26.5</v>
      </c>
      <c r="K48" t="n">
        <v>21.8</v>
      </c>
      <c r="L48" t="n">
        <v>18</v>
      </c>
    </row>
    <row r="67">
      <c r="B67" s="38" t="n"/>
      <c r="C67" s="184" t="n"/>
      <c r="D67" s="184" t="n"/>
    </row>
  </sheetData>
  <mergeCells count="12">
    <mergeCell ref="B33:D33"/>
    <mergeCell ref="F33:H33"/>
    <mergeCell ref="J33:L33"/>
    <mergeCell ref="B43:D43"/>
    <mergeCell ref="F43:H43"/>
    <mergeCell ref="J43:L43"/>
    <mergeCell ref="B11:D11"/>
    <mergeCell ref="F11:H11"/>
    <mergeCell ref="J11:L11"/>
    <mergeCell ref="B22:D22"/>
    <mergeCell ref="F22:H22"/>
    <mergeCell ref="J22:L22"/>
  </mergeCells>
  <pageMargins left="0" right="0" top="0.39375" bottom="0.39375" header="0.511811023622047" footer="0.511811023622047"/>
  <pageSetup orientation="landscape" paperSize="75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9"/>
  <sheetViews>
    <sheetView topLeftCell="A16" zoomScale="120" zoomScaleNormal="120" workbookViewId="0">
      <selection activeCell="D29" sqref="D29"/>
    </sheetView>
  </sheetViews>
  <sheetFormatPr baseColWidth="10" defaultColWidth="8.6640625" defaultRowHeight="13"/>
  <cols>
    <col width="14.1640625" customWidth="1" style="177" min="1" max="1"/>
    <col width="9.5" customWidth="1" style="177" min="2" max="10"/>
    <col width="3.33203125" customWidth="1" style="177" min="11" max="11"/>
    <col width="11.5" customWidth="1" style="177" min="1024" max="1024"/>
  </cols>
  <sheetData>
    <row r="1" ht="14.25" customHeight="1" s="177">
      <c r="A1" s="40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2" t="n"/>
    </row>
    <row r="2" ht="14.25" customHeight="1" s="177">
      <c r="A2" s="139" t="inlineStr">
        <is>
          <t>PERFORMANCE</t>
        </is>
      </c>
      <c r="K2" s="45" t="n"/>
    </row>
    <row r="3" ht="14.25" customHeight="1" s="177">
      <c r="A3" s="43" t="n"/>
      <c r="K3" s="45" t="n"/>
    </row>
    <row r="4" ht="14.25" customHeight="1" s="177">
      <c r="A4" s="46" t="inlineStr">
        <is>
          <t>AERODROME</t>
        </is>
      </c>
      <c r="B4" s="6" t="inlineStr">
        <is>
          <t>LPEV</t>
        </is>
      </c>
      <c r="D4" s="140" t="inlineStr">
        <is>
          <t>TIME OF DEPARTURE</t>
        </is>
      </c>
      <c r="E4" s="182" t="n"/>
      <c r="F4" s="48" t="n">
        <v>1400</v>
      </c>
      <c r="K4" s="45" t="n"/>
    </row>
    <row r="5" ht="14.25" customHeight="1" s="177">
      <c r="A5" s="43" t="n"/>
      <c r="K5" s="45" t="n"/>
    </row>
    <row r="6" ht="14.25" customHeight="1" s="177">
      <c r="A6" s="141" t="inlineStr">
        <is>
          <t>CONSIDERED AD WX</t>
        </is>
      </c>
      <c r="B6" s="182" t="n"/>
      <c r="C6" s="49" t="inlineStr">
        <is>
          <t>DATE/TIME</t>
        </is>
      </c>
      <c r="D6" s="142" t="inlineStr">
        <is>
          <t>WIND</t>
        </is>
      </c>
      <c r="E6" s="179" t="n"/>
      <c r="F6" s="182" t="n"/>
      <c r="G6" s="142" t="inlineStr">
        <is>
          <t>CEILING</t>
        </is>
      </c>
      <c r="H6" s="142" t="inlineStr">
        <is>
          <t>TEMP</t>
        </is>
      </c>
      <c r="I6" s="142" t="inlineStr">
        <is>
          <t>DEW POINT</t>
        </is>
      </c>
      <c r="J6" s="49" t="inlineStr">
        <is>
          <t>QNH</t>
        </is>
      </c>
      <c r="K6" s="45" t="n"/>
    </row>
    <row r="7" ht="14.25" customHeight="1" s="177">
      <c r="A7" s="43" t="n"/>
      <c r="C7" s="131" t="inlineStr">
        <is>
          <t xml:space="preserve">281103Z </t>
        </is>
      </c>
      <c r="D7" s="51" t="n">
        <v>210</v>
      </c>
      <c r="E7" s="6" t="n">
        <v>10</v>
      </c>
      <c r="F7" s="6" t="inlineStr">
        <is>
          <t>-</t>
        </is>
      </c>
      <c r="G7" s="6" t="inlineStr">
        <is>
          <t>CAVOK</t>
        </is>
      </c>
      <c r="H7" s="6" t="n">
        <v>23</v>
      </c>
      <c r="I7" s="6" t="n">
        <v>10</v>
      </c>
      <c r="J7" s="6" t="n">
        <v>1018</v>
      </c>
      <c r="K7" s="45" t="n"/>
    </row>
    <row r="8" ht="14.25" customHeight="1" s="177">
      <c r="A8" s="43" t="n"/>
      <c r="K8" s="45" t="n"/>
    </row>
    <row r="9" ht="14.25" customHeight="1" s="177">
      <c r="A9" s="141" t="inlineStr">
        <is>
          <t>PARAMETERS</t>
        </is>
      </c>
      <c r="B9" s="182" t="n"/>
      <c r="C9" s="142" t="inlineStr">
        <is>
          <t>WEIGHT</t>
        </is>
      </c>
      <c r="D9" s="142" t="inlineStr">
        <is>
          <t>P. ALT.</t>
        </is>
      </c>
      <c r="E9" s="142" t="inlineStr">
        <is>
          <t>TEMP</t>
        </is>
      </c>
      <c r="F9" s="142" t="inlineStr">
        <is>
          <t>H-WIND</t>
        </is>
      </c>
      <c r="G9" s="142" t="inlineStr">
        <is>
          <t>X-WIND</t>
        </is>
      </c>
      <c r="K9" s="45" t="n"/>
    </row>
    <row r="10" ht="14.25" customHeight="1" s="177">
      <c r="A10" s="43" t="n"/>
      <c r="C10" s="187">
        <f>'Mass and Balance Sheet'!B10</f>
        <v/>
      </c>
      <c r="D10" s="6">
        <f>'Dep 620'!G5</f>
        <v/>
      </c>
      <c r="E10" s="6">
        <f>H7</f>
        <v/>
      </c>
      <c r="F10" s="187">
        <f>IF(D7="-","-",ABS($E$7*COS(RADIANS($D$7-10))))</f>
        <v/>
      </c>
      <c r="G10" s="187">
        <f>IF(D7="-","-",ABS($E$7*SIN(RADIANS($D$7-10))))</f>
        <v/>
      </c>
      <c r="K10" s="45" t="n"/>
    </row>
    <row r="11" ht="14.25" customHeight="1" s="177">
      <c r="A11" s="43" t="n"/>
      <c r="K11" s="45" t="n"/>
    </row>
    <row r="12" ht="14.25" customHeight="1" s="177">
      <c r="A12" s="141" t="inlineStr">
        <is>
          <t>CRUISE PERFORMANCE</t>
        </is>
      </c>
      <c r="B12" s="182" t="n"/>
      <c r="C12" s="142" t="inlineStr">
        <is>
          <t>CRUISE ALT</t>
        </is>
      </c>
      <c r="D12" s="52" t="n"/>
      <c r="E12" s="52" t="n"/>
      <c r="F12" s="142" t="inlineStr">
        <is>
          <t>TAS</t>
        </is>
      </c>
      <c r="G12" s="142" t="inlineStr">
        <is>
          <t>FC</t>
        </is>
      </c>
      <c r="H12" s="142" t="inlineStr">
        <is>
          <t>CRZ CLIMB</t>
        </is>
      </c>
      <c r="K12" s="45" t="n"/>
    </row>
    <row r="13" ht="14.25" customHeight="1" s="177">
      <c r="A13" s="43" t="n"/>
      <c r="C13" s="6" t="n">
        <v>6000</v>
      </c>
      <c r="F13" s="187">
        <f>_xlfn.FORECAST.LINEAR(C13,FC!I5:I8,FC!A5:A8)</f>
        <v/>
      </c>
      <c r="G13" s="187">
        <f>_xlfn.FORECAST.LINEAR(C13,FC!M5:M8,FC!A5:A8)</f>
        <v/>
      </c>
      <c r="H13" s="187">
        <f>'Dep 620'!N6</f>
        <v/>
      </c>
      <c r="K13" s="45" t="n"/>
    </row>
    <row r="14" ht="14.25" customHeight="1" s="177">
      <c r="A14" s="43" t="n"/>
      <c r="K14" s="45" t="n"/>
    </row>
    <row r="15" ht="14.25" customHeight="1" s="177">
      <c r="A15" s="43" t="n"/>
      <c r="C15" s="142" t="inlineStr">
        <is>
          <t>TAKE OFF PERF</t>
        </is>
      </c>
      <c r="D15" s="182" t="n"/>
      <c r="F15" s="142" t="inlineStr">
        <is>
          <t>CLIMB PERF</t>
        </is>
      </c>
      <c r="G15" s="182" t="n"/>
      <c r="I15" s="142" t="inlineStr">
        <is>
          <t>LANDING PERF</t>
        </is>
      </c>
      <c r="J15" s="182" t="n"/>
      <c r="K15" s="45" t="n"/>
    </row>
    <row r="16" ht="14.25" customHeight="1" s="177">
      <c r="A16" s="43" t="n"/>
      <c r="C16" s="140" t="inlineStr">
        <is>
          <t>TORR</t>
        </is>
      </c>
      <c r="D16" s="140" t="inlineStr">
        <is>
          <t>TODR</t>
        </is>
      </c>
      <c r="F16" s="140" t="inlineStr">
        <is>
          <t>TAKE OFF</t>
        </is>
      </c>
      <c r="G16" s="140" t="inlineStr">
        <is>
          <t>BALK LND</t>
        </is>
      </c>
      <c r="I16" s="140" t="inlineStr">
        <is>
          <t>LGR</t>
        </is>
      </c>
      <c r="J16" s="140" t="inlineStr">
        <is>
          <t>LDR</t>
        </is>
      </c>
      <c r="K16" s="45" t="n"/>
    </row>
    <row r="17" ht="14.25" customHeight="1" s="177">
      <c r="A17" s="43" t="n"/>
      <c r="C17" s="125">
        <f>'Dep 620'!G6</f>
        <v/>
      </c>
      <c r="D17" s="125">
        <f>'Dep 620'!G7</f>
        <v/>
      </c>
      <c r="F17" s="125">
        <f>'Dep 620'!G8</f>
        <v/>
      </c>
      <c r="G17" s="125">
        <f>'Dep 620'!N5</f>
        <v/>
      </c>
      <c r="I17" s="125">
        <f>'Dep 620'!N3</f>
        <v/>
      </c>
      <c r="J17" s="125">
        <f>'Dep 620'!N4</f>
        <v/>
      </c>
      <c r="K17" s="45" t="n"/>
    </row>
    <row r="18">
      <c r="A18" s="53" t="n"/>
      <c r="B18" s="54" t="n"/>
      <c r="C18" s="54" t="n"/>
      <c r="D18" s="54" t="n"/>
      <c r="E18" s="54" t="n"/>
      <c r="F18" s="54" t="n"/>
      <c r="G18" s="54" t="n"/>
      <c r="H18" s="54" t="n"/>
      <c r="I18" s="54" t="n"/>
      <c r="J18" s="54" t="n"/>
      <c r="K18" s="55" t="n"/>
    </row>
    <row r="20">
      <c r="A20" s="40" t="n"/>
      <c r="B20" s="41" t="n"/>
      <c r="C20" s="41" t="n"/>
      <c r="D20" s="41" t="n"/>
      <c r="E20" s="41" t="n"/>
      <c r="F20" s="41" t="n"/>
      <c r="G20" s="41" t="n"/>
      <c r="H20" s="41" t="n"/>
      <c r="I20" s="41" t="n"/>
      <c r="J20" s="41" t="n"/>
      <c r="K20" s="42" t="n"/>
    </row>
    <row r="21">
      <c r="A21" s="139" t="inlineStr">
        <is>
          <t>LANDING PERFORMANCE</t>
        </is>
      </c>
      <c r="K21" s="45" t="n"/>
    </row>
    <row r="22">
      <c r="A22" s="43" t="n"/>
      <c r="K22" s="45" t="n"/>
    </row>
    <row r="23">
      <c r="A23" s="46" t="inlineStr">
        <is>
          <t>AERODROME</t>
        </is>
      </c>
      <c r="B23" s="130" t="inlineStr">
        <is>
          <t>LPEV</t>
        </is>
      </c>
      <c r="D23" s="140" t="inlineStr">
        <is>
          <t>TIME OF ARRIVAL</t>
        </is>
      </c>
      <c r="E23" s="182" t="n"/>
      <c r="F23" s="48" t="n">
        <v>1600</v>
      </c>
      <c r="K23" s="45" t="n"/>
    </row>
    <row r="24">
      <c r="A24" s="43" t="n"/>
      <c r="K24" s="45" t="n"/>
    </row>
    <row r="25">
      <c r="A25" s="141" t="inlineStr">
        <is>
          <t>CONSIDERED AD WX</t>
        </is>
      </c>
      <c r="B25" s="182" t="n"/>
      <c r="C25" s="49" t="inlineStr">
        <is>
          <t>DATE/TIME</t>
        </is>
      </c>
      <c r="D25" s="142" t="inlineStr">
        <is>
          <t>WIND</t>
        </is>
      </c>
      <c r="E25" s="179" t="n"/>
      <c r="F25" s="182" t="n"/>
      <c r="G25" s="142" t="inlineStr">
        <is>
          <t>CEILING</t>
        </is>
      </c>
      <c r="H25" s="142" t="inlineStr">
        <is>
          <t>TEMP</t>
        </is>
      </c>
      <c r="I25" s="142" t="inlineStr">
        <is>
          <t>DEW POINT</t>
        </is>
      </c>
      <c r="J25" s="49" t="inlineStr">
        <is>
          <t>QNH</t>
        </is>
      </c>
      <c r="K25" s="45" t="n"/>
    </row>
    <row r="26" ht="14" customHeight="1" s="177">
      <c r="A26" s="43" t="n"/>
      <c r="C26" s="120">
        <f>C7</f>
        <v/>
      </c>
      <c r="D26" s="51">
        <f>D7</f>
        <v/>
      </c>
      <c r="E26" s="51">
        <f>E7</f>
        <v/>
      </c>
      <c r="F26" s="6">
        <f>F7</f>
        <v/>
      </c>
      <c r="G26" s="6">
        <f>G7</f>
        <v/>
      </c>
      <c r="H26" s="6">
        <f>H7</f>
        <v/>
      </c>
      <c r="I26" s="6">
        <f>I7</f>
        <v/>
      </c>
      <c r="J26" s="6">
        <f>J7</f>
        <v/>
      </c>
      <c r="K26" s="45" t="n"/>
    </row>
    <row r="27">
      <c r="A27" s="43" t="n"/>
      <c r="K27" s="45" t="n"/>
    </row>
    <row r="28">
      <c r="A28" s="141" t="inlineStr">
        <is>
          <t>LANDING PARAMETERS</t>
        </is>
      </c>
      <c r="B28" s="182" t="n"/>
      <c r="C28" s="142" t="inlineStr">
        <is>
          <t>WEIGHT</t>
        </is>
      </c>
      <c r="D28" s="142" t="inlineStr">
        <is>
          <t>P. ALT.</t>
        </is>
      </c>
      <c r="E28" s="142" t="inlineStr">
        <is>
          <t>TEMP</t>
        </is>
      </c>
      <c r="F28" s="142" t="inlineStr">
        <is>
          <t>H-WIND</t>
        </is>
      </c>
      <c r="G28" s="142" t="inlineStr">
        <is>
          <t>X-WIND</t>
        </is>
      </c>
      <c r="K28" s="45" t="n"/>
    </row>
    <row r="29">
      <c r="A29" s="43" t="n"/>
      <c r="C29" s="187">
        <f>'Mass and Balance Sheet'!B13</f>
        <v/>
      </c>
      <c r="D29" s="6">
        <f>'Land 620'!G5</f>
        <v/>
      </c>
      <c r="E29" s="6">
        <f>H26</f>
        <v/>
      </c>
      <c r="F29" s="187">
        <f>ABS(E26*COS(RADIANS(D26)))</f>
        <v/>
      </c>
      <c r="G29" s="187">
        <f>ABS(E26*SIN(RADIANS(D26)))</f>
        <v/>
      </c>
      <c r="K29" s="45" t="n"/>
    </row>
    <row r="30">
      <c r="A30" s="43" t="n"/>
      <c r="K30" s="45" t="n"/>
    </row>
    <row r="31">
      <c r="A31" s="141" t="inlineStr">
        <is>
          <t>LANDING PERF</t>
        </is>
      </c>
      <c r="B31" s="182" t="n"/>
      <c r="C31" s="142" t="inlineStr">
        <is>
          <t>LGR</t>
        </is>
      </c>
      <c r="D31" s="142" t="inlineStr">
        <is>
          <t>LDR</t>
        </is>
      </c>
      <c r="E31" s="142" t="inlineStr">
        <is>
          <t>BALK LDN</t>
        </is>
      </c>
      <c r="K31" s="45" t="n"/>
    </row>
    <row r="32">
      <c r="A32" s="43" t="n"/>
      <c r="C32" s="125">
        <f>'Land 620'!G6</f>
        <v/>
      </c>
      <c r="D32" s="125">
        <f>'Land 620'!G7</f>
        <v/>
      </c>
      <c r="E32" s="125">
        <f>'Land 620'!G8</f>
        <v/>
      </c>
      <c r="K32" s="45" t="n"/>
    </row>
    <row r="33" ht="16.5" customHeight="1" s="177">
      <c r="A33" s="53" t="n"/>
      <c r="B33" s="54" t="n"/>
      <c r="C33" s="54" t="n"/>
      <c r="D33" s="54" t="n"/>
      <c r="E33" s="54" t="n"/>
      <c r="F33" s="54" t="n"/>
      <c r="G33" s="54" t="n"/>
      <c r="H33" s="54" t="n"/>
      <c r="I33" s="54" t="n"/>
      <c r="J33" s="54" t="n"/>
      <c r="K33" s="55" t="n"/>
    </row>
    <row r="34" ht="15.5" customHeight="1" s="177" thickBot="1"/>
    <row r="35">
      <c r="A35" s="40" t="n"/>
      <c r="B35" s="41" t="n"/>
      <c r="C35" s="41" t="n"/>
      <c r="D35" s="41" t="n"/>
      <c r="E35" s="41" t="n"/>
      <c r="F35" s="41" t="n"/>
      <c r="G35" s="41" t="n"/>
      <c r="H35" s="41" t="n"/>
      <c r="I35" s="41" t="n"/>
      <c r="J35" s="41" t="n"/>
      <c r="K35" s="42" t="n"/>
    </row>
    <row r="36">
      <c r="A36" s="139" t="inlineStr">
        <is>
          <t>ALTERNATE PERFORMANCE</t>
        </is>
      </c>
      <c r="K36" s="45" t="n"/>
    </row>
    <row r="37">
      <c r="A37" s="43" t="n"/>
      <c r="K37" s="45" t="n"/>
    </row>
    <row r="38">
      <c r="A38" s="46" t="inlineStr">
        <is>
          <t>AERODROME</t>
        </is>
      </c>
      <c r="B38" s="6" t="inlineStr">
        <is>
          <t>LPSO</t>
        </is>
      </c>
      <c r="C38" t="inlineStr">
        <is>
          <t>LPBJ</t>
        </is>
      </c>
      <c r="D38" s="140" t="inlineStr">
        <is>
          <t>ARRIVAL TIME</t>
        </is>
      </c>
      <c r="E38" s="182" t="n"/>
      <c r="F38" s="48" t="n">
        <v>1630</v>
      </c>
      <c r="K38" s="45" t="n"/>
    </row>
    <row r="39" s="177">
      <c r="A39" s="43" t="n"/>
      <c r="K39" s="45" t="n"/>
    </row>
    <row r="40" s="177">
      <c r="A40" s="141" t="inlineStr">
        <is>
          <t>CONSIDERED AD WX</t>
        </is>
      </c>
      <c r="B40" s="182" t="n"/>
      <c r="C40" s="49" t="inlineStr">
        <is>
          <t>DATE/TIME</t>
        </is>
      </c>
      <c r="D40" s="142" t="inlineStr">
        <is>
          <t>WIND</t>
        </is>
      </c>
      <c r="E40" s="179" t="n"/>
      <c r="F40" s="182" t="n"/>
      <c r="G40" s="142" t="inlineStr">
        <is>
          <t>CEILING</t>
        </is>
      </c>
      <c r="H40" s="142" t="inlineStr">
        <is>
          <t>TEMP</t>
        </is>
      </c>
      <c r="I40" s="142" t="inlineStr">
        <is>
          <t>DEW POINT</t>
        </is>
      </c>
      <c r="J40" s="49" t="inlineStr">
        <is>
          <t>QNH</t>
        </is>
      </c>
      <c r="K40" s="45" t="n"/>
    </row>
    <row r="41">
      <c r="A41" s="43" t="n"/>
      <c r="C41" s="6">
        <f>C7</f>
        <v/>
      </c>
      <c r="D41" s="51">
        <f>D7</f>
        <v/>
      </c>
      <c r="E41" s="6">
        <f>E7</f>
        <v/>
      </c>
      <c r="F41" s="6">
        <f>F7</f>
        <v/>
      </c>
      <c r="G41" s="6">
        <f>G7</f>
        <v/>
      </c>
      <c r="H41" s="6">
        <f>H7</f>
        <v/>
      </c>
      <c r="I41" s="6">
        <f>I7</f>
        <v/>
      </c>
      <c r="J41" s="6">
        <f>J7</f>
        <v/>
      </c>
      <c r="K41" s="45" t="n"/>
    </row>
    <row r="42">
      <c r="A42" s="43" t="n"/>
      <c r="K42" s="45" t="n"/>
    </row>
    <row r="43">
      <c r="A43" s="141" t="inlineStr">
        <is>
          <t>LANDING PARAMETERS</t>
        </is>
      </c>
      <c r="B43" s="182" t="n"/>
      <c r="C43" s="142" t="inlineStr">
        <is>
          <t>WEIGHT</t>
        </is>
      </c>
      <c r="D43" s="142" t="inlineStr">
        <is>
          <t>P. ALT.</t>
        </is>
      </c>
      <c r="E43" s="142" t="inlineStr">
        <is>
          <t>TEMP</t>
        </is>
      </c>
      <c r="F43" s="142" t="inlineStr">
        <is>
          <t>H-WIND</t>
        </is>
      </c>
      <c r="G43" s="142" t="inlineStr">
        <is>
          <t>X-WIND</t>
        </is>
      </c>
      <c r="K43" s="45" t="n"/>
    </row>
    <row r="44">
      <c r="A44" s="43" t="n"/>
      <c r="C44" s="187">
        <f>'Mass and Balance Sheet'!B16</f>
        <v/>
      </c>
      <c r="D44" s="56">
        <f>CONCATENATE('Alternate 620'!G5," / ",'Alternate 620'!K5)</f>
        <v/>
      </c>
      <c r="E44" s="6">
        <f>H41</f>
        <v/>
      </c>
      <c r="F44" s="187">
        <f>ABS(E41*COS(RADIANS(D41-10)))</f>
        <v/>
      </c>
      <c r="G44" s="187">
        <f>ABS(E41*SIN(RADIANS(D41-10)))</f>
        <v/>
      </c>
      <c r="K44" s="45" t="n"/>
    </row>
    <row r="45">
      <c r="A45" s="43" t="n"/>
      <c r="K45" s="45" t="n"/>
    </row>
    <row r="46" s="177">
      <c r="A46" s="141" t="inlineStr">
        <is>
          <t>LANDING PERF</t>
        </is>
      </c>
      <c r="B46" s="182" t="n"/>
      <c r="C46" s="142" t="inlineStr">
        <is>
          <t>ALTERNATE 1</t>
        </is>
      </c>
      <c r="D46" s="179" t="n"/>
      <c r="E46" s="182" t="n"/>
      <c r="G46" s="142" t="inlineStr">
        <is>
          <t>ALTERNATE 2</t>
        </is>
      </c>
      <c r="H46" s="179" t="n"/>
      <c r="I46" s="182" t="n"/>
      <c r="K46" s="45" t="n"/>
    </row>
    <row r="47">
      <c r="A47" s="43" t="n"/>
      <c r="C47" s="140" t="inlineStr">
        <is>
          <t>LGR</t>
        </is>
      </c>
      <c r="D47" s="140" t="inlineStr">
        <is>
          <t>LDR</t>
        </is>
      </c>
      <c r="E47" s="140" t="inlineStr">
        <is>
          <t>BALK LDN</t>
        </is>
      </c>
      <c r="G47" s="140" t="inlineStr">
        <is>
          <t>LGR</t>
        </is>
      </c>
      <c r="H47" s="140" t="inlineStr">
        <is>
          <t>LDR</t>
        </is>
      </c>
      <c r="I47" s="140" t="inlineStr">
        <is>
          <t>BALK LDN</t>
        </is>
      </c>
      <c r="K47" s="45" t="n"/>
    </row>
    <row r="48">
      <c r="A48" s="43" t="n"/>
      <c r="C48" s="125">
        <f>'Alternate 620'!G6</f>
        <v/>
      </c>
      <c r="D48" s="125">
        <f>'Alternate 620'!G7</f>
        <v/>
      </c>
      <c r="E48" s="125">
        <f>'Alternate 620'!G8</f>
        <v/>
      </c>
      <c r="G48" s="125">
        <f>'Alternate 620'!K6</f>
        <v/>
      </c>
      <c r="H48" s="125">
        <f>'Alternate 620'!K7</f>
        <v/>
      </c>
      <c r="I48" s="125">
        <f>'Alternate 620'!K8</f>
        <v/>
      </c>
      <c r="K48" s="45" t="n"/>
    </row>
    <row r="49" ht="9" customHeight="1" s="177" thickBot="1">
      <c r="A49" s="53" t="n"/>
      <c r="B49" s="5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5" t="n"/>
    </row>
    <row r="50" ht="15.5" customHeight="1" s="177"/>
    <row r="57" ht="9.5" customHeight="1" s="177"/>
    <row r="61" ht="15.5" customHeight="1" s="177"/>
  </sheetData>
  <mergeCells count="23">
    <mergeCell ref="A46:B46"/>
    <mergeCell ref="C46:E46"/>
    <mergeCell ref="G46:I46"/>
    <mergeCell ref="A36:K36"/>
    <mergeCell ref="D38:E38"/>
    <mergeCell ref="A40:B40"/>
    <mergeCell ref="D40:F40"/>
    <mergeCell ref="A43:B43"/>
    <mergeCell ref="D23:E23"/>
    <mergeCell ref="A25:B25"/>
    <mergeCell ref="D25:F25"/>
    <mergeCell ref="A28:B28"/>
    <mergeCell ref="A31:B31"/>
    <mergeCell ref="A12:B12"/>
    <mergeCell ref="C15:D15"/>
    <mergeCell ref="F15:G15"/>
    <mergeCell ref="I15:J15"/>
    <mergeCell ref="A21:K21"/>
    <mergeCell ref="A2:K2"/>
    <mergeCell ref="D4:E4"/>
    <mergeCell ref="A6:B6"/>
    <mergeCell ref="D6:F6"/>
    <mergeCell ref="A9:B9"/>
  </mergeCells>
  <pageMargins left="0" right="0" top="0.39375" bottom="0.39375" header="0.511811023622047" footer="0.511811023622047"/>
  <pageSetup orientation="landscape" paperSize="75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T66"/>
  <sheetViews>
    <sheetView zoomScale="120" zoomScaleNormal="120" workbookViewId="0">
      <selection activeCell="I7" sqref="I7"/>
    </sheetView>
  </sheetViews>
  <sheetFormatPr baseColWidth="10" defaultColWidth="8.6640625" defaultRowHeight="13"/>
  <cols>
    <col width="12.1640625" customWidth="1" style="177" min="1" max="20"/>
  </cols>
  <sheetData>
    <row r="1">
      <c r="I1" s="132" t="n"/>
      <c r="J1" s="132" t="n"/>
      <c r="K1" s="132" t="inlineStr">
        <is>
          <t>LANDING</t>
        </is>
      </c>
      <c r="M1" s="132" t="n"/>
      <c r="N1" s="132" t="n"/>
      <c r="O1" s="132" t="n"/>
      <c r="P1" s="132" t="n"/>
      <c r="Q1" s="132" t="n"/>
      <c r="R1" s="132" t="n"/>
      <c r="S1" s="132" t="n"/>
      <c r="T1" s="132" t="n"/>
    </row>
    <row r="2">
      <c r="F2" t="inlineStr">
        <is>
          <t>QNH</t>
        </is>
      </c>
      <c r="G2" s="3">
        <f>Performance!J7</f>
        <v/>
      </c>
      <c r="H2" t="inlineStr">
        <is>
          <t>hPa</t>
        </is>
      </c>
    </row>
    <row r="3">
      <c r="B3" t="inlineStr">
        <is>
          <t>Headwind</t>
        </is>
      </c>
      <c r="C3" s="193">
        <f>Performance!F10</f>
        <v/>
      </c>
      <c r="D3">
        <f>IF(C3="","",C3*-2.5)</f>
        <v/>
      </c>
      <c r="E3" t="inlineStr">
        <is>
          <t>m</t>
        </is>
      </c>
      <c r="F3" t="inlineStr">
        <is>
          <t>elev</t>
        </is>
      </c>
      <c r="G3" s="3">
        <f>VLOOKUP(Performance!B4,Aeródromos!A1:B40,2,FALSE())</f>
        <v/>
      </c>
      <c r="H3" t="inlineStr">
        <is>
          <t>ft</t>
        </is>
      </c>
      <c r="I3" t="inlineStr">
        <is>
          <t>Headwind</t>
        </is>
      </c>
      <c r="J3" s="193">
        <f>C3</f>
        <v/>
      </c>
      <c r="K3">
        <f>IF(J3="","",J3*-5)</f>
        <v/>
      </c>
      <c r="L3" t="inlineStr">
        <is>
          <t>m</t>
        </is>
      </c>
      <c r="M3" t="inlineStr">
        <is>
          <t>LGR</t>
        </is>
      </c>
      <c r="N3" s="58">
        <f>N11+SUM($K$3:$K$6)</f>
        <v/>
      </c>
      <c r="O3" t="inlineStr">
        <is>
          <t>m</t>
        </is>
      </c>
    </row>
    <row r="4">
      <c r="B4" t="inlineStr">
        <is>
          <t>Tailwind</t>
        </is>
      </c>
      <c r="C4" s="59" t="n"/>
      <c r="D4">
        <f>IF(C4="","",C4*10)</f>
        <v/>
      </c>
      <c r="E4" t="inlineStr">
        <is>
          <t>m</t>
        </is>
      </c>
      <c r="F4" t="inlineStr">
        <is>
          <t>Temp</t>
        </is>
      </c>
      <c r="G4" s="3">
        <f>Performance!H7</f>
        <v/>
      </c>
      <c r="H4" t="inlineStr">
        <is>
          <t>ºC</t>
        </is>
      </c>
      <c r="I4" t="inlineStr">
        <is>
          <t>Tailwind</t>
        </is>
      </c>
      <c r="J4" s="59" t="n"/>
      <c r="K4">
        <f>IF(J4="","",J4*10)</f>
        <v/>
      </c>
      <c r="L4" t="inlineStr">
        <is>
          <t>m</t>
        </is>
      </c>
      <c r="M4" t="inlineStr">
        <is>
          <t>LDR</t>
        </is>
      </c>
      <c r="N4" s="58">
        <f>N12+SUM($K$3:$K$6)</f>
        <v/>
      </c>
      <c r="O4" t="inlineStr">
        <is>
          <t>m</t>
        </is>
      </c>
    </row>
    <row r="5">
      <c r="B5" t="inlineStr">
        <is>
          <t>Paved RW</t>
        </is>
      </c>
      <c r="C5" s="59" t="inlineStr">
        <is>
          <t>y</t>
        </is>
      </c>
      <c r="D5" s="58">
        <f>IF(C5="","",G11*-0.06)</f>
        <v/>
      </c>
      <c r="E5" t="inlineStr">
        <is>
          <t>m</t>
        </is>
      </c>
      <c r="F5" t="inlineStr">
        <is>
          <t>P alt</t>
        </is>
      </c>
      <c r="G5">
        <f>IF(G3="","",G3+(1013-G2)*27)</f>
        <v/>
      </c>
      <c r="H5" t="inlineStr">
        <is>
          <t>ft</t>
        </is>
      </c>
      <c r="I5" t="inlineStr">
        <is>
          <t>Paved RW</t>
        </is>
      </c>
      <c r="J5" s="59" t="inlineStr">
        <is>
          <t>y</t>
        </is>
      </c>
      <c r="K5" s="58">
        <f>IF(J5="","",N11*-0.02)</f>
        <v/>
      </c>
      <c r="L5" t="inlineStr">
        <is>
          <t>m</t>
        </is>
      </c>
      <c r="M5" t="inlineStr">
        <is>
          <t>Balked ROC</t>
        </is>
      </c>
      <c r="N5" s="58">
        <f>N13</f>
        <v/>
      </c>
      <c r="O5" t="inlineStr">
        <is>
          <t>ft/min</t>
        </is>
      </c>
    </row>
    <row r="6">
      <c r="B6" t="inlineStr">
        <is>
          <t>Slope (%)</t>
        </is>
      </c>
      <c r="C6" s="59" t="n">
        <v>0</v>
      </c>
      <c r="D6" s="58">
        <f>IF(C6="","",C6*G11*0.05)</f>
        <v/>
      </c>
      <c r="E6" t="inlineStr">
        <is>
          <t>m</t>
        </is>
      </c>
      <c r="F6" t="inlineStr">
        <is>
          <t>TORR</t>
        </is>
      </c>
      <c r="G6" s="58">
        <f>G11+SUM(D3:D6)</f>
        <v/>
      </c>
      <c r="H6" t="inlineStr">
        <is>
          <t>m</t>
        </is>
      </c>
      <c r="I6" t="inlineStr">
        <is>
          <t>Slope (%)</t>
        </is>
      </c>
      <c r="J6" s="59" t="n"/>
      <c r="K6" s="58">
        <f>IF(J6="","",J6*N11*0.025)</f>
        <v/>
      </c>
      <c r="L6" t="inlineStr">
        <is>
          <t>m</t>
        </is>
      </c>
      <c r="M6" t="inlineStr">
        <is>
          <t>Cruise Climb</t>
        </is>
      </c>
      <c r="N6" s="58">
        <f>N14</f>
        <v/>
      </c>
      <c r="O6" t="inlineStr">
        <is>
          <t>ft/min</t>
        </is>
      </c>
    </row>
    <row r="7">
      <c r="F7" t="inlineStr">
        <is>
          <t>TODR</t>
        </is>
      </c>
      <c r="G7" s="58">
        <f>G12+SUM(D3:D6)</f>
        <v/>
      </c>
      <c r="H7" t="inlineStr">
        <is>
          <t>m</t>
        </is>
      </c>
    </row>
    <row r="8">
      <c r="F8" t="inlineStr">
        <is>
          <t>ROC</t>
        </is>
      </c>
      <c r="G8" s="58">
        <f>G13</f>
        <v/>
      </c>
      <c r="H8" t="inlineStr">
        <is>
          <t>ft/min</t>
        </is>
      </c>
    </row>
    <row r="10">
      <c r="B10" s="6" t="n"/>
      <c r="C10" s="6" t="n">
        <v>-25</v>
      </c>
      <c r="D10" s="6" t="n">
        <v>0</v>
      </c>
      <c r="E10" s="60" t="n">
        <v>25</v>
      </c>
      <c r="F10" s="6" t="n">
        <v>50</v>
      </c>
      <c r="G10" s="6">
        <f>G4</f>
        <v/>
      </c>
      <c r="I10" s="6" t="n"/>
      <c r="J10" s="6" t="n">
        <v>-25</v>
      </c>
      <c r="K10" s="6" t="n">
        <v>0</v>
      </c>
      <c r="L10" s="6" t="n">
        <v>25</v>
      </c>
      <c r="M10" s="6" t="n">
        <v>50</v>
      </c>
      <c r="N10" s="6">
        <f>G4</f>
        <v/>
      </c>
    </row>
    <row r="11">
      <c r="B11" s="61" t="inlineStr">
        <is>
          <t>TORR</t>
        </is>
      </c>
      <c r="C11" s="6">
        <f>FORECAST($G$5, INDEX(C18:C28,MATCH($G$5,$B$18:$B$28,1)):INDEX(C18:C28,MATCH($G$5,$B$18:$B$28,1)+1), INDEX($B$18:$B$28,MATCH($G$5,$B$18:$B$28,1)):INDEX($B$18:$B$28,MATCH($G$5,$B$18:$B$28,1)+1))</f>
        <v/>
      </c>
      <c r="D11" s="6">
        <f>FORECAST($G$5, INDEX(D18:D28,MATCH($G$5,$B$18:$B$28,1)):INDEX(D18:D28,MATCH($G$5,$B$18:$B$28,1)+1), INDEX($B$18:$B$28,MATCH($G$5,$B$18:$B$28,1)):INDEX($B$18:$B$28,MATCH($G$5,$B$18:$B$28,1)+1))</f>
        <v/>
      </c>
      <c r="E11" s="60">
        <f>FORECAST($G$5, INDEX(E18:E28,MATCH($G$5,$B$18:$B$28,1)):INDEX(E18:E28,MATCH($G$5,$B$18:$B$28,1)+1), INDEX($B$18:$B$28,MATCH($G$5,$B$18:$B$28,1)):INDEX($B$18:$B$28,MATCH($G$5,$B$18:$B$28,1)+1))</f>
        <v/>
      </c>
      <c r="F11" s="6">
        <f>FORECAST($G$5, INDEX(F18:F28,MATCH($G$5,$B$18:$B$28,1)):INDEX(F18:F28,MATCH($G$5,$B$18:$B$28,1)+1), INDEX($B$18:$B$28,MATCH($G$5,$B$18:$B$28,1)):INDEX($B$18:$B$28,MATCH($G$5,$B$18:$B$28,1)+1))</f>
        <v/>
      </c>
      <c r="G11" s="6">
        <f>FORECAST($G$4, INDEX(C11:F11,MATCH($G$4,$C$10:$F$10,1)):INDEX(C11:F11,MATCH($G$4,$C$10:$F$10,1)+1), INDEX($C$10:$F$10,MATCH($G$4,$C$10:$F$10,1)):INDEX($C$10:$F$10,MATCH($G$4,$C$10:$F$10,1)+1))</f>
        <v/>
      </c>
      <c r="I11" s="6" t="inlineStr">
        <is>
          <t>LGR</t>
        </is>
      </c>
      <c r="J11" s="6">
        <f>FORECAST($G$5, INDEX(J18:J28,MATCH($G$5,$B$18:$B$28,1)):INDEX(J18:J28,MATCH($G$5,$B$18:$B$28,1)+1), INDEX($B$18:$B$28,MATCH($G$5,$B$18:$B$28,1)):INDEX($B$18:$B$28,MATCH($G$5,$B$18:$B$28,1)+1))</f>
        <v/>
      </c>
      <c r="K11" s="6">
        <f>FORECAST($G$5, INDEX(K18:K28,MATCH($G$5,$B$18:$B$28,1)):INDEX(K18:K28,MATCH($G$5,$B$18:$B$28,1)+1), INDEX($B$18:$B$28,MATCH($G$5,$B$18:$B$28,1)):INDEX($B$18:$B$28,MATCH($G$5,$B$18:$B$28,1)+1))</f>
        <v/>
      </c>
      <c r="L11" s="6">
        <f>FORECAST($G$5, INDEX(L18:L28,MATCH($G$5,$B$18:$B$28,1)):INDEX(L18:L28,MATCH($G$5,$B$18:$B$28,1)+1), INDEX($B$18:$B$28,MATCH($G$5,$B$18:$B$28,1)):INDEX($B$18:$B$28,MATCH($G$5,$B$18:$B$28,1)+1))</f>
        <v/>
      </c>
      <c r="M11" s="6">
        <f>FORECAST($G$5, INDEX(M18:M28,MATCH($G$5,$B$18:$B$28,1)):INDEX(M18:M28,MATCH($G$5,$B$18:$B$28,1)+1), INDEX($B$18:$B$28,MATCH($G$5,$B$18:$B$28,1)):INDEX($B$18:$B$28,MATCH($G$5,$B$18:$B$28,1)+1))</f>
        <v/>
      </c>
      <c r="N11" s="6">
        <f>FORECAST($G$4, INDEX(J11:M11,MATCH($G$4,$C$10:$F$10,1)):INDEX(J11:M11,MATCH($G$4,$C$10:$F$10,1)+1), INDEX($C$10:$F$10,MATCH($G$4,$C$10:$F$10,1)):INDEX($C$10:$F$10,MATCH($G$4,$C$10:$F$10,1)+1))</f>
        <v/>
      </c>
    </row>
    <row r="12">
      <c r="B12" s="61" t="inlineStr">
        <is>
          <t>TODR</t>
        </is>
      </c>
      <c r="C12" s="6">
        <f>FORECAST($G$5, INDEX(C32:C42,MATCH($G$5,$B$32:$B$42,1)):INDEX(C32:C42,MATCH($G$5,$B$32:$B$42,1)+1), INDEX($B$32:$B$42,MATCH($G$5,$B$32:$B$42,1)):INDEX($B$32:$B$42,MATCH($G$5,$B$32:$B$42,1)+1))</f>
        <v/>
      </c>
      <c r="D12" s="6">
        <f>FORECAST($G$5, INDEX(D32:D42,MATCH($G$5,$B$32:$B$42,1)):INDEX(D32:D42,MATCH($G$5,$B$32:$B$42,1)+1), INDEX($B$32:$B$42,MATCH($G$5,$B$32:$B$42,1)):INDEX($B$32:$B$42,MATCH($G$5,$B$32:$B$42,1)+1))</f>
        <v/>
      </c>
      <c r="E12" s="60">
        <f>FORECAST($G$5, INDEX(E32:E42,MATCH($G$5,$B$32:$B$42,1)):INDEX(E32:E42,MATCH($G$5,$B$32:$B$42,1)+1), INDEX($B$32:$B$42,MATCH($G$5,$B$32:$B$42,1)):INDEX($B$32:$B$42,MATCH($G$5,$B$32:$B$42,1)+1))</f>
        <v/>
      </c>
      <c r="F12" s="6">
        <f>FORECAST($G$5, INDEX(F32:F42,MATCH($G$5,$B$32:$B$42,1)):INDEX(F32:F42,MATCH($G$5,$B$32:$B$42,1)+1), INDEX($B$32:$B$42,MATCH($G$5,$B$32:$B$42,1)):INDEX($B$32:$B$42,MATCH($G$5,$B$32:$B$42,1)+1))</f>
        <v/>
      </c>
      <c r="G12" s="6">
        <f>FORECAST($G$4, INDEX(C12:F12,MATCH($G$4,$C$10:$F$10,1)):INDEX(C12:F12,MATCH($G$4,$C$10:$F$10,1)+1), INDEX($C$10:$F$10,MATCH($G$4,$C$10:$F$10,1)):INDEX($C$10:$F$10,MATCH($G$4,$C$10:$F$10,1)+1))</f>
        <v/>
      </c>
      <c r="I12" s="6" t="inlineStr">
        <is>
          <t>LDR</t>
        </is>
      </c>
      <c r="J12" s="6">
        <f>FORECAST($G$5, INDEX(J32:J42,MATCH($G$5,$B$32:$B$42,1)):INDEX(J32:J42,MATCH($G$5,$B$32:$B$42,1)+1), INDEX($B$32:$B$42,MATCH($G$5,$B$32:$B$42,1)):INDEX($B$32:$B$42,MATCH($G$5,$B$32:$B$42,1)+1))</f>
        <v/>
      </c>
      <c r="K12" s="6">
        <f>FORECAST($G$5, INDEX(K32:K42,MATCH($G$5,$B$32:$B$42,1)):INDEX(K32:K42,MATCH($G$5,$B$32:$B$42,1)+1), INDEX($B$32:$B$42,MATCH($G$5,$B$32:$B$42,1)):INDEX($B$32:$B$42,MATCH($G$5,$B$32:$B$42,1)+1))</f>
        <v/>
      </c>
      <c r="L12" s="6">
        <f>FORECAST($G$5, INDEX(L32:L42,MATCH($G$5,$B$32:$B$42,1)):INDEX(L32:L42,MATCH($G$5,$B$32:$B$42,1)+1), INDEX($B$32:$B$42,MATCH($G$5,$B$32:$B$42,1)):INDEX($B$32:$B$42,MATCH($G$5,$B$32:$B$42,1)+1))</f>
        <v/>
      </c>
      <c r="M12" s="6">
        <f>FORECAST($G$5, INDEX(M32:M42,MATCH($G$5,$B$32:$B$42,1)):INDEX(M32:M42,MATCH($G$5,$B$32:$B$42,1)+1), INDEX($B$32:$B$42,MATCH($G$5,$B$32:$B$42,1)):INDEX($B$32:$B$42,MATCH($G$5,$B$32:$B$42,1)+1))</f>
        <v/>
      </c>
      <c r="N12" s="6">
        <f>FORECAST($G$4, INDEX(J12:M12,MATCH($G$4,$C$10:$F$10,1)):INDEX(J12:M12,MATCH($G$4,$C$10:$F$10,1)+1), INDEX($C$10:$F$10,MATCH($G$4,$C$10:$F$10,1)):INDEX($C$10:$F$10,MATCH($G$4,$C$10:$F$10,1)+1))</f>
        <v/>
      </c>
    </row>
    <row r="13">
      <c r="B13" s="61" t="inlineStr">
        <is>
          <t>ROC</t>
        </is>
      </c>
      <c r="C13" s="6">
        <f>FORECAST($G$5, INDEX(C46:C53,MATCH($G$5,$B$46:$B$53,1)):INDEX(C46:C53,MATCH($G$5,$B$46:$B$53,1)+1), INDEX($B$46:$B$53,MATCH($G$5,$B$46:$B$53,1)):INDEX($B$46:$B$53,MATCH($G$5,$B$46:$B$53,1)+1))</f>
        <v/>
      </c>
      <c r="D13" s="6">
        <f>FORECAST($G$5, INDEX(D46:D53,MATCH($G$5,$B$46:$B$53,1)):INDEX(D46:D53,MATCH($G$5,$B$46:$B$53,1)+1), INDEX($B$46:$B$53,MATCH($G$5,$B$46:$B$53,1)):INDEX($B$46:$B$53,MATCH($G$5,$B$46:$B$53,1)+1))</f>
        <v/>
      </c>
      <c r="E13" s="60">
        <f>FORECAST($G$5, INDEX(E46:E53,MATCH($G$5,$B$46:$B$53,1)):INDEX(E46:E53,MATCH($G$5,$B$46:$B$53,1)+1), INDEX($B$46:$B$53,MATCH($G$5,$B$46:$B$53,1)):INDEX($B$46:$B$53,MATCH($G$5,$B$46:$B$53,1)+1))</f>
        <v/>
      </c>
      <c r="F13" s="6">
        <f>FORECAST($G$5, INDEX(F46:F53,MATCH($G$5,$B$46:$B$53,1)):INDEX(F46:F53,MATCH($G$5,$B$46:$B$53,1)+1), INDEX($B$46:$B$53,MATCH($G$5,$B$46:$B$53,1)):INDEX($B$46:$B$53,MATCH($G$5,$B$46:$B$53,1)+1))</f>
        <v/>
      </c>
      <c r="G13" s="6">
        <f>FORECAST($G$4, INDEX(C13:F13,MATCH($G$4,$C$10:$F$10,1)):INDEX(C13:F13,MATCH($G$4,$C$10:$F$10,1)+1), INDEX($C$10:$F$10,MATCH($G$4,$C$10:$F$10,1)):INDEX($C$10:$F$10,MATCH($G$4,$C$10:$F$10,1)+1))</f>
        <v/>
      </c>
      <c r="I13" s="6" t="inlineStr">
        <is>
          <t>Balked ROC</t>
        </is>
      </c>
      <c r="J13" s="6">
        <f>FORECAST($G$5, INDEX(J46:J53,MATCH($G$5,$I$46:$I$53,1)):INDEX(J46:J53,MATCH($G$5,$I$46:$I$53,1)+1), INDEX($I$46:$I$53,MATCH($G$5,$I$46:$I$53,1)):INDEX($I$46:$I$53,MATCH($G$5,$I$46:$I$53,1)+1))</f>
        <v/>
      </c>
      <c r="K13" s="6">
        <f>FORECAST($G$5, INDEX(K46:K53,MATCH($G$5,$I$46:$I$53,1)):INDEX(K46:K53,MATCH($G$5,$I$46:$I$53,1)+1), INDEX($I$46:$I$53,MATCH($G$5,$I$46:$I$53,1)):INDEX($I$46:$I$53,MATCH($G$5,$I$46:$I$53,1)+1))</f>
        <v/>
      </c>
      <c r="L13" s="6">
        <f>FORECAST($G$5, INDEX(L46:L53,MATCH($G$5,$I$46:$I$53,1)):INDEX(L46:L53,MATCH($G$5,$I$46:$I$53,1)+1), INDEX($I$46:$I$53,MATCH($G$5,$I$46:$I$53,1)):INDEX($I$46:$I$53,MATCH($G$5,$I$46:$I$53,1)+1))</f>
        <v/>
      </c>
      <c r="M13" s="6">
        <f>FORECAST($G$5, INDEX(M46:M53,MATCH($G$5,$I$46:$I$53,1)):INDEX(M46:M53,MATCH($G$5,$I$46:$I$53,1)+1), INDEX($I$46:$I$53,MATCH($G$5,$I$46:$I$53,1)):INDEX($I$46:$I$53,MATCH($G$5,$I$46:$I$53,1)+1))</f>
        <v/>
      </c>
      <c r="N13" s="6">
        <f>FORECAST($G$4, INDEX(J13:M13,MATCH($G$4,$C$10:$F$10,1)):INDEX(J13:M13,MATCH($G$4,$C$10:$F$10,1)+1), INDEX($C$10:$F$10,MATCH($G$4,$C$10:$F$10,1)):INDEX($C$10:$F$10,MATCH($G$4,$C$10:$F$10,1)+1))</f>
        <v/>
      </c>
    </row>
    <row r="14">
      <c r="I14" s="6" t="inlineStr">
        <is>
          <t>Cruise</t>
        </is>
      </c>
      <c r="J14" s="6">
        <f>FORECAST(Performance!$C$13, INDEX(J59:J66,MATCH(Performance!$C$13,$I$59:$I$66,1)):INDEX(J59:J66,MATCH(Performance!$C$13,$I$59:$I$66,1)+1), INDEX($I$59:$I$66,MATCH(Performance!$C$13,$I$59:$I$66,1)):INDEX($I$59:$I$66,MATCH(Performance!$C$13,$I$59:$I$66,1)+1))</f>
        <v/>
      </c>
      <c r="K14" s="6">
        <f>FORECAST(Performance!$C$13, INDEX(K59:K66,MATCH(Performance!$C$13,$I$59:$I$66,1)):INDEX(K59:K66,MATCH(Performance!$C$13,$I$59:$I$66,1)+1), INDEX($I$59:$I$66,MATCH(Performance!$C$13,$I$59:$I$66,1)):INDEX($I$59:$I$66,MATCH(Performance!$C$13,$I$59:$I$66,1)+1))</f>
        <v/>
      </c>
      <c r="L14" s="6">
        <f>FORECAST(Performance!$C$13, INDEX(L59:L66,MATCH(Performance!$C$13,$I$59:$I$66,1)):INDEX(L59:L66,MATCH(Performance!$C$13,$I$59:$I$66,1)+1), INDEX($I$59:$I$66,MATCH(Performance!$C$13,$I$59:$I$66,1)):INDEX($I$59:$I$66,MATCH(Performance!$C$13,$I$59:$I$66,1)+1))</f>
        <v/>
      </c>
      <c r="M14" s="6">
        <f>FORECAST(Performance!$C$13, INDEX(M59:M66,MATCH(Performance!$C$13,$I$59:$I$66,1)):INDEX(M59:M66,MATCH(Performance!$C$13,$I$59:$I$66,1)+1), INDEX($I$59:$I$66,MATCH(Performance!$C$13,$I$59:$I$66,1)):INDEX($I$59:$I$66,MATCH(Performance!$C$13,$I$59:$I$66,1)+1))</f>
        <v/>
      </c>
      <c r="N14" s="6">
        <f>FORECAST($G$4, INDEX(J14:M14,MATCH($G$4,$C$10:$F$10,1)):INDEX(J14:M14,MATCH($G$4,$C$10:$F$10,1)+1), INDEX($C$10:$F$10,MATCH($G$4,$C$10:$F$10,1)):INDEX($C$10:$F$10,MATCH($G$4,$C$10:$F$10,1)+1))</f>
        <v/>
      </c>
    </row>
    <row r="16">
      <c r="B16" s="143" t="inlineStr">
        <is>
          <t>GR</t>
        </is>
      </c>
      <c r="C16" s="179" t="n"/>
      <c r="D16" s="179" t="n"/>
      <c r="E16" s="179" t="n"/>
      <c r="F16" s="182" t="n"/>
      <c r="I16" s="62" t="inlineStr">
        <is>
          <t>GR</t>
        </is>
      </c>
      <c r="J16" s="62" t="n"/>
      <c r="K16" s="62" t="n"/>
      <c r="L16" s="62" t="n"/>
      <c r="M16" s="62" t="n"/>
    </row>
    <row r="17">
      <c r="B17" s="6" t="n"/>
      <c r="C17" s="6" t="n">
        <v>-25</v>
      </c>
      <c r="D17" s="6" t="n">
        <v>0</v>
      </c>
      <c r="E17" s="6" t="n">
        <v>25</v>
      </c>
      <c r="F17" s="6" t="n">
        <v>50</v>
      </c>
      <c r="I17" s="6" t="inlineStr">
        <is>
          <t>Alt</t>
        </is>
      </c>
      <c r="J17" s="6" t="n">
        <v>-25</v>
      </c>
      <c r="K17" s="6" t="n">
        <v>0</v>
      </c>
      <c r="L17" s="6" t="n">
        <v>25</v>
      </c>
      <c r="M17" s="6" t="n">
        <v>50</v>
      </c>
    </row>
    <row r="18">
      <c r="B18" s="61" t="n">
        <v>0</v>
      </c>
      <c r="C18" s="6" t="n">
        <v>154</v>
      </c>
      <c r="D18" s="6" t="n">
        <v>203</v>
      </c>
      <c r="E18" s="6" t="n">
        <v>262</v>
      </c>
      <c r="F18" s="6" t="n">
        <v>331</v>
      </c>
      <c r="I18" s="61" t="n">
        <v>0</v>
      </c>
      <c r="J18" s="6" t="n">
        <v>141</v>
      </c>
      <c r="K18" s="6" t="n">
        <v>155</v>
      </c>
      <c r="L18" s="6" t="n">
        <v>170</v>
      </c>
      <c r="M18" s="6" t="n">
        <v>184</v>
      </c>
    </row>
    <row r="19">
      <c r="B19" s="61" t="n">
        <v>1000</v>
      </c>
      <c r="C19" s="6" t="n">
        <v>169</v>
      </c>
      <c r="D19" s="6" t="n">
        <v>223</v>
      </c>
      <c r="E19" s="6" t="n">
        <v>287</v>
      </c>
      <c r="F19" s="6" t="n">
        <v>364</v>
      </c>
      <c r="I19" s="61" t="n">
        <v>1000</v>
      </c>
      <c r="J19" s="6" t="n">
        <v>146</v>
      </c>
      <c r="K19" s="6" t="n">
        <v>161</v>
      </c>
      <c r="L19" s="6" t="n">
        <v>176</v>
      </c>
      <c r="M19" s="6" t="n">
        <v>191</v>
      </c>
    </row>
    <row r="20">
      <c r="B20" s="61" t="n">
        <v>2000</v>
      </c>
      <c r="C20" s="6" t="n">
        <v>186</v>
      </c>
      <c r="D20" s="6" t="n">
        <v>245</v>
      </c>
      <c r="E20" s="6" t="n">
        <v>316</v>
      </c>
      <c r="F20" s="6" t="n">
        <v>401</v>
      </c>
      <c r="I20" s="61" t="n">
        <v>2000</v>
      </c>
      <c r="J20" s="6" t="n">
        <v>152</v>
      </c>
      <c r="K20" s="6" t="n">
        <v>167</v>
      </c>
      <c r="L20" s="6" t="n">
        <v>183</v>
      </c>
      <c r="M20" s="6" t="n">
        <v>198</v>
      </c>
    </row>
    <row r="21">
      <c r="B21" s="61" t="n">
        <v>3000</v>
      </c>
      <c r="C21" s="6" t="n">
        <v>204</v>
      </c>
      <c r="D21" s="6" t="n">
        <v>269</v>
      </c>
      <c r="E21" s="6" t="n">
        <v>348</v>
      </c>
      <c r="F21" s="6" t="n">
        <v>442</v>
      </c>
      <c r="I21" s="61" t="n">
        <v>3000</v>
      </c>
      <c r="J21" s="6" t="n">
        <v>158</v>
      </c>
      <c r="K21" s="6" t="n">
        <v>173</v>
      </c>
      <c r="L21" s="6" t="n">
        <v>189</v>
      </c>
      <c r="M21" s="6" t="n">
        <v>205</v>
      </c>
    </row>
    <row r="22">
      <c r="B22" s="61" t="n">
        <v>4000</v>
      </c>
      <c r="C22" s="6" t="n">
        <v>225</v>
      </c>
      <c r="D22" s="6" t="n">
        <v>296</v>
      </c>
      <c r="E22" s="6" t="n">
        <v>383</v>
      </c>
      <c r="F22" s="6" t="n">
        <v>487</v>
      </c>
      <c r="I22" s="61" t="n">
        <v>4000</v>
      </c>
      <c r="J22" s="6" t="n">
        <v>164</v>
      </c>
      <c r="K22" s="6" t="n">
        <v>180</v>
      </c>
      <c r="L22" s="6" t="n">
        <v>196</v>
      </c>
      <c r="M22" s="6" t="n">
        <v>213</v>
      </c>
    </row>
    <row r="23">
      <c r="B23" s="61" t="n">
        <v>5000</v>
      </c>
      <c r="C23" s="6" t="n">
        <v>247</v>
      </c>
      <c r="D23" s="6" t="n">
        <v>327</v>
      </c>
      <c r="E23" s="6" t="n">
        <v>423</v>
      </c>
      <c r="F23" s="6" t="n">
        <v>538</v>
      </c>
      <c r="I23" s="61" t="n">
        <v>5000</v>
      </c>
      <c r="J23" s="6" t="n">
        <v>170</v>
      </c>
      <c r="K23" s="6" t="n">
        <v>187</v>
      </c>
      <c r="L23" s="6" t="n">
        <v>204</v>
      </c>
      <c r="M23" s="6" t="n">
        <v>221</v>
      </c>
    </row>
    <row r="24">
      <c r="B24" s="61" t="n">
        <v>6000</v>
      </c>
      <c r="C24" s="6" t="n">
        <v>272</v>
      </c>
      <c r="D24" s="6" t="n">
        <v>360</v>
      </c>
      <c r="E24" s="6" t="n">
        <v>466</v>
      </c>
      <c r="F24" s="6" t="n">
        <v>594</v>
      </c>
      <c r="I24" s="61" t="n">
        <v>6000</v>
      </c>
      <c r="J24" s="6" t="n">
        <v>176</v>
      </c>
      <c r="K24" s="6" t="n">
        <v>194</v>
      </c>
      <c r="L24" s="6" t="n">
        <v>212</v>
      </c>
      <c r="M24" s="6" t="n">
        <v>230</v>
      </c>
    </row>
    <row r="25">
      <c r="B25" s="61" t="n">
        <v>7000</v>
      </c>
      <c r="C25" s="6" t="n">
        <v>300</v>
      </c>
      <c r="D25" s="6" t="n">
        <v>397</v>
      </c>
      <c r="E25" s="6" t="n">
        <v>515</v>
      </c>
      <c r="F25" s="6" t="n">
        <v>657</v>
      </c>
      <c r="I25" s="61" t="n">
        <v>7000</v>
      </c>
      <c r="J25" s="6" t="n">
        <v>183</v>
      </c>
      <c r="K25" s="6" t="n">
        <v>201</v>
      </c>
      <c r="L25" s="6" t="n">
        <v>220</v>
      </c>
      <c r="M25" s="6" t="n">
        <v>238</v>
      </c>
    </row>
    <row r="26">
      <c r="B26" s="61" t="n">
        <v>8000</v>
      </c>
      <c r="C26" s="6" t="n">
        <v>331</v>
      </c>
      <c r="D26" s="6" t="n">
        <v>439</v>
      </c>
      <c r="E26" s="6" t="n">
        <v>570</v>
      </c>
      <c r="F26" s="6" t="n">
        <v>727</v>
      </c>
      <c r="I26" s="61" t="n">
        <v>8000</v>
      </c>
      <c r="J26" s="6" t="n">
        <v>190</v>
      </c>
      <c r="K26" s="6" t="n">
        <v>209</v>
      </c>
      <c r="L26" s="6" t="n">
        <v>228</v>
      </c>
      <c r="M26" s="6" t="n">
        <v>248</v>
      </c>
    </row>
    <row r="27">
      <c r="B27" s="61" t="n">
        <v>9000</v>
      </c>
      <c r="C27" s="6" t="n">
        <v>366</v>
      </c>
      <c r="D27" s="6" t="n">
        <v>486</v>
      </c>
      <c r="E27" s="6" t="n">
        <v>631</v>
      </c>
      <c r="F27" s="6" t="n">
        <v>806</v>
      </c>
      <c r="I27" s="61" t="n">
        <v>9000</v>
      </c>
      <c r="J27" s="6" t="n">
        <v>198</v>
      </c>
      <c r="K27" s="6" t="n">
        <v>217</v>
      </c>
      <c r="L27" s="6" t="n">
        <v>237</v>
      </c>
      <c r="M27" s="6" t="n">
        <v>257</v>
      </c>
    </row>
    <row r="28">
      <c r="B28" s="61" t="n">
        <v>10000</v>
      </c>
      <c r="C28" s="6" t="n">
        <v>405</v>
      </c>
      <c r="D28" s="6" t="n">
        <v>538</v>
      </c>
      <c r="E28" s="6" t="n">
        <v>700</v>
      </c>
      <c r="F28" s="6" t="n">
        <v>895</v>
      </c>
      <c r="I28" s="61" t="n">
        <v>10000</v>
      </c>
      <c r="J28" s="6" t="n">
        <v>205</v>
      </c>
      <c r="K28" s="6" t="n">
        <v>226</v>
      </c>
      <c r="L28" s="6" t="n">
        <v>247</v>
      </c>
      <c r="M28" s="6" t="n">
        <v>267</v>
      </c>
    </row>
    <row r="30">
      <c r="B30" s="143" t="inlineStr">
        <is>
          <t>LD</t>
        </is>
      </c>
      <c r="C30" s="179" t="n"/>
      <c r="D30" s="179" t="n"/>
      <c r="E30" s="179" t="n"/>
      <c r="F30" s="182" t="n"/>
      <c r="I30" s="62" t="inlineStr">
        <is>
          <t>LD</t>
        </is>
      </c>
      <c r="J30" s="62" t="n"/>
      <c r="K30" s="62" t="n"/>
      <c r="L30" s="62" t="n"/>
      <c r="M30" s="62" t="n"/>
    </row>
    <row r="31">
      <c r="B31" s="6" t="inlineStr">
        <is>
          <t>Alt</t>
        </is>
      </c>
      <c r="C31" s="6" t="n">
        <v>-25</v>
      </c>
      <c r="D31" s="6" t="n">
        <v>0</v>
      </c>
      <c r="E31" s="6" t="n">
        <v>25</v>
      </c>
      <c r="F31" s="6" t="n">
        <v>50</v>
      </c>
      <c r="I31" s="6" t="inlineStr">
        <is>
          <t>Alt</t>
        </is>
      </c>
      <c r="J31" s="6" t="n">
        <v>-25</v>
      </c>
      <c r="K31" s="6" t="n">
        <v>0</v>
      </c>
      <c r="L31" s="6" t="n">
        <v>25</v>
      </c>
      <c r="M31" s="6" t="n">
        <v>50</v>
      </c>
    </row>
    <row r="32">
      <c r="B32" s="61" t="n">
        <v>0</v>
      </c>
      <c r="C32" s="6" t="n">
        <v>252</v>
      </c>
      <c r="D32" s="6" t="n">
        <v>335</v>
      </c>
      <c r="E32" s="6" t="n">
        <v>434</v>
      </c>
      <c r="F32" s="6" t="n">
        <v>553</v>
      </c>
      <c r="I32" s="61" t="n">
        <v>0</v>
      </c>
      <c r="J32" s="6" t="n">
        <v>277</v>
      </c>
      <c r="K32" s="6" t="n">
        <v>305</v>
      </c>
      <c r="L32" s="6" t="n">
        <v>333</v>
      </c>
      <c r="M32" s="6" t="n">
        <v>361</v>
      </c>
    </row>
    <row r="33">
      <c r="B33" s="61" t="n">
        <v>1000</v>
      </c>
      <c r="C33" s="6" t="n">
        <v>277</v>
      </c>
      <c r="D33" s="6" t="n">
        <v>368</v>
      </c>
      <c r="E33" s="6" t="n">
        <v>478</v>
      </c>
      <c r="F33" s="6" t="n">
        <v>610</v>
      </c>
      <c r="I33" s="61" t="n">
        <v>1000</v>
      </c>
      <c r="J33" s="6" t="n">
        <v>288</v>
      </c>
      <c r="K33" s="6" t="n">
        <v>317</v>
      </c>
      <c r="L33" s="6" t="n">
        <v>345</v>
      </c>
      <c r="M33" s="6" t="n">
        <v>374</v>
      </c>
    </row>
    <row r="34">
      <c r="B34" s="61" t="n">
        <v>2000</v>
      </c>
      <c r="C34" s="6" t="n">
        <v>305</v>
      </c>
      <c r="D34" s="6" t="n">
        <v>405</v>
      </c>
      <c r="E34" s="6" t="n">
        <v>526</v>
      </c>
      <c r="F34" s="6" t="n">
        <v>672</v>
      </c>
      <c r="I34" s="61" t="n">
        <v>2000</v>
      </c>
      <c r="J34" s="6" t="n">
        <v>298</v>
      </c>
      <c r="K34" s="6" t="n">
        <v>328</v>
      </c>
      <c r="L34" s="6" t="n">
        <v>358</v>
      </c>
      <c r="M34" s="6" t="n">
        <v>388</v>
      </c>
    </row>
    <row r="35">
      <c r="B35" s="61" t="n">
        <v>3000</v>
      </c>
      <c r="C35" s="6" t="n">
        <v>336</v>
      </c>
      <c r="D35" s="6" t="n">
        <v>446</v>
      </c>
      <c r="E35" s="6" t="n">
        <v>580</v>
      </c>
      <c r="F35" s="6" t="n">
        <v>742</v>
      </c>
      <c r="I35" s="61" t="n">
        <v>3000</v>
      </c>
      <c r="J35" s="6" t="n">
        <v>309</v>
      </c>
      <c r="K35" s="6" t="n">
        <v>341</v>
      </c>
      <c r="L35" s="6" t="n">
        <v>372</v>
      </c>
      <c r="M35" s="6" t="n">
        <v>403</v>
      </c>
    </row>
    <row r="36">
      <c r="B36" s="61" t="n">
        <v>4000</v>
      </c>
      <c r="C36" s="6" t="n">
        <v>370</v>
      </c>
      <c r="D36" s="6" t="n">
        <v>492</v>
      </c>
      <c r="E36" s="6" t="n">
        <v>641</v>
      </c>
      <c r="F36" s="6" t="n">
        <v>820</v>
      </c>
      <c r="I36" s="61" t="n">
        <v>4000</v>
      </c>
      <c r="J36" s="6" t="n">
        <v>321</v>
      </c>
      <c r="K36" s="6" t="n">
        <v>353</v>
      </c>
      <c r="L36" s="6" t="n">
        <v>386</v>
      </c>
      <c r="M36" s="6" t="n">
        <v>418</v>
      </c>
    </row>
    <row r="37">
      <c r="B37" s="61" t="n">
        <v>5000</v>
      </c>
      <c r="C37" s="6" t="n">
        <v>408</v>
      </c>
      <c r="D37" s="6" t="n">
        <v>543</v>
      </c>
      <c r="E37" s="6" t="n">
        <v>708</v>
      </c>
      <c r="F37" s="6" t="n">
        <v>907</v>
      </c>
      <c r="I37" s="61" t="n">
        <v>5000</v>
      </c>
      <c r="J37" s="6" t="n">
        <v>333</v>
      </c>
      <c r="K37" s="6" t="n">
        <v>367</v>
      </c>
      <c r="L37" s="6" t="n">
        <v>400</v>
      </c>
      <c r="M37" s="6" t="n">
        <v>434</v>
      </c>
    </row>
    <row r="38">
      <c r="B38" s="61" t="n">
        <v>6000</v>
      </c>
      <c r="C38" s="6" t="n">
        <v>450</v>
      </c>
      <c r="D38" s="6" t="n">
        <v>600</v>
      </c>
      <c r="E38" s="6" t="n">
        <v>783</v>
      </c>
      <c r="F38" s="6" t="n">
        <v>1005</v>
      </c>
      <c r="I38" s="61" t="n">
        <v>6000</v>
      </c>
      <c r="J38" s="6" t="n">
        <v>346</v>
      </c>
      <c r="K38" s="6" t="n">
        <v>381</v>
      </c>
      <c r="L38" s="6" t="n">
        <v>416</v>
      </c>
      <c r="M38" s="6" t="n">
        <v>451</v>
      </c>
    </row>
    <row r="39">
      <c r="B39" s="61" t="n">
        <v>7000</v>
      </c>
      <c r="C39" s="6" t="n">
        <v>498</v>
      </c>
      <c r="D39" s="6" t="n">
        <v>664</v>
      </c>
      <c r="E39" s="6" t="n">
        <v>867</v>
      </c>
      <c r="F39" s="6" t="n">
        <v>1114</v>
      </c>
      <c r="I39" s="61" t="n">
        <v>7000</v>
      </c>
      <c r="J39" s="6" t="n">
        <v>359</v>
      </c>
      <c r="K39" s="6" t="n">
        <v>396</v>
      </c>
      <c r="L39" s="6" t="n">
        <v>432</v>
      </c>
      <c r="M39" s="6" t="n">
        <v>468</v>
      </c>
    </row>
    <row r="40">
      <c r="B40" s="61" t="n">
        <v>8000</v>
      </c>
      <c r="C40" s="6" t="n">
        <v>551</v>
      </c>
      <c r="D40" s="6" t="n">
        <v>735</v>
      </c>
      <c r="E40" s="6" t="n">
        <v>962</v>
      </c>
      <c r="F40" s="6" t="n">
        <v>1236</v>
      </c>
      <c r="I40" s="61" t="n">
        <v>8000</v>
      </c>
      <c r="J40" s="6" t="n">
        <v>373</v>
      </c>
      <c r="K40" s="6" t="n">
        <v>411</v>
      </c>
      <c r="L40" s="6" t="n">
        <v>449</v>
      </c>
      <c r="M40" s="6" t="n">
        <v>486</v>
      </c>
    </row>
    <row r="41">
      <c r="B41" s="61" t="n">
        <v>9000</v>
      </c>
      <c r="C41" s="6" t="n">
        <v>610</v>
      </c>
      <c r="D41" s="6" t="n">
        <v>815</v>
      </c>
      <c r="E41" s="6" t="n">
        <v>1068</v>
      </c>
      <c r="F41" s="6" t="n">
        <v>1374</v>
      </c>
      <c r="I41" s="61" t="n">
        <v>9000</v>
      </c>
      <c r="J41" s="6" t="n">
        <v>388</v>
      </c>
      <c r="K41" s="6" t="n">
        <v>427</v>
      </c>
      <c r="L41" s="6" t="n">
        <v>466</v>
      </c>
      <c r="M41" s="6" t="n">
        <v>505</v>
      </c>
    </row>
    <row r="42">
      <c r="B42" s="61" t="n">
        <v>10000</v>
      </c>
      <c r="C42" s="6" t="n">
        <v>676</v>
      </c>
      <c r="D42" s="6" t="n">
        <v>905</v>
      </c>
      <c r="E42" s="6" t="n">
        <v>1186</v>
      </c>
      <c r="F42" s="6" t="n">
        <v>1529</v>
      </c>
      <c r="I42" s="61" t="n">
        <v>10000</v>
      </c>
      <c r="J42" s="6" t="n">
        <v>403</v>
      </c>
      <c r="K42" s="6" t="n">
        <v>444</v>
      </c>
      <c r="L42" s="6" t="n">
        <v>484</v>
      </c>
      <c r="M42" s="6" t="n">
        <v>525</v>
      </c>
    </row>
    <row r="44">
      <c r="B44" s="143" t="inlineStr">
        <is>
          <t>ROC</t>
        </is>
      </c>
      <c r="C44" s="179" t="n"/>
      <c r="D44" s="179" t="n"/>
      <c r="E44" s="179" t="n"/>
      <c r="F44" s="182" t="n"/>
      <c r="I44" s="62" t="inlineStr">
        <is>
          <t>Balked</t>
        </is>
      </c>
      <c r="J44" s="62" t="n"/>
      <c r="K44" s="62" t="n"/>
      <c r="L44" s="62" t="n"/>
      <c r="M44" s="62" t="n"/>
    </row>
    <row r="45">
      <c r="B45" s="6" t="inlineStr">
        <is>
          <t>[ft]</t>
        </is>
      </c>
      <c r="C45" s="6" t="n">
        <v>-25</v>
      </c>
      <c r="D45" s="6" t="n">
        <v>0</v>
      </c>
      <c r="E45" s="6" t="n">
        <v>25</v>
      </c>
      <c r="F45" s="6" t="n">
        <v>50</v>
      </c>
      <c r="I45" s="6" t="inlineStr">
        <is>
          <t>[ft]</t>
        </is>
      </c>
      <c r="J45" s="6" t="n">
        <v>-25</v>
      </c>
      <c r="K45" s="6" t="n">
        <v>0</v>
      </c>
      <c r="L45" s="6" t="n">
        <v>25</v>
      </c>
      <c r="M45" s="6" t="n">
        <v>50</v>
      </c>
    </row>
    <row r="46">
      <c r="B46" s="6" t="n">
        <v>0</v>
      </c>
      <c r="C46" s="6" t="n">
        <v>1116</v>
      </c>
      <c r="D46" s="6" t="n">
        <v>879</v>
      </c>
      <c r="E46" s="6" t="n">
        <v>668</v>
      </c>
      <c r="F46" s="6" t="n">
        <v>478</v>
      </c>
      <c r="I46" s="61" t="n">
        <v>0</v>
      </c>
      <c r="J46" s="6" t="n">
        <v>617</v>
      </c>
      <c r="K46" s="6" t="n">
        <v>489</v>
      </c>
      <c r="L46" s="6" t="n">
        <v>374</v>
      </c>
      <c r="M46" s="6" t="n">
        <v>271</v>
      </c>
    </row>
    <row r="47">
      <c r="B47" s="6" t="n">
        <v>2000</v>
      </c>
      <c r="C47" s="6" t="n">
        <v>936</v>
      </c>
      <c r="D47" s="6" t="n">
        <v>704</v>
      </c>
      <c r="E47" s="6" t="n">
        <v>496</v>
      </c>
      <c r="F47" s="6" t="n">
        <v>309</v>
      </c>
      <c r="I47" s="61" t="n">
        <v>1000</v>
      </c>
      <c r="J47" s="6" t="n">
        <v>568</v>
      </c>
      <c r="K47" s="6" t="n">
        <v>441</v>
      </c>
      <c r="L47" s="6" t="n">
        <v>328</v>
      </c>
      <c r="M47" s="6" t="n">
        <v>225</v>
      </c>
    </row>
    <row r="48">
      <c r="B48" s="6" t="n">
        <v>4000</v>
      </c>
      <c r="C48" s="6" t="n">
        <v>757</v>
      </c>
      <c r="D48" s="6" t="n">
        <v>529</v>
      </c>
      <c r="E48" s="6" t="n">
        <v>325</v>
      </c>
      <c r="F48" s="6" t="n">
        <v>141</v>
      </c>
      <c r="I48" s="61" t="n">
        <v>2000</v>
      </c>
      <c r="J48" s="6" t="n">
        <v>519</v>
      </c>
      <c r="K48" s="6" t="n">
        <v>393</v>
      </c>
      <c r="L48" s="6" t="n">
        <v>281</v>
      </c>
      <c r="M48" s="6" t="n">
        <v>180</v>
      </c>
    </row>
    <row r="49">
      <c r="B49" s="6" t="n">
        <v>6000</v>
      </c>
      <c r="C49" s="6" t="n">
        <v>578</v>
      </c>
      <c r="D49" s="6" t="n">
        <v>354</v>
      </c>
      <c r="E49" s="6" t="n">
        <v>154</v>
      </c>
      <c r="F49" s="6" t="n">
        <v>-27</v>
      </c>
      <c r="I49" s="61" t="n">
        <v>3000</v>
      </c>
      <c r="J49" s="6" t="n">
        <v>471</v>
      </c>
      <c r="K49" s="6" t="n">
        <v>346</v>
      </c>
      <c r="L49" s="6" t="n">
        <v>234</v>
      </c>
      <c r="M49" s="6" t="n">
        <v>134</v>
      </c>
    </row>
    <row r="50">
      <c r="B50" s="6" t="n">
        <v>8000</v>
      </c>
      <c r="C50" s="6" t="n">
        <v>400</v>
      </c>
      <c r="D50" s="6" t="n">
        <v>180</v>
      </c>
      <c r="E50" s="6" t="n">
        <v>-17</v>
      </c>
      <c r="F50" s="6" t="n">
        <v>-194</v>
      </c>
      <c r="I50" s="61" t="n">
        <v>4000</v>
      </c>
      <c r="J50" s="6" t="n">
        <v>422</v>
      </c>
      <c r="K50" s="6" t="n">
        <v>299</v>
      </c>
      <c r="L50" s="6" t="n">
        <v>188</v>
      </c>
      <c r="M50" s="6" t="n">
        <v>88</v>
      </c>
    </row>
    <row r="51">
      <c r="B51" s="6" t="n">
        <v>10000</v>
      </c>
      <c r="C51" s="6" t="n">
        <v>223</v>
      </c>
      <c r="D51" s="6" t="n">
        <v>7</v>
      </c>
      <c r="E51" s="6" t="n">
        <v>-187</v>
      </c>
      <c r="F51" s="6" t="n">
        <v>-361</v>
      </c>
      <c r="I51" s="61" t="n">
        <v>5000</v>
      </c>
      <c r="J51" s="6" t="n">
        <v>374</v>
      </c>
      <c r="K51" s="6" t="n">
        <v>251</v>
      </c>
      <c r="L51" s="6" t="n">
        <v>142</v>
      </c>
      <c r="M51" s="6" t="n">
        <v>43</v>
      </c>
    </row>
    <row r="52">
      <c r="B52" s="6" t="n">
        <v>12000</v>
      </c>
      <c r="C52" s="6" t="n">
        <v>46</v>
      </c>
      <c r="D52" s="6" t="n">
        <v>-166</v>
      </c>
      <c r="E52" s="6" t="n">
        <v>-356</v>
      </c>
      <c r="F52" s="6" t="n">
        <v>-527</v>
      </c>
      <c r="I52" s="61" t="n">
        <v>6000</v>
      </c>
      <c r="J52" s="6" t="n">
        <v>326</v>
      </c>
      <c r="K52" s="6" t="n">
        <v>204</v>
      </c>
      <c r="L52" s="6" t="n">
        <v>95</v>
      </c>
      <c r="M52" s="6" t="n">
        <v>-3</v>
      </c>
    </row>
    <row r="53">
      <c r="B53" s="6" t="n">
        <v>14000</v>
      </c>
      <c r="C53" s="6" t="n">
        <v>-130</v>
      </c>
      <c r="D53" s="6" t="n">
        <v>-338</v>
      </c>
      <c r="E53" s="6" t="n">
        <v>-525</v>
      </c>
      <c r="F53" s="6" t="n">
        <v>-693</v>
      </c>
      <c r="I53" s="61" t="n">
        <v>7000</v>
      </c>
      <c r="J53" s="6" t="n">
        <v>277</v>
      </c>
      <c r="K53" s="6" t="n">
        <v>157</v>
      </c>
      <c r="L53" s="6" t="n">
        <v>49</v>
      </c>
      <c r="M53" s="6" t="n">
        <v>-48</v>
      </c>
    </row>
    <row r="55">
      <c r="I55" s="132" t="n"/>
      <c r="J55" s="132" t="n"/>
      <c r="K55" s="132" t="inlineStr">
        <is>
          <t>CRUISE</t>
        </is>
      </c>
      <c r="L55" s="132" t="n"/>
      <c r="M55" s="132" t="n"/>
      <c r="N55" s="132" t="n"/>
    </row>
    <row r="57">
      <c r="I57" s="62" t="inlineStr">
        <is>
          <t>ROC</t>
        </is>
      </c>
      <c r="J57" s="62" t="n"/>
      <c r="K57" s="62" t="n"/>
      <c r="L57" s="62" t="n"/>
      <c r="M57" s="62" t="n"/>
    </row>
    <row r="58">
      <c r="I58" s="6" t="inlineStr">
        <is>
          <t>Alt</t>
        </is>
      </c>
      <c r="J58" s="6" t="n">
        <v>-25</v>
      </c>
      <c r="K58" s="6" t="n">
        <v>0</v>
      </c>
      <c r="L58" s="6" t="n">
        <v>25</v>
      </c>
      <c r="M58" s="6" t="n">
        <v>50</v>
      </c>
    </row>
    <row r="59">
      <c r="I59" s="61" t="n">
        <v>0</v>
      </c>
      <c r="J59" s="6" t="n">
        <v>1240</v>
      </c>
      <c r="K59" s="6" t="n">
        <v>1003</v>
      </c>
      <c r="L59" s="6" t="n">
        <v>792</v>
      </c>
      <c r="M59" s="6" t="n">
        <v>602</v>
      </c>
    </row>
    <row r="60">
      <c r="I60" s="61" t="n">
        <v>2000</v>
      </c>
      <c r="J60" s="6" t="n">
        <v>1060</v>
      </c>
      <c r="K60" s="6" t="n">
        <v>828</v>
      </c>
      <c r="L60" s="6" t="n">
        <v>620</v>
      </c>
      <c r="M60" s="6" t="n">
        <v>433</v>
      </c>
    </row>
    <row r="61">
      <c r="I61" s="61" t="n">
        <v>4000</v>
      </c>
      <c r="J61" s="6" t="n">
        <v>881</v>
      </c>
      <c r="K61" s="6" t="n">
        <v>653</v>
      </c>
      <c r="L61" s="6" t="n">
        <v>449</v>
      </c>
      <c r="M61" s="6" t="n">
        <v>265</v>
      </c>
    </row>
    <row r="62">
      <c r="I62" s="61" t="n">
        <v>6000</v>
      </c>
      <c r="J62" s="6" t="n">
        <v>702</v>
      </c>
      <c r="K62" s="6" t="n">
        <v>478</v>
      </c>
      <c r="L62" s="6" t="n">
        <v>278</v>
      </c>
      <c r="M62" s="6" t="n">
        <v>97</v>
      </c>
    </row>
    <row r="63">
      <c r="I63" s="61" t="n">
        <v>8000</v>
      </c>
      <c r="J63" s="6" t="n">
        <v>524</v>
      </c>
      <c r="K63" s="6" t="n">
        <v>304</v>
      </c>
      <c r="L63" s="6" t="n">
        <v>107</v>
      </c>
      <c r="M63" s="6" t="n">
        <v>-70</v>
      </c>
    </row>
    <row r="64">
      <c r="I64" s="61" t="n">
        <v>10000</v>
      </c>
      <c r="J64" s="6" t="n">
        <v>347</v>
      </c>
      <c r="K64" s="6" t="n">
        <v>131</v>
      </c>
      <c r="L64" s="6" t="n">
        <v>-63</v>
      </c>
      <c r="M64" s="6" t="n">
        <v>-237</v>
      </c>
    </row>
    <row r="65">
      <c r="I65" s="61" t="n">
        <v>12000</v>
      </c>
      <c r="J65" s="6" t="n">
        <v>170</v>
      </c>
      <c r="K65" s="6" t="n">
        <v>-42</v>
      </c>
      <c r="L65" s="6" t="n">
        <v>-232</v>
      </c>
      <c r="M65" s="6" t="n">
        <v>-403</v>
      </c>
    </row>
    <row r="66">
      <c r="I66" s="61" t="n">
        <v>14000</v>
      </c>
      <c r="J66" s="6" t="n">
        <v>-6</v>
      </c>
      <c r="K66" s="6" t="n">
        <v>-214</v>
      </c>
      <c r="L66" s="6" t="n">
        <v>-401</v>
      </c>
      <c r="M66" s="6" t="n">
        <v>-569</v>
      </c>
    </row>
  </sheetData>
  <mergeCells count="3">
    <mergeCell ref="B16:F16"/>
    <mergeCell ref="B30:F30"/>
    <mergeCell ref="B44:F44"/>
  </mergeCells>
  <pageMargins left="0" right="0" top="0.39375" bottom="0.39375" header="0.511811023622047" footer="0.511811023622047"/>
  <pageSetup orientation="landscape" paperSize="75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H53"/>
  <sheetViews>
    <sheetView zoomScale="120" zoomScaleNormal="120" workbookViewId="0">
      <selection activeCell="E25" sqref="E25"/>
    </sheetView>
  </sheetViews>
  <sheetFormatPr baseColWidth="10" defaultColWidth="8.6640625" defaultRowHeight="13"/>
  <cols>
    <col width="12.1640625" customWidth="1" style="177" min="1" max="8"/>
    <col width="12.5" customWidth="1" style="177" min="9" max="9"/>
  </cols>
  <sheetData>
    <row r="2">
      <c r="F2" t="inlineStr">
        <is>
          <t>QNH</t>
        </is>
      </c>
      <c r="G2" s="3">
        <f>Performance!J7</f>
        <v/>
      </c>
      <c r="H2" t="inlineStr">
        <is>
          <t>hPa</t>
        </is>
      </c>
    </row>
    <row r="3">
      <c r="B3" t="inlineStr">
        <is>
          <t>Headwind</t>
        </is>
      </c>
      <c r="C3" s="194">
        <f>Performance!F29</f>
        <v/>
      </c>
      <c r="D3">
        <f>IF(C3="","",C3*-5)</f>
        <v/>
      </c>
      <c r="E3" t="inlineStr">
        <is>
          <t>m</t>
        </is>
      </c>
      <c r="F3" t="inlineStr">
        <is>
          <t>elev</t>
        </is>
      </c>
      <c r="G3" s="3">
        <f>VLOOKUP(Performance!B23,Aeródromos!A1:B40,2,FALSE())</f>
        <v/>
      </c>
      <c r="H3" t="inlineStr">
        <is>
          <t>ft</t>
        </is>
      </c>
    </row>
    <row r="4">
      <c r="B4" t="inlineStr">
        <is>
          <t>Tailwind</t>
        </is>
      </c>
      <c r="C4" s="59" t="n"/>
      <c r="D4">
        <f>IF(C4="","",C4*10)</f>
        <v/>
      </c>
      <c r="E4" t="inlineStr">
        <is>
          <t>m</t>
        </is>
      </c>
      <c r="F4" t="inlineStr">
        <is>
          <t>Temp</t>
        </is>
      </c>
      <c r="G4" s="3">
        <f>Performance!H7</f>
        <v/>
      </c>
      <c r="H4" t="inlineStr">
        <is>
          <t>ºC</t>
        </is>
      </c>
    </row>
    <row r="5">
      <c r="B5" t="inlineStr">
        <is>
          <t>Paved RW</t>
        </is>
      </c>
      <c r="C5" s="59" t="inlineStr">
        <is>
          <t>y</t>
        </is>
      </c>
      <c r="D5" s="58">
        <f>IF(C5="","",G11*-0.02)</f>
        <v/>
      </c>
      <c r="E5" t="inlineStr">
        <is>
          <t>m</t>
        </is>
      </c>
      <c r="F5" t="inlineStr">
        <is>
          <t>P alt</t>
        </is>
      </c>
      <c r="G5">
        <f>IF(G3="","",G3+(1013-G2)*27)</f>
        <v/>
      </c>
      <c r="H5" t="inlineStr">
        <is>
          <t>ft</t>
        </is>
      </c>
    </row>
    <row r="6">
      <c r="B6" t="inlineStr">
        <is>
          <t>Slope (%)</t>
        </is>
      </c>
      <c r="C6" s="59" t="n">
        <v>0</v>
      </c>
      <c r="D6" s="58">
        <f>IF(C6="","",C6*G11*0.025)</f>
        <v/>
      </c>
      <c r="E6" t="inlineStr">
        <is>
          <t>m</t>
        </is>
      </c>
      <c r="F6" t="inlineStr">
        <is>
          <t>GR</t>
        </is>
      </c>
      <c r="G6" s="58">
        <f>G11+SUM(D3:D6)</f>
        <v/>
      </c>
      <c r="H6" t="inlineStr">
        <is>
          <t>m</t>
        </is>
      </c>
    </row>
    <row r="7">
      <c r="F7" t="inlineStr">
        <is>
          <t>LD</t>
        </is>
      </c>
      <c r="G7" s="58">
        <f>G12+SUM(D3:D6)</f>
        <v/>
      </c>
      <c r="H7" t="inlineStr">
        <is>
          <t>m</t>
        </is>
      </c>
    </row>
    <row r="8">
      <c r="F8" t="inlineStr">
        <is>
          <t>Balked ROC</t>
        </is>
      </c>
      <c r="G8" s="58">
        <f>G13</f>
        <v/>
      </c>
      <c r="H8" t="inlineStr">
        <is>
          <t>ft/min</t>
        </is>
      </c>
    </row>
    <row r="10">
      <c r="B10" s="6" t="n"/>
      <c r="C10" s="6" t="n">
        <v>-25</v>
      </c>
      <c r="D10" s="6" t="n">
        <v>0</v>
      </c>
      <c r="E10" s="60" t="n">
        <v>25</v>
      </c>
      <c r="F10" s="6" t="n">
        <v>50</v>
      </c>
      <c r="G10" s="6">
        <f>G4</f>
        <v/>
      </c>
    </row>
    <row r="11">
      <c r="B11" s="61" t="inlineStr">
        <is>
          <t>TORR</t>
        </is>
      </c>
      <c r="C11" s="125">
        <f>_xlfn.FORECAST.LINEAR($G$5,C18:C28,B18:B28)</f>
        <v/>
      </c>
      <c r="D11" s="125">
        <f>_xlfn.FORECAST.LINEAR($G$5,D18:D28,B18:B28)</f>
        <v/>
      </c>
      <c r="E11" s="125">
        <f>_xlfn.FORECAST.LINEAR($G$5,E18:E28,B18:B28)</f>
        <v/>
      </c>
      <c r="F11" s="125">
        <f>_xlfn.FORECAST.LINEAR($G$5,F18:F28,B18:B28)</f>
        <v/>
      </c>
      <c r="G11" s="125">
        <f>FORECAST($G$4, INDEX(C11:F11,MATCH($G$4,$C$10:$F$10,1)):INDEX(C11:F11,MATCH($G$4,$C$10:$F$10,1)+1), INDEX($C$10:$F$10,MATCH($G$4,$C$10:$F$10,1)):INDEX($C$10:$F$10,MATCH($G$4,$C$10:$F$10,1)+1))</f>
        <v/>
      </c>
    </row>
    <row r="12">
      <c r="B12" s="61" t="inlineStr">
        <is>
          <t>TODR</t>
        </is>
      </c>
      <c r="C12" s="125">
        <f>_xlfn.FORECAST.LINEAR($G$5,C32:C42,$B$32:$B$42)</f>
        <v/>
      </c>
      <c r="D12" s="125">
        <f>_xlfn.FORECAST.LINEAR($G$5,D32:D42,$B$32:$B$42)</f>
        <v/>
      </c>
      <c r="E12" s="125">
        <f>_xlfn.FORECAST.LINEAR($G$5,E32:E42,$B$32:$B$42)</f>
        <v/>
      </c>
      <c r="F12" s="125">
        <f>_xlfn.FORECAST.LINEAR($G$5,F32:F42,$B$32:$B$42)</f>
        <v/>
      </c>
      <c r="G12" s="125">
        <f>FORECAST($G$4, INDEX(C12:F12,MATCH($G$4,$C$10:$F$10,1)):INDEX(C12:F12,MATCH($G$4,$C$10:$F$10,1)+1), INDEX($C$10:$F$10,MATCH($G$4,$C$10:$F$10,1)):INDEX($C$10:$F$10,MATCH($G$4,$C$10:$F$10,1)+1))</f>
        <v/>
      </c>
    </row>
    <row r="13">
      <c r="B13" s="61" t="inlineStr">
        <is>
          <t>Balked ROC</t>
        </is>
      </c>
      <c r="C13" s="125">
        <f>_xlfn.FORECAST.LINEAR($G$5,C46:C53,$B$46:$B$53)</f>
        <v/>
      </c>
      <c r="D13" s="125">
        <f>_xlfn.FORECAST.LINEAR($G$5,D46:D53,$B$46:$B$53)</f>
        <v/>
      </c>
      <c r="E13" s="125">
        <f>_xlfn.FORECAST.LINEAR($G$5,E46:E53,$B$46:$B$53)</f>
        <v/>
      </c>
      <c r="F13" s="125">
        <f>_xlfn.FORECAST.LINEAR($G$5,F46:F53,$B$46:$B$53)</f>
        <v/>
      </c>
      <c r="G13" s="125">
        <f>FORECAST($G$4, INDEX(C13:F13,MATCH($G$4,$C$10:$F$10,1)):INDEX(C13:F13,MATCH($G$4,$C$10:$F$10,1)+1), INDEX($C$10:$F$10,MATCH($G$4,$C$10:$F$10,1)):INDEX($C$10:$F$10,MATCH($G$4,$C$10:$F$10,1)+1))</f>
        <v/>
      </c>
    </row>
    <row r="16">
      <c r="B16" s="195" t="inlineStr">
        <is>
          <t>GR</t>
        </is>
      </c>
      <c r="C16" s="179" t="n"/>
      <c r="D16" s="179" t="n"/>
      <c r="E16" s="179" t="n"/>
      <c r="F16" s="180" t="n"/>
    </row>
    <row r="17">
      <c r="B17" s="6" t="inlineStr">
        <is>
          <t>Alt</t>
        </is>
      </c>
      <c r="C17" s="6" t="n">
        <v>-25</v>
      </c>
      <c r="D17" s="6" t="n">
        <v>0</v>
      </c>
      <c r="E17" s="6" t="n">
        <v>25</v>
      </c>
      <c r="F17" s="6" t="n">
        <v>50</v>
      </c>
    </row>
    <row r="18">
      <c r="B18" s="61" t="n">
        <v>0</v>
      </c>
      <c r="C18" s="6" t="n">
        <v>141</v>
      </c>
      <c r="D18" s="6" t="n">
        <v>155</v>
      </c>
      <c r="E18" s="6" t="n">
        <v>170</v>
      </c>
      <c r="F18" s="6" t="n">
        <v>184</v>
      </c>
    </row>
    <row r="19">
      <c r="B19" s="61" t="n">
        <v>1000</v>
      </c>
      <c r="C19" s="6" t="n">
        <v>146</v>
      </c>
      <c r="D19" s="6" t="n">
        <v>161</v>
      </c>
      <c r="E19" s="6" t="n">
        <v>176</v>
      </c>
      <c r="F19" s="6" t="n">
        <v>191</v>
      </c>
    </row>
    <row r="20">
      <c r="B20" s="61" t="n">
        <v>2000</v>
      </c>
      <c r="C20" s="6" t="n">
        <v>152</v>
      </c>
      <c r="D20" s="6" t="n">
        <v>167</v>
      </c>
      <c r="E20" s="6" t="n">
        <v>183</v>
      </c>
      <c r="F20" s="6" t="n">
        <v>198</v>
      </c>
    </row>
    <row r="21">
      <c r="B21" s="61" t="n">
        <v>3000</v>
      </c>
      <c r="C21" s="6" t="n">
        <v>158</v>
      </c>
      <c r="D21" s="6" t="n">
        <v>173</v>
      </c>
      <c r="E21" s="6" t="n">
        <v>189</v>
      </c>
      <c r="F21" s="6" t="n">
        <v>205</v>
      </c>
    </row>
    <row r="22">
      <c r="B22" s="61" t="n">
        <v>4000</v>
      </c>
      <c r="C22" s="6" t="n">
        <v>164</v>
      </c>
      <c r="D22" s="6" t="n">
        <v>180</v>
      </c>
      <c r="E22" s="6" t="n">
        <v>196</v>
      </c>
      <c r="F22" s="6" t="n">
        <v>213</v>
      </c>
    </row>
    <row r="23">
      <c r="B23" s="61" t="n">
        <v>5000</v>
      </c>
      <c r="C23" s="6" t="n">
        <v>170</v>
      </c>
      <c r="D23" s="6" t="n">
        <v>187</v>
      </c>
      <c r="E23" s="6" t="n">
        <v>204</v>
      </c>
      <c r="F23" s="6" t="n">
        <v>221</v>
      </c>
    </row>
    <row r="24">
      <c r="B24" s="61" t="n">
        <v>6000</v>
      </c>
      <c r="C24" s="6" t="n">
        <v>176</v>
      </c>
      <c r="D24" s="6" t="n">
        <v>194</v>
      </c>
      <c r="E24" s="6" t="n">
        <v>212</v>
      </c>
      <c r="F24" s="6" t="n">
        <v>230</v>
      </c>
    </row>
    <row r="25">
      <c r="B25" s="61" t="n">
        <v>7000</v>
      </c>
      <c r="C25" s="6" t="n">
        <v>183</v>
      </c>
      <c r="D25" s="6" t="n">
        <v>201</v>
      </c>
      <c r="E25" s="6" t="n">
        <v>220</v>
      </c>
      <c r="F25" s="6" t="n">
        <v>238</v>
      </c>
    </row>
    <row r="26">
      <c r="B26" s="61" t="n">
        <v>8000</v>
      </c>
      <c r="C26" s="6" t="n">
        <v>190</v>
      </c>
      <c r="D26" s="6" t="n">
        <v>209</v>
      </c>
      <c r="E26" s="6" t="n">
        <v>228</v>
      </c>
      <c r="F26" s="6" t="n">
        <v>248</v>
      </c>
    </row>
    <row r="27">
      <c r="B27" s="61" t="n">
        <v>9000</v>
      </c>
      <c r="C27" s="6" t="n">
        <v>198</v>
      </c>
      <c r="D27" s="6" t="n">
        <v>217</v>
      </c>
      <c r="E27" s="6" t="n">
        <v>237</v>
      </c>
      <c r="F27" s="6" t="n">
        <v>257</v>
      </c>
    </row>
    <row r="28">
      <c r="B28" s="61" t="n">
        <v>10000</v>
      </c>
      <c r="C28" s="6" t="n">
        <v>205</v>
      </c>
      <c r="D28" s="6" t="n">
        <v>226</v>
      </c>
      <c r="E28" s="6" t="n">
        <v>247</v>
      </c>
      <c r="F28" s="6" t="n">
        <v>267</v>
      </c>
    </row>
    <row r="30">
      <c r="B30" s="143" t="inlineStr">
        <is>
          <t>LD</t>
        </is>
      </c>
      <c r="C30" s="179" t="n"/>
      <c r="D30" s="179" t="n"/>
      <c r="E30" s="179" t="n"/>
      <c r="F30" s="182" t="n"/>
    </row>
    <row r="31">
      <c r="B31" s="6" t="inlineStr">
        <is>
          <t>Alt</t>
        </is>
      </c>
      <c r="C31" s="6" t="n">
        <v>-25</v>
      </c>
      <c r="D31" s="6" t="n">
        <v>0</v>
      </c>
      <c r="E31" s="6" t="n">
        <v>25</v>
      </c>
      <c r="F31" s="6" t="n">
        <v>50</v>
      </c>
    </row>
    <row r="32">
      <c r="B32" s="61" t="n">
        <v>0</v>
      </c>
      <c r="C32" s="6" t="n">
        <v>277</v>
      </c>
      <c r="D32" s="6" t="n">
        <v>305</v>
      </c>
      <c r="E32" s="6" t="n">
        <v>333</v>
      </c>
      <c r="F32" s="6" t="n">
        <v>361</v>
      </c>
    </row>
    <row r="33">
      <c r="B33" s="61" t="n">
        <v>1000</v>
      </c>
      <c r="C33" s="6" t="n">
        <v>288</v>
      </c>
      <c r="D33" s="6" t="n">
        <v>317</v>
      </c>
      <c r="E33" s="6" t="n">
        <v>345</v>
      </c>
      <c r="F33" s="6" t="n">
        <v>374</v>
      </c>
    </row>
    <row r="34">
      <c r="B34" s="61" t="n">
        <v>2000</v>
      </c>
      <c r="C34" s="6" t="n">
        <v>298</v>
      </c>
      <c r="D34" s="6" t="n">
        <v>328</v>
      </c>
      <c r="E34" s="6" t="n">
        <v>358</v>
      </c>
      <c r="F34" s="6" t="n">
        <v>388</v>
      </c>
    </row>
    <row r="35">
      <c r="B35" s="61" t="n">
        <v>3000</v>
      </c>
      <c r="C35" s="6" t="n">
        <v>309</v>
      </c>
      <c r="D35" s="6" t="n">
        <v>341</v>
      </c>
      <c r="E35" s="6" t="n">
        <v>372</v>
      </c>
      <c r="F35" s="6" t="n">
        <v>403</v>
      </c>
    </row>
    <row r="36">
      <c r="B36" s="61" t="n">
        <v>4000</v>
      </c>
      <c r="C36" s="6" t="n">
        <v>321</v>
      </c>
      <c r="D36" s="6" t="n">
        <v>353</v>
      </c>
      <c r="E36" s="6" t="n">
        <v>386</v>
      </c>
      <c r="F36" s="6" t="n">
        <v>418</v>
      </c>
    </row>
    <row r="37">
      <c r="B37" s="61" t="n">
        <v>5000</v>
      </c>
      <c r="C37" s="6" t="n">
        <v>333</v>
      </c>
      <c r="D37" s="6" t="n">
        <v>367</v>
      </c>
      <c r="E37" s="6" t="n">
        <v>400</v>
      </c>
      <c r="F37" s="6" t="n">
        <v>434</v>
      </c>
    </row>
    <row r="38">
      <c r="B38" s="61" t="n">
        <v>6000</v>
      </c>
      <c r="C38" s="6" t="n">
        <v>346</v>
      </c>
      <c r="D38" s="6" t="n">
        <v>381</v>
      </c>
      <c r="E38" s="6" t="n">
        <v>416</v>
      </c>
      <c r="F38" s="6" t="n">
        <v>451</v>
      </c>
    </row>
    <row r="39">
      <c r="B39" s="61" t="n">
        <v>7000</v>
      </c>
      <c r="C39" s="6" t="n">
        <v>359</v>
      </c>
      <c r="D39" s="6" t="n">
        <v>396</v>
      </c>
      <c r="E39" s="6" t="n">
        <v>432</v>
      </c>
      <c r="F39" s="6" t="n">
        <v>468</v>
      </c>
    </row>
    <row r="40">
      <c r="B40" s="61" t="n">
        <v>8000</v>
      </c>
      <c r="C40" s="6" t="n">
        <v>373</v>
      </c>
      <c r="D40" s="6" t="n">
        <v>411</v>
      </c>
      <c r="E40" s="6" t="n">
        <v>449</v>
      </c>
      <c r="F40" s="6" t="n">
        <v>486</v>
      </c>
    </row>
    <row r="41">
      <c r="B41" s="61" t="n">
        <v>9000</v>
      </c>
      <c r="C41" s="6" t="n">
        <v>388</v>
      </c>
      <c r="D41" s="6" t="n">
        <v>427</v>
      </c>
      <c r="E41" s="6" t="n">
        <v>466</v>
      </c>
      <c r="F41" s="6" t="n">
        <v>505</v>
      </c>
    </row>
    <row r="42">
      <c r="B42" s="61" t="n">
        <v>10000</v>
      </c>
      <c r="C42" s="6" t="n">
        <v>403</v>
      </c>
      <c r="D42" s="6" t="n">
        <v>444</v>
      </c>
      <c r="E42" s="6" t="n">
        <v>484</v>
      </c>
      <c r="F42" s="6" t="n">
        <v>525</v>
      </c>
    </row>
    <row r="44">
      <c r="B44" s="143" t="inlineStr">
        <is>
          <t>Balked</t>
        </is>
      </c>
      <c r="C44" s="179" t="n"/>
      <c r="D44" s="179" t="n"/>
      <c r="E44" s="179" t="n"/>
      <c r="F44" s="182" t="n"/>
    </row>
    <row r="45">
      <c r="B45" s="6" t="inlineStr">
        <is>
          <t>[ft]</t>
        </is>
      </c>
      <c r="C45" s="6" t="n">
        <v>-25</v>
      </c>
      <c r="D45" s="6" t="n">
        <v>0</v>
      </c>
      <c r="E45" s="6" t="n">
        <v>25</v>
      </c>
      <c r="F45" s="6" t="n">
        <v>50</v>
      </c>
    </row>
    <row r="46">
      <c r="B46" s="61" t="n">
        <v>0</v>
      </c>
      <c r="C46" s="6" t="n">
        <v>617</v>
      </c>
      <c r="D46" s="6" t="n">
        <v>489</v>
      </c>
      <c r="E46" s="6" t="n">
        <v>374</v>
      </c>
      <c r="F46" s="6" t="n">
        <v>271</v>
      </c>
    </row>
    <row r="47">
      <c r="B47" s="61" t="n">
        <v>1000</v>
      </c>
      <c r="C47" s="6" t="n">
        <v>568</v>
      </c>
      <c r="D47" s="6" t="n">
        <v>441</v>
      </c>
      <c r="E47" s="6" t="n">
        <v>328</v>
      </c>
      <c r="F47" s="6" t="n">
        <v>225</v>
      </c>
    </row>
    <row r="48">
      <c r="B48" s="61" t="n">
        <v>2000</v>
      </c>
      <c r="C48" s="6" t="n">
        <v>519</v>
      </c>
      <c r="D48" s="6" t="n">
        <v>393</v>
      </c>
      <c r="E48" s="6" t="n">
        <v>281</v>
      </c>
      <c r="F48" s="6" t="n">
        <v>180</v>
      </c>
    </row>
    <row r="49">
      <c r="B49" s="61" t="n">
        <v>3000</v>
      </c>
      <c r="C49" s="6" t="n">
        <v>471</v>
      </c>
      <c r="D49" s="6" t="n">
        <v>346</v>
      </c>
      <c r="E49" s="6" t="n">
        <v>234</v>
      </c>
      <c r="F49" s="6" t="n">
        <v>134</v>
      </c>
    </row>
    <row r="50">
      <c r="B50" s="61" t="n">
        <v>4000</v>
      </c>
      <c r="C50" s="6" t="n">
        <v>422</v>
      </c>
      <c r="D50" s="6" t="n">
        <v>299</v>
      </c>
      <c r="E50" s="6" t="n">
        <v>188</v>
      </c>
      <c r="F50" s="6" t="n">
        <v>88</v>
      </c>
    </row>
    <row r="51">
      <c r="B51" s="61" t="n">
        <v>5000</v>
      </c>
      <c r="C51" s="6" t="n">
        <v>374</v>
      </c>
      <c r="D51" s="6" t="n">
        <v>251</v>
      </c>
      <c r="E51" s="6" t="n">
        <v>142</v>
      </c>
      <c r="F51" s="6" t="n">
        <v>43</v>
      </c>
    </row>
    <row r="52">
      <c r="B52" s="61" t="n">
        <v>6000</v>
      </c>
      <c r="C52" s="6" t="n">
        <v>326</v>
      </c>
      <c r="D52" s="6" t="n">
        <v>204</v>
      </c>
      <c r="E52" s="6" t="n">
        <v>95</v>
      </c>
      <c r="F52" s="6" t="n">
        <v>-3</v>
      </c>
    </row>
    <row r="53">
      <c r="B53" s="61" t="n">
        <v>7000</v>
      </c>
      <c r="C53" s="6" t="n">
        <v>277</v>
      </c>
      <c r="D53" s="6" t="n">
        <v>157</v>
      </c>
      <c r="E53" s="6" t="n">
        <v>49</v>
      </c>
      <c r="F53" s="6" t="n">
        <v>-48</v>
      </c>
    </row>
  </sheetData>
  <mergeCells count="3">
    <mergeCell ref="B16:F16"/>
    <mergeCell ref="B30:F30"/>
    <mergeCell ref="B44:F44"/>
  </mergeCells>
  <pageMargins left="0" right="0" top="0.39375" bottom="0.39375" header="0.511811023622047" footer="0.511811023622047"/>
  <pageSetup orientation="landscape" paperSize="75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L53"/>
  <sheetViews>
    <sheetView zoomScale="120" zoomScaleNormal="120" workbookViewId="0">
      <selection activeCell="G3" sqref="G3"/>
    </sheetView>
  </sheetViews>
  <sheetFormatPr baseColWidth="10" defaultColWidth="8.6640625" defaultRowHeight="13"/>
  <cols>
    <col width="12.1640625" customWidth="1" style="177" min="1" max="8"/>
    <col width="12.5" customWidth="1" style="177" min="9" max="9"/>
    <col width="12.1640625" customWidth="1" style="177" min="10" max="12"/>
  </cols>
  <sheetData>
    <row r="1">
      <c r="F1" s="138">
        <f>Performance!B38</f>
        <v/>
      </c>
      <c r="J1" s="138">
        <f>Performance!C38</f>
        <v/>
      </c>
    </row>
    <row r="2">
      <c r="C2" t="n">
        <v>0</v>
      </c>
      <c r="F2" t="inlineStr">
        <is>
          <t>QNH</t>
        </is>
      </c>
      <c r="G2" s="3">
        <f>Performance!J41</f>
        <v/>
      </c>
      <c r="H2" t="inlineStr">
        <is>
          <t>hPa</t>
        </is>
      </c>
      <c r="J2" t="inlineStr">
        <is>
          <t>QNH</t>
        </is>
      </c>
      <c r="K2" s="3">
        <f>Performance!J41</f>
        <v/>
      </c>
      <c r="L2" t="inlineStr">
        <is>
          <t>hPa</t>
        </is>
      </c>
    </row>
    <row r="3">
      <c r="B3" t="inlineStr">
        <is>
          <t>Headwind</t>
        </is>
      </c>
      <c r="C3" s="194">
        <f>Performance!F44</f>
        <v/>
      </c>
      <c r="D3">
        <f>IF(C3="","",C3*-5)</f>
        <v/>
      </c>
      <c r="E3" t="inlineStr">
        <is>
          <t>m</t>
        </is>
      </c>
      <c r="F3" t="inlineStr">
        <is>
          <t>elev</t>
        </is>
      </c>
      <c r="G3" s="3">
        <f>VLOOKUP(F1,Aeródromos!A1:B40,2,FALSE())</f>
        <v/>
      </c>
      <c r="H3" t="inlineStr">
        <is>
          <t>ft</t>
        </is>
      </c>
      <c r="J3" t="inlineStr">
        <is>
          <t>alt</t>
        </is>
      </c>
      <c r="K3" s="3">
        <f>VLOOKUP(J1,Aeródromos!A1:B40,2,FALSE())</f>
        <v/>
      </c>
      <c r="L3" t="inlineStr">
        <is>
          <t>ft</t>
        </is>
      </c>
    </row>
    <row r="4">
      <c r="B4" t="inlineStr">
        <is>
          <t>Tailwind</t>
        </is>
      </c>
      <c r="C4" s="59" t="n"/>
      <c r="D4">
        <f>IF(C4="","",C4*10)</f>
        <v/>
      </c>
      <c r="E4" t="inlineStr">
        <is>
          <t>m</t>
        </is>
      </c>
      <c r="F4" t="inlineStr">
        <is>
          <t>Temp</t>
        </is>
      </c>
      <c r="G4" s="3">
        <f>Performance!H41</f>
        <v/>
      </c>
      <c r="H4" t="inlineStr">
        <is>
          <t>ºC</t>
        </is>
      </c>
      <c r="J4" t="inlineStr">
        <is>
          <t>Temp</t>
        </is>
      </c>
      <c r="K4" s="3">
        <f>G4</f>
        <v/>
      </c>
      <c r="L4" t="inlineStr">
        <is>
          <t>ºC</t>
        </is>
      </c>
    </row>
    <row r="5">
      <c r="B5" t="inlineStr">
        <is>
          <t>Paved RW</t>
        </is>
      </c>
      <c r="C5" s="59" t="inlineStr">
        <is>
          <t>y</t>
        </is>
      </c>
      <c r="D5" s="58">
        <f>IF(C5="","",G11*-0.02)</f>
        <v/>
      </c>
      <c r="E5" t="inlineStr">
        <is>
          <t>m</t>
        </is>
      </c>
      <c r="F5" t="inlineStr">
        <is>
          <t>P alt</t>
        </is>
      </c>
      <c r="G5">
        <f>IF(G3="","",G3+(1013-G2)*27)</f>
        <v/>
      </c>
      <c r="H5" t="inlineStr">
        <is>
          <t>ft</t>
        </is>
      </c>
      <c r="J5" t="inlineStr">
        <is>
          <t>P alt</t>
        </is>
      </c>
      <c r="K5">
        <f>IF(K3="","",K3+(1013-K2)*27)</f>
        <v/>
      </c>
      <c r="L5" t="inlineStr">
        <is>
          <t>ft</t>
        </is>
      </c>
    </row>
    <row r="6">
      <c r="B6" t="inlineStr">
        <is>
          <t>Slope (%)</t>
        </is>
      </c>
      <c r="C6" s="59" t="n">
        <v>0</v>
      </c>
      <c r="D6" s="58">
        <f>IF(C6="","",C6*G11*0.025)</f>
        <v/>
      </c>
      <c r="E6" t="inlineStr">
        <is>
          <t>m</t>
        </is>
      </c>
      <c r="F6" t="inlineStr">
        <is>
          <t>GR</t>
        </is>
      </c>
      <c r="G6" s="58">
        <f>G11+SUM(D3:D6)</f>
        <v/>
      </c>
      <c r="H6" t="inlineStr">
        <is>
          <t>m</t>
        </is>
      </c>
      <c r="J6" t="inlineStr">
        <is>
          <t>GR</t>
        </is>
      </c>
      <c r="K6" s="58">
        <f>G11+SUM(D3:D6)</f>
        <v/>
      </c>
      <c r="L6" t="inlineStr">
        <is>
          <t>m</t>
        </is>
      </c>
    </row>
    <row r="7">
      <c r="F7" t="inlineStr">
        <is>
          <t>LD</t>
        </is>
      </c>
      <c r="G7" s="58">
        <f>G12+SUM(D3:D6)</f>
        <v/>
      </c>
      <c r="H7" t="inlineStr">
        <is>
          <t>m</t>
        </is>
      </c>
      <c r="J7" t="inlineStr">
        <is>
          <t>LD</t>
        </is>
      </c>
      <c r="K7" s="58">
        <f>G11+SUM(D3:D6)</f>
        <v/>
      </c>
      <c r="L7" t="inlineStr">
        <is>
          <t>m</t>
        </is>
      </c>
    </row>
    <row r="8">
      <c r="F8" t="inlineStr">
        <is>
          <t>Balked ROC</t>
        </is>
      </c>
      <c r="G8" s="58">
        <f>G13</f>
        <v/>
      </c>
      <c r="H8" t="inlineStr">
        <is>
          <t>ft/min</t>
        </is>
      </c>
      <c r="J8" t="inlineStr">
        <is>
          <t>Balked ROC</t>
        </is>
      </c>
      <c r="K8" s="58">
        <f>G13</f>
        <v/>
      </c>
      <c r="L8" t="inlineStr">
        <is>
          <t>ft/min</t>
        </is>
      </c>
    </row>
    <row r="10">
      <c r="B10" s="6" t="n"/>
      <c r="C10" s="6" t="n">
        <v>-25</v>
      </c>
      <c r="D10" s="6" t="n">
        <v>0</v>
      </c>
      <c r="E10" s="60" t="n">
        <v>25</v>
      </c>
      <c r="F10" s="6" t="n">
        <v>50</v>
      </c>
      <c r="G10" s="6">
        <f>G4</f>
        <v/>
      </c>
    </row>
    <row r="11">
      <c r="B11" s="61" t="inlineStr">
        <is>
          <t>TORR</t>
        </is>
      </c>
      <c r="C11" s="6">
        <f>FORECAST($G$5, INDEX(C18:C28,MATCH($G$5,$B$18:$B$28,1)):INDEX(C18:C28,MATCH($G$5,$B$18:$B$28,1)+1), INDEX($B$18:$B$28,MATCH($G$5,$B$18:$B$28,1)):INDEX($B$18:$B$28,MATCH($G$5,$B$18:$B$28,1)+1))</f>
        <v/>
      </c>
      <c r="D11" s="6">
        <f>FORECAST($G$5, INDEX(D18:D28,MATCH($G$5,$B$18:$B$28,1)):INDEX(D18:D28,MATCH($G$5,$B$18:$B$28,1)+1), INDEX($B$18:$B$28,MATCH($G$5,$B$18:$B$28,1)):INDEX($B$18:$B$28,MATCH($G$5,$B$18:$B$28,1)+1))</f>
        <v/>
      </c>
      <c r="E11" s="60">
        <f>FORECAST($G$5, INDEX(E18:E28,MATCH($G$5,$B$18:$B$28,1)):INDEX(E18:E28,MATCH($G$5,$B$18:$B$28,1)+1), INDEX($B$18:$B$28,MATCH($G$5,$B$18:$B$28,1)):INDEX($B$18:$B$28,MATCH($G$5,$B$18:$B$28,1)+1))</f>
        <v/>
      </c>
      <c r="F11" s="6">
        <f>FORECAST($G$5, INDEX(F18:F28,MATCH($G$5,$B$18:$B$28,1)):INDEX(F18:F28,MATCH($G$5,$B$18:$B$28,1)+1), INDEX($B$18:$B$28,MATCH($G$5,$B$18:$B$28,1)):INDEX($B$18:$B$28,MATCH($G$5,$B$18:$B$28,1)+1))</f>
        <v/>
      </c>
      <c r="G11" s="6">
        <f>FORECAST($G$4, INDEX(C11:F11,MATCH($G$4,$C$10:$F$10,1)):INDEX(C11:F11,MATCH($G$4,$C$10:$F$10,1)+1), INDEX($C$10:$F$10,MATCH($G$4,$C$10:$F$10,1)):INDEX($C$10:$F$10,MATCH($G$4,$C$10:$F$10,1)+1))</f>
        <v/>
      </c>
    </row>
    <row r="12">
      <c r="B12" s="61" t="inlineStr">
        <is>
          <t>TODR</t>
        </is>
      </c>
      <c r="C12" s="6">
        <f>FORECAST($G$5, INDEX(C32:C42,MATCH($G$5,$B$32:$B$42,1)):INDEX(C32:C42,MATCH($G$5,$B$32:$B$42,1)+1), INDEX($B$32:$B$42,MATCH($G$5,$B$32:$B$42,1)):INDEX($B$32:$B$42,MATCH($G$5,$B$32:$B$42,1)+1))</f>
        <v/>
      </c>
      <c r="D12" s="6">
        <f>FORECAST($G$5, INDEX(D32:D42,MATCH($G$5,$B$32:$B$42,1)):INDEX(D32:D42,MATCH($G$5,$B$32:$B$42,1)+1), INDEX($B$32:$B$42,MATCH($G$5,$B$32:$B$42,1)):INDEX($B$32:$B$42,MATCH($G$5,$B$32:$B$42,1)+1))</f>
        <v/>
      </c>
      <c r="E12" s="60">
        <f>FORECAST($G$5, INDEX(E32:E42,MATCH($G$5,$B$32:$B$42,1)):INDEX(E32:E42,MATCH($G$5,$B$32:$B$42,1)+1), INDEX($B$32:$B$42,MATCH($G$5,$B$32:$B$42,1)):INDEX($B$32:$B$42,MATCH($G$5,$B$32:$B$42,1)+1))</f>
        <v/>
      </c>
      <c r="F12" s="6">
        <f>FORECAST($G$5, INDEX(F32:F42,MATCH($G$5,$B$32:$B$42,1)):INDEX(F32:F42,MATCH($G$5,$B$32:$B$42,1)+1), INDEX($B$32:$B$42,MATCH($G$5,$B$32:$B$42,1)):INDEX($B$32:$B$42,MATCH($G$5,$B$32:$B$42,1)+1))</f>
        <v/>
      </c>
      <c r="G12" s="6">
        <f>FORECAST($G$4, INDEX(C12:F12,MATCH($G$4,$C$10:$F$10,1)):INDEX(C12:F12,MATCH($G$4,$C$10:$F$10,1)+1), INDEX($C$10:$F$10,MATCH($G$4,$C$10:$F$10,1)):INDEX($C$10:$F$10,MATCH($G$4,$C$10:$F$10,1)+1))</f>
        <v/>
      </c>
    </row>
    <row r="13">
      <c r="B13" s="61" t="inlineStr">
        <is>
          <t>Balked ROC</t>
        </is>
      </c>
      <c r="C13" s="6">
        <f>FORECAST($G$5, INDEX(C46:C53,MATCH($G$5,$B$46:$B$53,1)):INDEX(C46:C53,MATCH($G$5,$B$46:$B$53,1)+1), INDEX($B$46:$B$53,MATCH($G$5,$B$46:$B$53,1)):INDEX($B$46:$B$53,MATCH($G$5,$B$46:$B$53,1)+1))</f>
        <v/>
      </c>
      <c r="D13" s="6">
        <f>FORECAST($G$5, INDEX(D46:D53,MATCH($G$5,$B$46:$B$53,1)):INDEX(D46:D53,MATCH($G$5,$B$46:$B$53,1)+1), INDEX($B$46:$B$53,MATCH($G$5,$B$46:$B$53,1)):INDEX($B$46:$B$53,MATCH($G$5,$B$46:$B$53,1)+1))</f>
        <v/>
      </c>
      <c r="E13" s="60">
        <f>FORECAST($G$5, INDEX(E46:E53,MATCH($G$5,$B$46:$B$53,1)):INDEX(E46:E53,MATCH($G$5,$B$46:$B$53,1)+1), INDEX($B$46:$B$53,MATCH($G$5,$B$46:$B$53,1)):INDEX($B$46:$B$53,MATCH($G$5,$B$46:$B$53,1)+1))</f>
        <v/>
      </c>
      <c r="F13" s="6">
        <f>FORECAST($G$5, INDEX(F46:F53,MATCH($G$5,$B$46:$B$53,1)):INDEX(F46:F53,MATCH($G$5,$B$46:$B$53,1)+1), INDEX($B$46:$B$53,MATCH($G$5,$B$46:$B$53,1)):INDEX($B$46:$B$53,MATCH($G$5,$B$46:$B$53,1)+1))</f>
        <v/>
      </c>
      <c r="G13" s="6">
        <f>FORECAST($G$4, INDEX(C13:F13,MATCH($G$4,$C$10:$F$10,1)):INDEX(C13:F13,MATCH($G$4,$C$10:$F$10,1)+1), INDEX($C$10:$F$10,MATCH($G$4,$C$10:$F$10,1)):INDEX($C$10:$F$10,MATCH($G$4,$C$10:$F$10,1)+1))</f>
        <v/>
      </c>
    </row>
    <row r="16">
      <c r="B16" s="143" t="inlineStr">
        <is>
          <t>GR</t>
        </is>
      </c>
      <c r="C16" s="179" t="n"/>
      <c r="D16" s="179" t="n"/>
      <c r="E16" s="179" t="n"/>
      <c r="F16" s="182" t="n"/>
    </row>
    <row r="17">
      <c r="B17" s="6" t="inlineStr">
        <is>
          <t>Alt</t>
        </is>
      </c>
      <c r="C17" s="6" t="n">
        <v>-25</v>
      </c>
      <c r="D17" s="6" t="n">
        <v>0</v>
      </c>
      <c r="E17" s="6" t="n">
        <v>25</v>
      </c>
      <c r="F17" s="6" t="n">
        <v>50</v>
      </c>
    </row>
    <row r="18">
      <c r="B18" s="61" t="n">
        <v>0</v>
      </c>
      <c r="C18" s="6" t="n">
        <v>141</v>
      </c>
      <c r="D18" s="6" t="n">
        <v>155</v>
      </c>
      <c r="E18" s="6" t="n">
        <v>170</v>
      </c>
      <c r="F18" s="6" t="n">
        <v>184</v>
      </c>
    </row>
    <row r="19">
      <c r="B19" s="61" t="n">
        <v>1000</v>
      </c>
      <c r="C19" s="6" t="n">
        <v>146</v>
      </c>
      <c r="D19" s="6" t="n">
        <v>161</v>
      </c>
      <c r="E19" s="6" t="n">
        <v>176</v>
      </c>
      <c r="F19" s="6" t="n">
        <v>191</v>
      </c>
    </row>
    <row r="20">
      <c r="B20" s="61" t="n">
        <v>2000</v>
      </c>
      <c r="C20" s="6" t="n">
        <v>152</v>
      </c>
      <c r="D20" s="6" t="n">
        <v>167</v>
      </c>
      <c r="E20" s="6" t="n">
        <v>183</v>
      </c>
      <c r="F20" s="6" t="n">
        <v>198</v>
      </c>
    </row>
    <row r="21">
      <c r="B21" s="61" t="n">
        <v>3000</v>
      </c>
      <c r="C21" s="6" t="n">
        <v>158</v>
      </c>
      <c r="D21" s="6" t="n">
        <v>173</v>
      </c>
      <c r="E21" s="6" t="n">
        <v>189</v>
      </c>
      <c r="F21" s="6" t="n">
        <v>205</v>
      </c>
    </row>
    <row r="22">
      <c r="B22" s="61" t="n">
        <v>4000</v>
      </c>
      <c r="C22" s="6" t="n">
        <v>164</v>
      </c>
      <c r="D22" s="6" t="n">
        <v>180</v>
      </c>
      <c r="E22" s="6" t="n">
        <v>196</v>
      </c>
      <c r="F22" s="6" t="n">
        <v>213</v>
      </c>
    </row>
    <row r="23">
      <c r="B23" s="61" t="n">
        <v>5000</v>
      </c>
      <c r="C23" s="6" t="n">
        <v>170</v>
      </c>
      <c r="D23" s="6" t="n">
        <v>187</v>
      </c>
      <c r="E23" s="6" t="n">
        <v>204</v>
      </c>
      <c r="F23" s="6" t="n">
        <v>221</v>
      </c>
    </row>
    <row r="24">
      <c r="B24" s="61" t="n">
        <v>6000</v>
      </c>
      <c r="C24" s="6" t="n">
        <v>176</v>
      </c>
      <c r="D24" s="6" t="n">
        <v>194</v>
      </c>
      <c r="E24" s="6" t="n">
        <v>212</v>
      </c>
      <c r="F24" s="6" t="n">
        <v>230</v>
      </c>
    </row>
    <row r="25">
      <c r="B25" s="61" t="n">
        <v>7000</v>
      </c>
      <c r="C25" s="6" t="n">
        <v>183</v>
      </c>
      <c r="D25" s="6" t="n">
        <v>201</v>
      </c>
      <c r="E25" s="6" t="n">
        <v>220</v>
      </c>
      <c r="F25" s="6" t="n">
        <v>238</v>
      </c>
    </row>
    <row r="26">
      <c r="B26" s="61" t="n">
        <v>8000</v>
      </c>
      <c r="C26" s="6" t="n">
        <v>190</v>
      </c>
      <c r="D26" s="6" t="n">
        <v>209</v>
      </c>
      <c r="E26" s="6" t="n">
        <v>228</v>
      </c>
      <c r="F26" s="6" t="n">
        <v>248</v>
      </c>
    </row>
    <row r="27">
      <c r="B27" s="61" t="n">
        <v>9000</v>
      </c>
      <c r="C27" s="6" t="n">
        <v>198</v>
      </c>
      <c r="D27" s="6" t="n">
        <v>217</v>
      </c>
      <c r="E27" s="6" t="n">
        <v>237</v>
      </c>
      <c r="F27" s="6" t="n">
        <v>257</v>
      </c>
    </row>
    <row r="28">
      <c r="B28" s="61" t="n">
        <v>10000</v>
      </c>
      <c r="C28" s="6" t="n">
        <v>205</v>
      </c>
      <c r="D28" s="6" t="n">
        <v>226</v>
      </c>
      <c r="E28" s="6" t="n">
        <v>247</v>
      </c>
      <c r="F28" s="6" t="n">
        <v>267</v>
      </c>
    </row>
    <row r="30">
      <c r="B30" s="143" t="inlineStr">
        <is>
          <t>LD</t>
        </is>
      </c>
      <c r="C30" s="179" t="n"/>
      <c r="D30" s="179" t="n"/>
      <c r="E30" s="179" t="n"/>
      <c r="F30" s="182" t="n"/>
    </row>
    <row r="31">
      <c r="B31" s="6" t="inlineStr">
        <is>
          <t>Alt</t>
        </is>
      </c>
      <c r="C31" s="6" t="n">
        <v>-25</v>
      </c>
      <c r="D31" s="6" t="n">
        <v>0</v>
      </c>
      <c r="E31" s="6" t="n">
        <v>25</v>
      </c>
      <c r="F31" s="6" t="n">
        <v>50</v>
      </c>
    </row>
    <row r="32">
      <c r="B32" s="61" t="n">
        <v>0</v>
      </c>
      <c r="C32" s="6" t="n">
        <v>277</v>
      </c>
      <c r="D32" s="6" t="n">
        <v>305</v>
      </c>
      <c r="E32" s="6" t="n">
        <v>333</v>
      </c>
      <c r="F32" s="6" t="n">
        <v>361</v>
      </c>
    </row>
    <row r="33">
      <c r="B33" s="61" t="n">
        <v>1000</v>
      </c>
      <c r="C33" s="6" t="n">
        <v>288</v>
      </c>
      <c r="D33" s="6" t="n">
        <v>317</v>
      </c>
      <c r="E33" s="6" t="n">
        <v>345</v>
      </c>
      <c r="F33" s="6" t="n">
        <v>374</v>
      </c>
    </row>
    <row r="34">
      <c r="B34" s="61" t="n">
        <v>2000</v>
      </c>
      <c r="C34" s="6" t="n">
        <v>298</v>
      </c>
      <c r="D34" s="6" t="n">
        <v>328</v>
      </c>
      <c r="E34" s="6" t="n">
        <v>358</v>
      </c>
      <c r="F34" s="6" t="n">
        <v>388</v>
      </c>
    </row>
    <row r="35">
      <c r="B35" s="61" t="n">
        <v>3000</v>
      </c>
      <c r="C35" s="6" t="n">
        <v>309</v>
      </c>
      <c r="D35" s="6" t="n">
        <v>341</v>
      </c>
      <c r="E35" s="6" t="n">
        <v>372</v>
      </c>
      <c r="F35" s="6" t="n">
        <v>403</v>
      </c>
    </row>
    <row r="36">
      <c r="B36" s="61" t="n">
        <v>4000</v>
      </c>
      <c r="C36" s="6" t="n">
        <v>321</v>
      </c>
      <c r="D36" s="6" t="n">
        <v>353</v>
      </c>
      <c r="E36" s="6" t="n">
        <v>386</v>
      </c>
      <c r="F36" s="6" t="n">
        <v>418</v>
      </c>
    </row>
    <row r="37">
      <c r="B37" s="61" t="n">
        <v>5000</v>
      </c>
      <c r="C37" s="6" t="n">
        <v>333</v>
      </c>
      <c r="D37" s="6" t="n">
        <v>367</v>
      </c>
      <c r="E37" s="6" t="n">
        <v>400</v>
      </c>
      <c r="F37" s="6" t="n">
        <v>434</v>
      </c>
    </row>
    <row r="38">
      <c r="B38" s="61" t="n">
        <v>6000</v>
      </c>
      <c r="C38" s="6" t="n">
        <v>346</v>
      </c>
      <c r="D38" s="6" t="n">
        <v>381</v>
      </c>
      <c r="E38" s="6" t="n">
        <v>416</v>
      </c>
      <c r="F38" s="6" t="n">
        <v>451</v>
      </c>
    </row>
    <row r="39">
      <c r="B39" s="61" t="n">
        <v>7000</v>
      </c>
      <c r="C39" s="6" t="n">
        <v>359</v>
      </c>
      <c r="D39" s="6" t="n">
        <v>396</v>
      </c>
      <c r="E39" s="6" t="n">
        <v>432</v>
      </c>
      <c r="F39" s="6" t="n">
        <v>468</v>
      </c>
    </row>
    <row r="40">
      <c r="B40" s="61" t="n">
        <v>8000</v>
      </c>
      <c r="C40" s="6" t="n">
        <v>373</v>
      </c>
      <c r="D40" s="6" t="n">
        <v>411</v>
      </c>
      <c r="E40" s="6" t="n">
        <v>449</v>
      </c>
      <c r="F40" s="6" t="n">
        <v>486</v>
      </c>
    </row>
    <row r="41">
      <c r="B41" s="61" t="n">
        <v>9000</v>
      </c>
      <c r="C41" s="6" t="n">
        <v>388</v>
      </c>
      <c r="D41" s="6" t="n">
        <v>427</v>
      </c>
      <c r="E41" s="6" t="n">
        <v>466</v>
      </c>
      <c r="F41" s="6" t="n">
        <v>505</v>
      </c>
    </row>
    <row r="42">
      <c r="B42" s="61" t="n">
        <v>10000</v>
      </c>
      <c r="C42" s="6" t="n">
        <v>403</v>
      </c>
      <c r="D42" s="6" t="n">
        <v>444</v>
      </c>
      <c r="E42" s="6" t="n">
        <v>484</v>
      </c>
      <c r="F42" s="6" t="n">
        <v>525</v>
      </c>
    </row>
    <row r="44">
      <c r="B44" s="143" t="inlineStr">
        <is>
          <t>Balked</t>
        </is>
      </c>
      <c r="C44" s="179" t="n"/>
      <c r="D44" s="179" t="n"/>
      <c r="E44" s="179" t="n"/>
      <c r="F44" s="182" t="n"/>
    </row>
    <row r="45">
      <c r="B45" s="6" t="inlineStr">
        <is>
          <t>[ft]</t>
        </is>
      </c>
      <c r="C45" s="6" t="n">
        <v>-25</v>
      </c>
      <c r="D45" s="6" t="n">
        <v>0</v>
      </c>
      <c r="E45" s="6" t="n">
        <v>25</v>
      </c>
      <c r="F45" s="6" t="n">
        <v>50</v>
      </c>
    </row>
    <row r="46">
      <c r="B46" s="61" t="n">
        <v>0</v>
      </c>
      <c r="C46" s="6" t="n">
        <v>617</v>
      </c>
      <c r="D46" s="6" t="n">
        <v>489</v>
      </c>
      <c r="E46" s="6" t="n">
        <v>374</v>
      </c>
      <c r="F46" s="6" t="n">
        <v>271</v>
      </c>
    </row>
    <row r="47">
      <c r="B47" s="61" t="n">
        <v>1000</v>
      </c>
      <c r="C47" s="6" t="n">
        <v>568</v>
      </c>
      <c r="D47" s="6" t="n">
        <v>441</v>
      </c>
      <c r="E47" s="6" t="n">
        <v>328</v>
      </c>
      <c r="F47" s="6" t="n">
        <v>225</v>
      </c>
    </row>
    <row r="48">
      <c r="B48" s="61" t="n">
        <v>2000</v>
      </c>
      <c r="C48" s="6" t="n">
        <v>519</v>
      </c>
      <c r="D48" s="6" t="n">
        <v>393</v>
      </c>
      <c r="E48" s="6" t="n">
        <v>281</v>
      </c>
      <c r="F48" s="6" t="n">
        <v>180</v>
      </c>
    </row>
    <row r="49">
      <c r="B49" s="61" t="n">
        <v>3000</v>
      </c>
      <c r="C49" s="6" t="n">
        <v>471</v>
      </c>
      <c r="D49" s="6" t="n">
        <v>346</v>
      </c>
      <c r="E49" s="6" t="n">
        <v>234</v>
      </c>
      <c r="F49" s="6" t="n">
        <v>134</v>
      </c>
    </row>
    <row r="50">
      <c r="B50" s="61" t="n">
        <v>4000</v>
      </c>
      <c r="C50" s="6" t="n">
        <v>422</v>
      </c>
      <c r="D50" s="6" t="n">
        <v>299</v>
      </c>
      <c r="E50" s="6" t="n">
        <v>188</v>
      </c>
      <c r="F50" s="6" t="n">
        <v>88</v>
      </c>
    </row>
    <row r="51">
      <c r="B51" s="61" t="n">
        <v>5000</v>
      </c>
      <c r="C51" s="6" t="n">
        <v>374</v>
      </c>
      <c r="D51" s="6" t="n">
        <v>251</v>
      </c>
      <c r="E51" s="6" t="n">
        <v>142</v>
      </c>
      <c r="F51" s="6" t="n">
        <v>43</v>
      </c>
    </row>
    <row r="52">
      <c r="B52" s="61" t="n">
        <v>6000</v>
      </c>
      <c r="C52" s="6" t="n">
        <v>326</v>
      </c>
      <c r="D52" s="6" t="n">
        <v>204</v>
      </c>
      <c r="E52" s="6" t="n">
        <v>95</v>
      </c>
      <c r="F52" s="6" t="n">
        <v>-3</v>
      </c>
    </row>
    <row r="53">
      <c r="B53" s="61" t="n">
        <v>7000</v>
      </c>
      <c r="C53" s="6" t="n">
        <v>277</v>
      </c>
      <c r="D53" s="6" t="n">
        <v>157</v>
      </c>
      <c r="E53" s="6" t="n">
        <v>49</v>
      </c>
      <c r="F53" s="6" t="n">
        <v>-48</v>
      </c>
    </row>
  </sheetData>
  <mergeCells count="5">
    <mergeCell ref="F1:H1"/>
    <mergeCell ref="J1:L1"/>
    <mergeCell ref="B16:F16"/>
    <mergeCell ref="B30:F30"/>
    <mergeCell ref="B44:F44"/>
  </mergeCells>
  <pageMargins left="0" right="0" top="0.39375" bottom="0.39375" header="0.511811023622047" footer="0.511811023622047"/>
  <pageSetup orientation="landscape" paperSize="75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zoomScale="120" zoomScaleNormal="120" workbookViewId="0">
      <selection activeCell="C8" sqref="C8"/>
    </sheetView>
  </sheetViews>
  <sheetFormatPr baseColWidth="10" defaultColWidth="8.6640625" defaultRowHeight="13"/>
  <cols>
    <col width="12.1640625" customWidth="1" style="177" min="1" max="2"/>
    <col width="13.5" customWidth="1" style="177" min="3" max="3"/>
  </cols>
  <sheetData>
    <row r="1">
      <c r="A1" t="inlineStr">
        <is>
          <t>Local Flight</t>
        </is>
      </c>
    </row>
    <row r="2">
      <c r="B2" t="inlineStr">
        <is>
          <t>Time</t>
        </is>
      </c>
      <c r="C2" t="inlineStr">
        <is>
          <t>Consumption</t>
        </is>
      </c>
    </row>
    <row r="3">
      <c r="A3" t="inlineStr">
        <is>
          <t>Taxi</t>
        </is>
      </c>
      <c r="C3" t="n">
        <v>2</v>
      </c>
    </row>
    <row r="4">
      <c r="A4" t="inlineStr">
        <is>
          <t>Flight Time</t>
        </is>
      </c>
      <c r="B4" t="n">
        <v>2</v>
      </c>
      <c r="C4" s="184">
        <f>Performance!$G$13*B4</f>
        <v/>
      </c>
    </row>
    <row r="5">
      <c r="A5" t="inlineStr">
        <is>
          <t>Alternate</t>
        </is>
      </c>
      <c r="B5" t="n">
        <v>0.6</v>
      </c>
      <c r="C5" s="184">
        <f>Performance!$G$13*B5</f>
        <v/>
      </c>
    </row>
    <row r="6">
      <c r="A6" t="inlineStr">
        <is>
          <t>Reserve</t>
        </is>
      </c>
      <c r="B6" t="n">
        <v>1</v>
      </c>
      <c r="C6" s="184">
        <f>Performance!$G$13*B6</f>
        <v/>
      </c>
    </row>
    <row r="8">
      <c r="A8" t="inlineStr">
        <is>
          <t>Total</t>
        </is>
      </c>
      <c r="B8">
        <f>SUM(B3:B7)</f>
        <v/>
      </c>
      <c r="C8" s="184">
        <f>SUM(C3:C7)</f>
        <v/>
      </c>
    </row>
    <row r="15">
      <c r="B15" t="inlineStr">
        <is>
          <t>Time</t>
        </is>
      </c>
    </row>
    <row r="16">
      <c r="A16" t="inlineStr">
        <is>
          <t>Trip Fuel</t>
        </is>
      </c>
    </row>
    <row r="17">
      <c r="A17" t="inlineStr">
        <is>
          <t>Alternate</t>
        </is>
      </c>
    </row>
    <row r="18">
      <c r="A18" t="inlineStr">
        <is>
          <t>Contingency</t>
        </is>
      </c>
      <c r="B18" t="inlineStr">
        <is>
          <t>OU O MAIOR DE 5MIN  1500FT AAL</t>
        </is>
      </c>
    </row>
  </sheetData>
  <pageMargins left="0" right="0" top="0.39375" bottom="0.39375" header="0.511811023622047" footer="0.511811023622047"/>
  <pageSetup orientation="landscape" paperSize="75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AD31"/>
  <sheetViews>
    <sheetView zoomScale="120" zoomScaleNormal="120" workbookViewId="0">
      <selection activeCell="T6" sqref="T6"/>
    </sheetView>
  </sheetViews>
  <sheetFormatPr baseColWidth="10" defaultColWidth="8.6640625" defaultRowHeight="13"/>
  <cols>
    <col width="13.1640625" customWidth="1" style="177" min="1" max="2"/>
    <col width="5.1640625" customWidth="1" style="177" min="3" max="3"/>
    <col width="4.5" customWidth="1" style="177" min="4" max="4"/>
    <col width="3.33203125" customWidth="1" style="177" min="5" max="5"/>
    <col width="5.5" customWidth="1" style="177" min="6" max="6"/>
    <col width="6.1640625" customWidth="1" style="177" min="7" max="10"/>
    <col width="13.1640625" customWidth="1" style="177" min="11" max="11"/>
    <col width="5.1640625" customWidth="1" style="177" min="12" max="12"/>
    <col width="6.1640625" customWidth="1" style="177" min="13" max="13"/>
    <col width="5.5" customWidth="1" style="177" min="14" max="15"/>
    <col width="6.6640625" customWidth="1" style="177" min="16" max="16"/>
    <col width="6.1640625" customWidth="1" style="177" min="17" max="17"/>
    <col width="5.5" customWidth="1" style="177" min="18" max="19"/>
    <col width="6.6640625" customWidth="1" style="177" min="20" max="21"/>
  </cols>
  <sheetData>
    <row r="1" ht="12.75" customHeight="1" s="177">
      <c r="A1" s="147" t="inlineStr">
        <is>
          <t>NAVIGATION LOG</t>
        </is>
      </c>
      <c r="B1" s="196" t="n"/>
      <c r="C1" s="196" t="n"/>
      <c r="D1" s="196" t="n"/>
      <c r="E1" s="196" t="n"/>
      <c r="F1" s="196" t="n"/>
      <c r="G1" s="196" t="n"/>
      <c r="H1" s="196" t="n"/>
      <c r="I1" s="196" t="n"/>
      <c r="J1" s="196" t="n"/>
      <c r="K1" s="196" t="n"/>
      <c r="L1" s="196" t="n"/>
      <c r="M1" s="196" t="n"/>
      <c r="N1" s="196" t="n"/>
      <c r="O1" s="196" t="n"/>
      <c r="P1" s="196" t="n"/>
      <c r="Q1" s="196" t="n"/>
      <c r="R1" s="196" t="n"/>
      <c r="S1" s="196" t="n"/>
      <c r="T1" s="196" t="n"/>
      <c r="U1" s="197" t="n"/>
    </row>
    <row r="2" ht="12.75" customHeight="1" s="177">
      <c r="A2" s="65" t="inlineStr">
        <is>
          <t>FROM</t>
        </is>
      </c>
      <c r="B2" s="148" t="inlineStr">
        <is>
          <t>TO</t>
        </is>
      </c>
      <c r="C2" s="148" t="inlineStr">
        <is>
          <t>ALT</t>
        </is>
      </c>
      <c r="D2" s="148" t="inlineStr">
        <is>
          <t>WIND</t>
        </is>
      </c>
      <c r="E2" s="198" t="n"/>
      <c r="F2" s="148" t="inlineStr">
        <is>
          <t>TAS</t>
        </is>
      </c>
      <c r="G2" s="148" t="inlineStr">
        <is>
          <t>T.TRK</t>
        </is>
      </c>
      <c r="H2" s="148" t="inlineStr">
        <is>
          <t>M.TRK</t>
        </is>
      </c>
      <c r="I2" s="148" t="inlineStr">
        <is>
          <t>T.HDG</t>
        </is>
      </c>
      <c r="J2" s="148" t="inlineStr">
        <is>
          <t>M.HDG</t>
        </is>
      </c>
      <c r="K2" s="148" t="inlineStr">
        <is>
          <t>TO</t>
        </is>
      </c>
      <c r="L2" s="148" t="inlineStr">
        <is>
          <t>ALT</t>
        </is>
      </c>
      <c r="M2" s="148" t="inlineStr">
        <is>
          <t>M.HDG</t>
        </is>
      </c>
      <c r="N2" s="148" t="inlineStr">
        <is>
          <t>GS</t>
        </is>
      </c>
      <c r="O2" s="148" t="inlineStr">
        <is>
          <t>DIST</t>
        </is>
      </c>
      <c r="P2" s="148" t="inlineStr">
        <is>
          <t>EET</t>
        </is>
      </c>
      <c r="Q2" s="148" t="inlineStr">
        <is>
          <t>ETA</t>
        </is>
      </c>
      <c r="R2" s="149" t="inlineStr">
        <is>
          <t>RTA</t>
        </is>
      </c>
      <c r="S2" s="148" t="inlineStr">
        <is>
          <t>ATA</t>
        </is>
      </c>
      <c r="T2" s="148" t="inlineStr">
        <is>
          <t>FUEL (l)</t>
        </is>
      </c>
      <c r="U2" s="150" t="inlineStr">
        <is>
          <t>FUEL TOTAL</t>
        </is>
      </c>
      <c r="W2" t="n">
        <v>2</v>
      </c>
      <c r="X2" t="n">
        <v>4</v>
      </c>
      <c r="Y2" t="n">
        <v>6</v>
      </c>
      <c r="Z2" t="n">
        <v>8</v>
      </c>
      <c r="AA2" t="n">
        <v>10</v>
      </c>
      <c r="AB2" t="n">
        <v>12</v>
      </c>
      <c r="AC2" t="n">
        <v>14</v>
      </c>
      <c r="AD2" t="n">
        <v>16</v>
      </c>
    </row>
    <row r="3" ht="14" customHeight="1" s="177">
      <c r="A3" s="67" t="inlineStr">
        <is>
          <t>MAXED</t>
        </is>
      </c>
      <c r="B3" s="68" t="inlineStr">
        <is>
          <t>REGUENGOS</t>
        </is>
      </c>
      <c r="C3" s="69" t="n">
        <v>5500</v>
      </c>
      <c r="D3" s="70" t="n">
        <v>230</v>
      </c>
      <c r="E3" s="71" t="n">
        <v>11</v>
      </c>
      <c r="F3" s="69" t="n">
        <v>70</v>
      </c>
      <c r="G3" s="70" t="n">
        <v>115</v>
      </c>
      <c r="H3" s="70">
        <f>IF(G3="","",G3+2)</f>
        <v/>
      </c>
      <c r="I3" s="70" t="n">
        <v>119</v>
      </c>
      <c r="J3" s="70">
        <f>IF(I3="","",I3+2)</f>
        <v/>
      </c>
      <c r="K3" s="72">
        <f>IF(B3="","",B3)</f>
        <v/>
      </c>
      <c r="L3" s="69">
        <f>IF(C3="","",C3)</f>
        <v/>
      </c>
      <c r="M3" s="70">
        <f>IF(J3="","",J3)</f>
        <v/>
      </c>
      <c r="N3" s="69" t="n">
        <v>74</v>
      </c>
      <c r="O3" s="69" t="n">
        <v>14</v>
      </c>
      <c r="P3" s="73">
        <f>IF(N3="","",O3/N3*60)</f>
        <v/>
      </c>
      <c r="Q3" s="74" t="n"/>
      <c r="R3" s="199" t="n"/>
      <c r="S3" s="75" t="n"/>
      <c r="T3" s="200">
        <f>IF(P3="","",Performance!$G$13/60*P3)</f>
        <v/>
      </c>
      <c r="U3" s="201" t="n"/>
      <c r="W3" s="202">
        <f>O3/P3*$W$2</f>
        <v/>
      </c>
      <c r="X3" s="202">
        <f>$W3*X$2/2</f>
        <v/>
      </c>
      <c r="Y3" s="202">
        <f>$W3*Y2/2</f>
        <v/>
      </c>
      <c r="Z3" s="202">
        <f>$W3*Z2/2</f>
        <v/>
      </c>
      <c r="AA3" s="202">
        <f>$W3*AA2/2</f>
        <v/>
      </c>
      <c r="AB3" s="202">
        <f>$W3*AB2/2</f>
        <v/>
      </c>
      <c r="AC3" s="202">
        <f>$W3*AC2/2</f>
        <v/>
      </c>
      <c r="AD3" s="202">
        <f>$W3*AD2/2</f>
        <v/>
      </c>
    </row>
    <row r="4" ht="15" customHeight="1" s="177" thickTop="1">
      <c r="A4" s="78">
        <f>IF(B4="","",B3)</f>
        <v/>
      </c>
      <c r="B4" s="79" t="inlineStr">
        <is>
          <t>MOURÃO</t>
        </is>
      </c>
      <c r="C4" s="80" t="n"/>
      <c r="D4" s="81" t="n">
        <v>230</v>
      </c>
      <c r="E4" s="82" t="n">
        <v>16</v>
      </c>
      <c r="F4" s="80" t="n">
        <v>84</v>
      </c>
      <c r="G4" s="81" t="n">
        <v>105</v>
      </c>
      <c r="H4" s="81">
        <f>IF(G4="","",G4+2)</f>
        <v/>
      </c>
      <c r="I4" s="81" t="n">
        <v>115</v>
      </c>
      <c r="J4" s="81">
        <f>IF(I4="","",I4+2)</f>
        <v/>
      </c>
      <c r="K4" s="83">
        <f>IF(B4="","",B4)</f>
        <v/>
      </c>
      <c r="L4" s="80">
        <f>IF(C4="","",C4)</f>
        <v/>
      </c>
      <c r="M4" s="81">
        <f>IF(J4="","",J4)</f>
        <v/>
      </c>
      <c r="N4" s="80" t="n">
        <v>92</v>
      </c>
      <c r="O4" s="80" t="n">
        <v>10</v>
      </c>
      <c r="P4" s="84">
        <f>IF(N4="","",O4/N4*60)</f>
        <v/>
      </c>
      <c r="Q4" s="85" t="n"/>
      <c r="R4" s="86" t="n"/>
      <c r="S4" s="87" t="n"/>
      <c r="T4" s="202">
        <f>IF(P4="","",Performance!$G$13/60*P4)</f>
        <v/>
      </c>
      <c r="U4" s="200">
        <f>IF(T4="","",$U$22-SUM($T$3:T4))</f>
        <v/>
      </c>
      <c r="W4" s="202">
        <f>O4/P4*$W$2</f>
        <v/>
      </c>
      <c r="X4" s="202">
        <f>$W4*X$2/2</f>
        <v/>
      </c>
      <c r="Y4" s="202">
        <f>$W4*Y$2/2</f>
        <v/>
      </c>
      <c r="Z4" s="202">
        <f>$W4*Z$2/2</f>
        <v/>
      </c>
      <c r="AA4" s="202">
        <f>$W4*AA$2/2</f>
        <v/>
      </c>
      <c r="AB4" s="202">
        <f>$W4*AB$2/2</f>
        <v/>
      </c>
      <c r="AC4" s="202">
        <f>$W4*AC$2/2</f>
        <v/>
      </c>
      <c r="AD4" s="202">
        <f>$W4*AD$2/2</f>
        <v/>
      </c>
    </row>
    <row r="5" ht="14" customHeight="1" s="177">
      <c r="A5" s="78">
        <f>IF(B5="","",B4)</f>
        <v/>
      </c>
      <c r="B5" s="79" t="inlineStr">
        <is>
          <t>ALQUEVA</t>
        </is>
      </c>
      <c r="C5" s="80" t="n"/>
      <c r="D5" s="81" t="n">
        <v>230</v>
      </c>
      <c r="E5" s="82" t="n">
        <v>16</v>
      </c>
      <c r="F5" s="80" t="n">
        <v>84</v>
      </c>
      <c r="G5" s="81" t="n">
        <v>223</v>
      </c>
      <c r="H5" s="81">
        <f>IF(G5="","",G5+2)</f>
        <v/>
      </c>
      <c r="I5" s="81" t="n">
        <v>224</v>
      </c>
      <c r="J5" s="81">
        <f>IF(I5="","",I5+2)</f>
        <v/>
      </c>
      <c r="K5" s="83">
        <f>IF(B5="","",B5)</f>
        <v/>
      </c>
      <c r="L5" s="80">
        <f>IF(C5="","",C5)</f>
        <v/>
      </c>
      <c r="M5" s="81">
        <f>IF(J5="","",J5)</f>
        <v/>
      </c>
      <c r="N5" s="80" t="n">
        <v>68</v>
      </c>
      <c r="O5" s="80" t="n">
        <v>14</v>
      </c>
      <c r="P5" s="84">
        <f>IF(N5="","",O5/N5*60)</f>
        <v/>
      </c>
      <c r="Q5" s="87" t="n"/>
      <c r="R5" s="87" t="n"/>
      <c r="S5" s="87" t="n"/>
      <c r="T5" s="202">
        <f>IF(P5="","",Performance!$G$13/60*P5)</f>
        <v/>
      </c>
      <c r="U5" s="203">
        <f>IF(T5="","",$U$22-SUM($T$3:T5))</f>
        <v/>
      </c>
      <c r="W5" s="202">
        <f>O5/P5*$W$2</f>
        <v/>
      </c>
      <c r="X5" s="202">
        <f>$W5*X$2/2</f>
        <v/>
      </c>
      <c r="Y5" s="202">
        <f>$W5*Y$2/2</f>
        <v/>
      </c>
      <c r="Z5" s="202">
        <f>$W5*Z$2/2</f>
        <v/>
      </c>
      <c r="AA5" s="202">
        <f>$W5*AA$2/2</f>
        <v/>
      </c>
      <c r="AB5" s="202">
        <f>$W5*AB$2/2</f>
        <v/>
      </c>
      <c r="AC5" s="202">
        <f>$W5*AC$2/2</f>
        <v/>
      </c>
      <c r="AD5" s="202">
        <f>$W5*AD$2/2</f>
        <v/>
      </c>
    </row>
    <row r="6" ht="14" customHeight="1" s="177">
      <c r="A6" s="78">
        <f>IF(B6="","",B5)</f>
        <v/>
      </c>
      <c r="B6" s="79" t="inlineStr">
        <is>
          <t>PORTEL</t>
        </is>
      </c>
      <c r="C6" s="80" t="n">
        <v>6500</v>
      </c>
      <c r="D6" s="81" t="n">
        <v>230</v>
      </c>
      <c r="E6" s="82" t="n">
        <v>16</v>
      </c>
      <c r="F6" s="80" t="n">
        <v>84</v>
      </c>
      <c r="G6" s="81" t="n">
        <v>307</v>
      </c>
      <c r="H6" s="81">
        <f>IF(G6="","",G6+2)</f>
        <v/>
      </c>
      <c r="I6" s="81" t="n">
        <v>296</v>
      </c>
      <c r="J6" s="81">
        <f>IF(I6="","",I6+2)</f>
        <v/>
      </c>
      <c r="K6" s="83">
        <f>IF(B6="","",B6)</f>
        <v/>
      </c>
      <c r="L6" s="80">
        <f>IF(C6="","",C6)</f>
        <v/>
      </c>
      <c r="M6" s="81">
        <f>IF(J6="","",J6)</f>
        <v/>
      </c>
      <c r="N6" s="80" t="n">
        <v>79</v>
      </c>
      <c r="O6" s="80" t="n">
        <v>9</v>
      </c>
      <c r="P6" s="84">
        <f>IF(N6="","",O6/N6*60)</f>
        <v/>
      </c>
      <c r="Q6" s="87" t="n"/>
      <c r="R6" s="87" t="n"/>
      <c r="S6" s="87" t="n"/>
      <c r="T6" s="202">
        <f>IF(P6="","",Performance!$G$13/60*P6)</f>
        <v/>
      </c>
      <c r="U6" s="203">
        <f>IF(T6="","",$U$22-SUM($T$3:T6))</f>
        <v/>
      </c>
      <c r="W6" s="202">
        <f>O6/P6*$W$2</f>
        <v/>
      </c>
      <c r="X6" s="202">
        <f>$W6*X$2/2</f>
        <v/>
      </c>
      <c r="Y6" s="202">
        <f>$W6*Y$2/2</f>
        <v/>
      </c>
      <c r="Z6" s="202">
        <f>$W6*Z$2/2</f>
        <v/>
      </c>
      <c r="AA6" s="202">
        <f>$W6*AA$2/2</f>
        <v/>
      </c>
      <c r="AB6" s="202">
        <f>$W6*AB$2/2</f>
        <v/>
      </c>
      <c r="AC6" s="202">
        <f>$W6*AC$2/2</f>
        <v/>
      </c>
      <c r="AD6" s="202">
        <f>$W6*AD$2/2</f>
        <v/>
      </c>
    </row>
    <row r="7" ht="14" customHeight="1" s="177">
      <c r="A7" s="78">
        <f>IF(B7="","",B6)</f>
        <v/>
      </c>
      <c r="B7" s="79" t="inlineStr">
        <is>
          <t>VIANA</t>
        </is>
      </c>
      <c r="C7" s="80" t="n"/>
      <c r="D7" s="81" t="n">
        <v>230</v>
      </c>
      <c r="E7" s="82" t="n">
        <v>16</v>
      </c>
      <c r="F7" s="80" t="n">
        <v>84</v>
      </c>
      <c r="G7" s="81" t="n">
        <v>276</v>
      </c>
      <c r="H7" s="81">
        <f>IF(G7="","",G7+2)</f>
        <v/>
      </c>
      <c r="I7" s="81" t="n">
        <v>268</v>
      </c>
      <c r="J7" s="81">
        <f>IF(I7="","",I7+2)</f>
        <v/>
      </c>
      <c r="K7" s="83">
        <f>IF(B7="","",B7)</f>
        <v/>
      </c>
      <c r="L7" s="80">
        <f>IF(C7="","",C7)</f>
        <v/>
      </c>
      <c r="M7" s="81">
        <f>IF(J7="","",J7)</f>
        <v/>
      </c>
      <c r="N7" s="80" t="n">
        <v>72</v>
      </c>
      <c r="O7" s="80" t="n">
        <v>14</v>
      </c>
      <c r="P7" s="84">
        <f>IF(N7="","",O7/N7*60)</f>
        <v/>
      </c>
      <c r="Q7" s="87" t="n"/>
      <c r="R7" s="87" t="n"/>
      <c r="S7" s="87" t="n"/>
      <c r="T7" s="202">
        <f>IF(P7="","",Performance!$G$13/60*P7)</f>
        <v/>
      </c>
      <c r="U7" s="203">
        <f>IF(T7="","",$U$22-SUM($T$3:T7))</f>
        <v/>
      </c>
      <c r="W7" s="202">
        <f>O7/P7*$W$2</f>
        <v/>
      </c>
      <c r="X7" s="202">
        <f>$W7*X$2/2</f>
        <v/>
      </c>
      <c r="Y7" s="202">
        <f>$W7*Y$2/2</f>
        <v/>
      </c>
      <c r="Z7" s="202">
        <f>$W7*Z$2/2</f>
        <v/>
      </c>
      <c r="AA7" s="202">
        <f>$W7*AA$2/2</f>
        <v/>
      </c>
      <c r="AB7" s="202">
        <f>$W7*AB$2/2</f>
        <v/>
      </c>
      <c r="AC7" s="202">
        <f>$W7*AC$2/2</f>
        <v/>
      </c>
      <c r="AD7" s="202">
        <f>$W7*AD$2/2</f>
        <v/>
      </c>
    </row>
    <row r="8" ht="14" customHeight="1" s="177">
      <c r="A8" s="78">
        <f>IF(B8="","",B7)</f>
        <v/>
      </c>
      <c r="B8" s="79" t="inlineStr">
        <is>
          <t>TORRÃO</t>
        </is>
      </c>
      <c r="C8" s="80" t="n"/>
      <c r="D8" s="81" t="n">
        <v>230</v>
      </c>
      <c r="E8" s="82" t="n">
        <v>16</v>
      </c>
      <c r="F8" s="80" t="n">
        <v>84</v>
      </c>
      <c r="G8" s="81" t="n">
        <v>256</v>
      </c>
      <c r="H8" s="81">
        <f>IF(G8="","",G8+2)</f>
        <v/>
      </c>
      <c r="I8" s="81" t="n">
        <v>251</v>
      </c>
      <c r="J8" s="81">
        <f>IF(I8="","",I8+2)</f>
        <v/>
      </c>
      <c r="K8" s="83">
        <f>IF(B8="","",B8)</f>
        <v/>
      </c>
      <c r="L8" s="80">
        <f>IF(C8="","",C8)</f>
        <v/>
      </c>
      <c r="M8" s="81">
        <f>IF(J8="","",J8)</f>
        <v/>
      </c>
      <c r="N8" s="80" t="n">
        <v>70</v>
      </c>
      <c r="O8" s="80" t="n">
        <v>11</v>
      </c>
      <c r="P8" s="84">
        <f>IF(N8="","",O8/N8*60)</f>
        <v/>
      </c>
      <c r="Q8" s="87" t="n"/>
      <c r="R8" s="87" t="n"/>
      <c r="S8" s="87" t="n"/>
      <c r="T8" s="202">
        <f>IF(P8="","",Performance!$G$13/60*P8)</f>
        <v/>
      </c>
      <c r="U8" s="203">
        <f>IF(T8="","",$U$22-SUM($T$3:T8))</f>
        <v/>
      </c>
      <c r="W8" s="202">
        <f>O8/P8*$W$2</f>
        <v/>
      </c>
      <c r="X8" s="202">
        <f>$W8*X$2/2</f>
        <v/>
      </c>
      <c r="Y8" s="202">
        <f>$W8*Y$2/2</f>
        <v/>
      </c>
      <c r="Z8" s="202">
        <f>$W8*Z$2/2</f>
        <v/>
      </c>
      <c r="AA8" s="202">
        <f>$W8*AA$2/2</f>
        <v/>
      </c>
      <c r="AB8" s="202">
        <f>$W8*AB$2/2</f>
        <v/>
      </c>
      <c r="AC8" s="202">
        <f>$W8*AC$2/2</f>
        <v/>
      </c>
      <c r="AD8" s="202">
        <f>$W8*AD$2/2</f>
        <v/>
      </c>
    </row>
    <row r="9" ht="14" customHeight="1" s="177">
      <c r="A9" s="78">
        <f>IF(B9="","",B8)</f>
        <v/>
      </c>
      <c r="B9" s="79" t="inlineStr">
        <is>
          <t>ALCÁCER</t>
        </is>
      </c>
      <c r="C9" s="80" t="n"/>
      <c r="D9" s="81" t="n">
        <v>230</v>
      </c>
      <c r="E9" s="82" t="n">
        <v>16</v>
      </c>
      <c r="F9" s="80" t="n">
        <v>84</v>
      </c>
      <c r="G9" s="81" t="n">
        <v>289</v>
      </c>
      <c r="H9" s="81">
        <f>IF(G9="","",G9+2)</f>
        <v/>
      </c>
      <c r="I9" s="81" t="n">
        <v>279</v>
      </c>
      <c r="J9" s="81">
        <f>IF(I9="","",I9+2)</f>
        <v/>
      </c>
      <c r="K9" s="83">
        <f>IF(B9="","",B9)</f>
        <v/>
      </c>
      <c r="L9" s="80">
        <f>IF(C9="","",C9)</f>
        <v/>
      </c>
      <c r="M9" s="81">
        <f>IF(J9="","",J9)</f>
        <v/>
      </c>
      <c r="N9" s="80" t="n">
        <v>74</v>
      </c>
      <c r="O9" s="80" t="n">
        <v>14</v>
      </c>
      <c r="P9" s="84">
        <f>IF(N9="","",O9/N9*60)</f>
        <v/>
      </c>
      <c r="Q9" s="87" t="n"/>
      <c r="R9" s="87" t="n"/>
      <c r="S9" s="87" t="n"/>
      <c r="T9" s="202">
        <f>IF(P9="","",Performance!$G$13/60*P9)</f>
        <v/>
      </c>
      <c r="U9" s="203">
        <f>IF(T9="","",$U$22-SUM($T$3:T9))</f>
        <v/>
      </c>
      <c r="W9" s="202">
        <f>O9/P9*$W$2</f>
        <v/>
      </c>
      <c r="X9" s="202">
        <f>$W9*X$2/2</f>
        <v/>
      </c>
      <c r="Y9" s="202">
        <f>$W9*Y$2/2</f>
        <v/>
      </c>
      <c r="Z9" s="202">
        <f>$W9*Z$2/2</f>
        <v/>
      </c>
      <c r="AA9" s="202">
        <f>$W9*AA$2/2</f>
        <v/>
      </c>
      <c r="AB9" s="202">
        <f>$W9*AB$2/2</f>
        <v/>
      </c>
      <c r="AC9" s="202">
        <f>$W9*AC$2/2</f>
        <v/>
      </c>
      <c r="AD9" s="202">
        <f>$W9*AD$2/2</f>
        <v/>
      </c>
    </row>
    <row r="10" ht="14" customHeight="1" s="177">
      <c r="A10" s="78">
        <f>IF(B10="","",B9)</f>
        <v/>
      </c>
      <c r="B10" s="79" t="inlineStr">
        <is>
          <t>S. CRIST.</t>
        </is>
      </c>
      <c r="C10" s="80" t="n"/>
      <c r="D10" s="81" t="n">
        <v>230</v>
      </c>
      <c r="E10" s="82" t="n">
        <v>16</v>
      </c>
      <c r="F10" s="80" t="n">
        <v>84</v>
      </c>
      <c r="G10" s="81" t="n">
        <v>54</v>
      </c>
      <c r="H10" s="81">
        <f>IF(G10="","",G10+2)</f>
        <v/>
      </c>
      <c r="I10" s="81" t="n">
        <v>55</v>
      </c>
      <c r="J10" s="81">
        <f>IF(I10="","",I10+2)</f>
        <v/>
      </c>
      <c r="K10" s="83">
        <f>IF(B10="","",B10)</f>
        <v/>
      </c>
      <c r="L10" s="80">
        <f>IF(C10="","",C10)</f>
        <v/>
      </c>
      <c r="M10" s="81">
        <f>IF(J10="","",J10)</f>
        <v/>
      </c>
      <c r="N10" s="80" t="n">
        <v>100</v>
      </c>
      <c r="O10" s="80" t="n">
        <v>12</v>
      </c>
      <c r="P10" s="84">
        <f>IF(N10="","",O10/N10*60)</f>
        <v/>
      </c>
      <c r="Q10" s="87" t="n"/>
      <c r="R10" s="87" t="n"/>
      <c r="S10" s="87" t="n"/>
      <c r="T10" s="202">
        <f>IF(P10="","",Performance!$G$13/60*P10)</f>
        <v/>
      </c>
      <c r="U10" s="203">
        <f>IF(T10="","",$U$22-SUM($T$3:T10))</f>
        <v/>
      </c>
      <c r="W10" s="202">
        <f>O10/P10*$W$2</f>
        <v/>
      </c>
      <c r="X10" s="202">
        <f>$W10*X$2/2</f>
        <v/>
      </c>
      <c r="Y10" s="202">
        <f>$W10*Y$2/2</f>
        <v/>
      </c>
      <c r="Z10" s="202">
        <f>$W10*Z$2/2</f>
        <v/>
      </c>
      <c r="AA10" s="202">
        <f>$W10*AA$2/2</f>
        <v/>
      </c>
      <c r="AB10" s="202">
        <f>$W10*AB$2/2</f>
        <v/>
      </c>
      <c r="AC10" s="202">
        <f>$W10*AC$2/2</f>
        <v/>
      </c>
      <c r="AD10" s="202">
        <f>$W10*AD$2/2</f>
        <v/>
      </c>
    </row>
    <row r="11" ht="14" customHeight="1" s="177">
      <c r="A11" s="78">
        <f>IF(B11="","",B10)</f>
        <v/>
      </c>
      <c r="B11" s="79" t="inlineStr">
        <is>
          <t>TOD</t>
        </is>
      </c>
      <c r="C11" s="80" t="n"/>
      <c r="D11" s="81" t="n">
        <v>230</v>
      </c>
      <c r="E11" s="82" t="n">
        <v>16</v>
      </c>
      <c r="F11" s="80" t="n">
        <v>84</v>
      </c>
      <c r="G11" s="81" t="n">
        <v>80</v>
      </c>
      <c r="H11" s="81">
        <f>IF(G11="","",G11+2)</f>
        <v/>
      </c>
      <c r="I11" s="81" t="n">
        <v>86</v>
      </c>
      <c r="J11" s="81">
        <f>IF(I11="","",I11+2)</f>
        <v/>
      </c>
      <c r="K11" s="83">
        <f>IF(B11="","",B11)</f>
        <v/>
      </c>
      <c r="L11" s="80">
        <f>IF(C11="","",C11)</f>
        <v/>
      </c>
      <c r="M11" s="81">
        <f>IF(J11="","",J11)</f>
        <v/>
      </c>
      <c r="N11" s="80" t="n">
        <v>98</v>
      </c>
      <c r="O11" s="80" t="n">
        <v>5</v>
      </c>
      <c r="P11" s="84">
        <f>IF(N11="","",O11/N11*60)</f>
        <v/>
      </c>
      <c r="Q11" s="87" t="n"/>
      <c r="R11" s="87" t="n"/>
      <c r="S11" s="87" t="n"/>
      <c r="T11" s="202">
        <f>IF(P11="","",Performance!$G$13/60*P11)</f>
        <v/>
      </c>
      <c r="U11" s="203">
        <f>IF(T11="","",$U$22-SUM($T$3:T11))</f>
        <v/>
      </c>
      <c r="W11" s="202">
        <f>O11/P11*$W$2</f>
        <v/>
      </c>
      <c r="X11" s="202">
        <f>$W11*X$2/2</f>
        <v/>
      </c>
      <c r="Y11" s="202">
        <f>$W11*Y$2/2</f>
        <v/>
      </c>
      <c r="Z11" s="202">
        <f>$W11*Z$2/2</f>
        <v/>
      </c>
      <c r="AA11" s="202">
        <f>$W11*AA$2/2</f>
        <v/>
      </c>
      <c r="AB11" s="202">
        <f>$W11*AB$2/2</f>
        <v/>
      </c>
      <c r="AC11" s="202">
        <f>$W11*AC$2/2</f>
        <v/>
      </c>
      <c r="AD11" s="202">
        <f>$W11*AD$2/2</f>
        <v/>
      </c>
    </row>
    <row r="12" ht="14" customHeight="1" s="177">
      <c r="A12" s="78">
        <f>IF(B12="","",B11)</f>
        <v/>
      </c>
      <c r="B12" s="79" t="inlineStr">
        <is>
          <t>VALVE</t>
        </is>
      </c>
      <c r="C12" s="80" t="n">
        <v>2300</v>
      </c>
      <c r="D12" s="81" t="n">
        <v>230</v>
      </c>
      <c r="E12" s="82" t="n">
        <v>11</v>
      </c>
      <c r="F12" s="80" t="n">
        <v>70</v>
      </c>
      <c r="G12" s="81" t="n">
        <v>80</v>
      </c>
      <c r="H12" s="81">
        <f>IF(G12="","",G12+2)</f>
        <v/>
      </c>
      <c r="I12" s="81" t="n">
        <v>85</v>
      </c>
      <c r="J12" s="81">
        <f>IF(I12="","",I12+2)</f>
        <v/>
      </c>
      <c r="K12" s="83">
        <f>IF(B12="","",B12)</f>
        <v/>
      </c>
      <c r="L12" s="80">
        <f>IF(C12="","",C12)</f>
        <v/>
      </c>
      <c r="M12" s="81">
        <f>IF(J12="","",J12)</f>
        <v/>
      </c>
      <c r="N12" s="80" t="n">
        <v>79</v>
      </c>
      <c r="O12" s="80" t="n">
        <v>9</v>
      </c>
      <c r="P12" s="84">
        <f>IF(N12="","",O12/N12*60)</f>
        <v/>
      </c>
      <c r="Q12" s="87" t="n"/>
      <c r="R12" s="87" t="n"/>
      <c r="S12" s="87" t="n"/>
      <c r="T12" s="202">
        <f>IF(P12="","",Performance!$G$13/60*P12)</f>
        <v/>
      </c>
      <c r="U12" s="203">
        <f>IF(T12="","",$U$22-SUM($T$3:T12))</f>
        <v/>
      </c>
      <c r="W12" s="202">
        <f>O12/P12*$W$2</f>
        <v/>
      </c>
      <c r="X12" s="202">
        <f>$W12*X$2/2</f>
        <v/>
      </c>
      <c r="Y12" s="202">
        <f>$W12*Y$2/2</f>
        <v/>
      </c>
      <c r="Z12" s="202">
        <f>$W12*Z$2/2</f>
        <v/>
      </c>
      <c r="AA12" s="202">
        <f>$W12*AA$2/2</f>
        <v/>
      </c>
      <c r="AB12" s="202">
        <f>$W12*AB$2/2</f>
        <v/>
      </c>
      <c r="AC12" s="202">
        <f>$W12*AC$2/2</f>
        <v/>
      </c>
      <c r="AD12" s="202">
        <f>$W12*AD$2/2</f>
        <v/>
      </c>
    </row>
    <row r="13" ht="14" customHeight="1" s="177">
      <c r="A13" s="78">
        <f>IF(B13="","",B12)</f>
        <v/>
      </c>
      <c r="B13" s="79" t="n"/>
      <c r="C13" s="80" t="n"/>
      <c r="D13" s="81" t="n"/>
      <c r="E13" s="82" t="n"/>
      <c r="F13" s="80" t="n"/>
      <c r="G13" s="81" t="n"/>
      <c r="H13" s="81">
        <f>IF(G13="","",G13+2)</f>
        <v/>
      </c>
      <c r="I13" s="81" t="n"/>
      <c r="J13" s="81">
        <f>IF(I13="","",I13+2)</f>
        <v/>
      </c>
      <c r="K13" s="83">
        <f>IF(B13="","",B13)</f>
        <v/>
      </c>
      <c r="L13" s="80">
        <f>IF(C13="","",C13)</f>
        <v/>
      </c>
      <c r="M13" s="81">
        <f>IF(J13="","",J13)</f>
        <v/>
      </c>
      <c r="N13" s="80" t="n"/>
      <c r="O13" s="80" t="n"/>
      <c r="P13" s="84">
        <f>IF(N13="","",O13/N13*60)</f>
        <v/>
      </c>
      <c r="Q13" s="87" t="n"/>
      <c r="R13" s="87" t="n"/>
      <c r="S13" s="87" t="n"/>
      <c r="T13" s="202">
        <f>IF(P13="","",Performance!$G$13/60*P13)</f>
        <v/>
      </c>
      <c r="U13" s="203">
        <f>IF(T13="","",$U$22-SUM($T$3:T13))</f>
        <v/>
      </c>
      <c r="W13" s="202">
        <f>O13/P13*2</f>
        <v/>
      </c>
      <c r="X13" s="202">
        <f>$W13*X$2/2</f>
        <v/>
      </c>
      <c r="Y13" s="202">
        <f>$W13*Y$2/2</f>
        <v/>
      </c>
      <c r="Z13" s="202">
        <f>$W13*Z$2/2</f>
        <v/>
      </c>
      <c r="AA13" s="202">
        <f>$W13*AA$2/2</f>
        <v/>
      </c>
      <c r="AB13" s="202">
        <f>$W13*AB$2/2</f>
        <v/>
      </c>
      <c r="AC13" s="202">
        <f>$W13*AC$2/2</f>
        <v/>
      </c>
      <c r="AD13" s="202">
        <f>$W13*AD$2/2</f>
        <v/>
      </c>
    </row>
    <row r="14" ht="14" customHeight="1" s="177">
      <c r="A14" s="78">
        <f>IF(B14="","",B13)</f>
        <v/>
      </c>
      <c r="B14" s="79" t="n"/>
      <c r="C14" s="80" t="n"/>
      <c r="D14" s="81" t="n"/>
      <c r="E14" s="82" t="n"/>
      <c r="F14" s="80" t="n"/>
      <c r="G14" s="81" t="n"/>
      <c r="H14" s="81">
        <f>IF(G14="","",G14+2)</f>
        <v/>
      </c>
      <c r="I14" s="81" t="n"/>
      <c r="J14" s="81">
        <f>IF(I14="","",I14+2)</f>
        <v/>
      </c>
      <c r="K14" s="83">
        <f>IF(B14="","",B14)</f>
        <v/>
      </c>
      <c r="L14" s="80">
        <f>IF(C14="","",C14)</f>
        <v/>
      </c>
      <c r="M14" s="81">
        <f>IF(J14="","",J14)</f>
        <v/>
      </c>
      <c r="N14" s="80" t="n"/>
      <c r="O14" s="80" t="n"/>
      <c r="P14" s="84">
        <f>IF(N14="","",O14/N14*60)</f>
        <v/>
      </c>
      <c r="Q14" s="87" t="n"/>
      <c r="R14" s="87" t="n"/>
      <c r="S14" s="87" t="n"/>
      <c r="T14" s="202">
        <f>IF(P14="","",Performance!$G$13/60*P14)</f>
        <v/>
      </c>
      <c r="U14" s="203">
        <f>IF(T14="","",$U$22-SUM($T$3:T14))</f>
        <v/>
      </c>
      <c r="W14" s="202">
        <f>O14/P14*$W$2</f>
        <v/>
      </c>
      <c r="X14" s="202">
        <f>$W14*X$2/2</f>
        <v/>
      </c>
      <c r="Y14" s="202">
        <f>$W14*Y$2/2</f>
        <v/>
      </c>
      <c r="Z14" s="202">
        <f>$W14*Z$2/2</f>
        <v/>
      </c>
      <c r="AA14" s="202">
        <f>$W14*AA$2/2</f>
        <v/>
      </c>
      <c r="AB14" s="202">
        <f>$W14*AB$2/2</f>
        <v/>
      </c>
      <c r="AC14" s="202">
        <f>$W14*AC$2/2</f>
        <v/>
      </c>
      <c r="AD14" s="202">
        <f>$W14*AD$2/2</f>
        <v/>
      </c>
    </row>
    <row r="15" ht="14" customHeight="1" s="177">
      <c r="A15" s="78">
        <f>IF(B15="","",B14)</f>
        <v/>
      </c>
      <c r="B15" s="79" t="n"/>
      <c r="C15" s="80" t="n"/>
      <c r="D15" s="81" t="n"/>
      <c r="E15" s="82" t="n"/>
      <c r="F15" s="80" t="n"/>
      <c r="G15" s="81" t="n"/>
      <c r="H15" s="81">
        <f>IF(G15="","",G15+2)</f>
        <v/>
      </c>
      <c r="I15" s="81" t="n"/>
      <c r="J15" s="81">
        <f>IF(I15="","",I15+2)</f>
        <v/>
      </c>
      <c r="K15" s="83">
        <f>IF(B15="","",B15)</f>
        <v/>
      </c>
      <c r="L15" s="80">
        <f>IF(C15="","",C15)</f>
        <v/>
      </c>
      <c r="M15" s="81">
        <f>IF(J15="","",J15)</f>
        <v/>
      </c>
      <c r="N15" s="80" t="n"/>
      <c r="O15" s="80" t="n"/>
      <c r="P15" s="84">
        <f>IF(N15="","",O15/N15*60)</f>
        <v/>
      </c>
      <c r="Q15" s="87" t="n"/>
      <c r="R15" s="87" t="n"/>
      <c r="S15" s="87" t="n"/>
      <c r="T15" s="202">
        <f>IF(P15="","",Performance!$G$13/60*P15)</f>
        <v/>
      </c>
      <c r="U15" s="203">
        <f>IF(T15="","",$U$22-SUM($T$3:T15))</f>
        <v/>
      </c>
      <c r="W15" s="202">
        <f>O15/P15*$W$2</f>
        <v/>
      </c>
      <c r="X15" s="202">
        <f>$W15*X$2/2</f>
        <v/>
      </c>
      <c r="Y15" s="202">
        <f>$W15*Y$2/2</f>
        <v/>
      </c>
      <c r="Z15" s="202">
        <f>$W15*Z$2/2</f>
        <v/>
      </c>
      <c r="AA15" s="202">
        <f>$W15*AA$2/2</f>
        <v/>
      </c>
      <c r="AB15" s="202">
        <f>$W15*AB$2/2</f>
        <v/>
      </c>
      <c r="AC15" s="202">
        <f>$W15*AC$2/2</f>
        <v/>
      </c>
      <c r="AD15" s="202">
        <f>$W15*AD$2/2</f>
        <v/>
      </c>
    </row>
    <row r="16" ht="15" customHeight="1" s="177" thickBot="1">
      <c r="A16" s="89">
        <f>IF(B16="","",B15)</f>
        <v/>
      </c>
      <c r="B16" s="90" t="n"/>
      <c r="C16" s="91" t="n"/>
      <c r="D16" s="92" t="n"/>
      <c r="E16" s="93" t="n"/>
      <c r="F16" s="91" t="n"/>
      <c r="G16" s="92" t="n"/>
      <c r="H16" s="92">
        <f>IF(G16="","",G16+2)</f>
        <v/>
      </c>
      <c r="I16" s="92" t="n"/>
      <c r="J16" s="92">
        <f>IF(I16="","",I16+2)</f>
        <v/>
      </c>
      <c r="K16" s="94">
        <f>IF(B16="","",B16)</f>
        <v/>
      </c>
      <c r="L16" s="91">
        <f>IF(C16="","",C16)</f>
        <v/>
      </c>
      <c r="M16" s="92">
        <f>IF(J16="","",J16)</f>
        <v/>
      </c>
      <c r="N16" s="91" t="n"/>
      <c r="O16" s="91" t="n"/>
      <c r="P16" s="95">
        <f>IF(N16="","",O16/N16*60)</f>
        <v/>
      </c>
      <c r="Q16" s="96" t="n"/>
      <c r="R16" s="96" t="n"/>
      <c r="S16" s="96" t="n"/>
      <c r="T16" s="204">
        <f>IF(P16="","",Performance!$G$13/60*P16)</f>
        <v/>
      </c>
      <c r="U16" s="205">
        <f>IF(T16="","",$U$22-SUM($T$3:T16))</f>
        <v/>
      </c>
      <c r="W16" s="202">
        <f>O16/P16*2</f>
        <v/>
      </c>
      <c r="X16" s="202">
        <f>$W16*X$2/2</f>
        <v/>
      </c>
      <c r="Y16" s="202">
        <f>$W16*Y$2/2</f>
        <v/>
      </c>
      <c r="Z16" s="202">
        <f>$W16*Z$2/2</f>
        <v/>
      </c>
      <c r="AA16" s="202">
        <f>$W16*AA$2/2</f>
        <v/>
      </c>
      <c r="AB16" s="202">
        <f>$W16*AB$2/2</f>
        <v/>
      </c>
      <c r="AC16" s="202">
        <f>$W16*AC$2/2</f>
        <v/>
      </c>
      <c r="AD16" s="202">
        <f>$W16*AD$2/2</f>
        <v/>
      </c>
    </row>
    <row r="17" ht="12.75" customHeight="1" s="177" thickBot="1" thickTop="1">
      <c r="A17" s="147" t="inlineStr">
        <is>
          <t>ALTERNATE</t>
        </is>
      </c>
      <c r="B17" s="196" t="n"/>
      <c r="C17" s="196" t="n"/>
      <c r="D17" s="196" t="n"/>
      <c r="E17" s="196" t="n"/>
      <c r="F17" s="196" t="n"/>
      <c r="G17" s="196" t="n"/>
      <c r="H17" s="196" t="n"/>
      <c r="I17" s="196" t="n"/>
      <c r="J17" s="196" t="n"/>
      <c r="K17" s="196" t="n"/>
      <c r="L17" s="196" t="n"/>
      <c r="M17" s="196" t="n"/>
      <c r="N17" s="197" t="n"/>
      <c r="O17" s="99">
        <f>SUM(O3:O16)</f>
        <v/>
      </c>
      <c r="P17" s="100">
        <f>SUM(P3:P16)</f>
        <v/>
      </c>
      <c r="Q17" s="101" t="inlineStr">
        <is>
          <t>TOTAL</t>
        </is>
      </c>
      <c r="R17" s="151" t="inlineStr">
        <is>
          <t>FUEL REQUIRED</t>
        </is>
      </c>
      <c r="T17" s="206" t="n"/>
      <c r="U17" s="207">
        <f>SUM(T3:T16)</f>
        <v/>
      </c>
    </row>
    <row r="18" ht="19.25" customHeight="1" s="177">
      <c r="A18" s="65" t="inlineStr">
        <is>
          <t>FROM</t>
        </is>
      </c>
      <c r="B18" s="148" t="inlineStr">
        <is>
          <t>TO</t>
        </is>
      </c>
      <c r="C18" s="148" t="inlineStr">
        <is>
          <t>ALT</t>
        </is>
      </c>
      <c r="D18" s="148" t="inlineStr">
        <is>
          <t>WIND</t>
        </is>
      </c>
      <c r="E18" s="198" t="n"/>
      <c r="F18" s="148" t="inlineStr">
        <is>
          <t>T.TRK</t>
        </is>
      </c>
      <c r="G18" s="148" t="inlineStr">
        <is>
          <t>M.TRK</t>
        </is>
      </c>
      <c r="H18" s="148" t="inlineStr">
        <is>
          <t>TAS</t>
        </is>
      </c>
      <c r="I18" s="148" t="inlineStr">
        <is>
          <t>T.HDG</t>
        </is>
      </c>
      <c r="J18" s="148" t="inlineStr">
        <is>
          <t>M.HDG</t>
        </is>
      </c>
      <c r="K18" s="148" t="inlineStr">
        <is>
          <t>TO</t>
        </is>
      </c>
      <c r="L18" s="148" t="inlineStr">
        <is>
          <t>ALT</t>
        </is>
      </c>
      <c r="M18" s="148" t="inlineStr">
        <is>
          <t>M. HDG</t>
        </is>
      </c>
      <c r="N18" s="148" t="inlineStr">
        <is>
          <t>GS</t>
        </is>
      </c>
      <c r="O18" s="148" t="inlineStr">
        <is>
          <t>DIST</t>
        </is>
      </c>
      <c r="P18" s="148" t="inlineStr">
        <is>
          <t>EET</t>
        </is>
      </c>
      <c r="Q18" s="103" t="inlineStr">
        <is>
          <t>FUEL</t>
        </is>
      </c>
      <c r="R18" s="151" t="inlineStr">
        <is>
          <t>ALTERNATE FUEL</t>
        </is>
      </c>
      <c r="T18" s="206" t="n"/>
      <c r="U18" s="208">
        <f>MAX(Q19:Q21)</f>
        <v/>
      </c>
    </row>
    <row r="19" ht="12.75" customHeight="1" s="177">
      <c r="A19" s="67" t="inlineStr">
        <is>
          <t>LPEV</t>
        </is>
      </c>
      <c r="B19" s="68" t="inlineStr">
        <is>
          <t>LPBJ</t>
        </is>
      </c>
      <c r="C19" s="69" t="n">
        <v>3000</v>
      </c>
      <c r="D19" s="70" t="n">
        <v>230</v>
      </c>
      <c r="E19" s="71" t="n">
        <v>11</v>
      </c>
      <c r="F19" s="70" t="n">
        <v>205</v>
      </c>
      <c r="G19" s="70" t="n">
        <v>209</v>
      </c>
      <c r="H19" s="69" t="n">
        <v>84</v>
      </c>
      <c r="I19" s="70" t="n">
        <v>203</v>
      </c>
      <c r="J19" s="105">
        <f>IF(I19="","",I19+2)</f>
        <v/>
      </c>
      <c r="K19" s="72">
        <f>IF(B19="","",B19)</f>
        <v/>
      </c>
      <c r="L19" s="69">
        <f>IF(C19="","",C19)</f>
        <v/>
      </c>
      <c r="M19" s="70">
        <f>IF(J19="","",J19)</f>
        <v/>
      </c>
      <c r="N19" s="69" t="n">
        <v>74</v>
      </c>
      <c r="O19" s="69" t="n">
        <v>29</v>
      </c>
      <c r="P19" s="84">
        <f>IF(N19="","",O19/N19*60)</f>
        <v/>
      </c>
      <c r="Q19" s="203">
        <f>IF(O19="","",Performance!G13/60*P19)</f>
        <v/>
      </c>
      <c r="R19" s="151" t="inlineStr">
        <is>
          <t>TAXI FUEL</t>
        </is>
      </c>
      <c r="T19" s="206" t="n"/>
      <c r="U19" s="208" t="n">
        <v>2</v>
      </c>
    </row>
    <row r="20" ht="12.75" customHeight="1" s="177">
      <c r="A20" s="78" t="inlineStr">
        <is>
          <t>LPEV</t>
        </is>
      </c>
      <c r="B20" s="79" t="inlineStr">
        <is>
          <t>LPSO</t>
        </is>
      </c>
      <c r="C20" s="80" t="n">
        <v>3000</v>
      </c>
      <c r="D20" s="81" t="n">
        <v>230</v>
      </c>
      <c r="E20" s="82" t="n">
        <v>11</v>
      </c>
      <c r="F20" s="81" t="n">
        <v>349</v>
      </c>
      <c r="G20" s="81">
        <f>IF(F20="","",F20+2)</f>
        <v/>
      </c>
      <c r="H20" s="80" t="n">
        <v>84</v>
      </c>
      <c r="I20" s="81" t="n">
        <v>342</v>
      </c>
      <c r="J20" s="106">
        <f>IF(I20="","",I20+2)</f>
        <v/>
      </c>
      <c r="K20" s="83">
        <f>IF(B20="","",B20)</f>
        <v/>
      </c>
      <c r="L20" s="80">
        <f>IF(C20="","",C20)</f>
        <v/>
      </c>
      <c r="M20" s="81">
        <f>IF(J20="","",J20)</f>
        <v/>
      </c>
      <c r="N20" s="80" t="n">
        <v>91</v>
      </c>
      <c r="O20" s="80" t="n">
        <v>41</v>
      </c>
      <c r="P20" s="107">
        <f>IF(N20="","",O20/N20*60)</f>
        <v/>
      </c>
      <c r="Q20" s="203">
        <f>IF(O20="","",Performance!G13/60*P20)</f>
        <v/>
      </c>
      <c r="R20" s="151" t="inlineStr">
        <is>
          <t>5% CONTINGENCY</t>
        </is>
      </c>
      <c r="T20" s="206" t="n"/>
      <c r="U20" s="208">
        <f>SUM(U17:U19)*0.05</f>
        <v/>
      </c>
    </row>
    <row r="21" ht="12.75" customHeight="1" s="177">
      <c r="A21" s="89" t="n"/>
      <c r="B21" s="90" t="n"/>
      <c r="C21" s="91" t="n"/>
      <c r="D21" s="92" t="n"/>
      <c r="E21" s="91" t="n"/>
      <c r="F21" s="92" t="n"/>
      <c r="G21" s="92">
        <f>IF(F21="","",F21+2)</f>
        <v/>
      </c>
      <c r="H21" s="91" t="n"/>
      <c r="I21" s="92" t="n"/>
      <c r="J21" s="108">
        <f>IF(I21="","",I21+2)</f>
        <v/>
      </c>
      <c r="K21" s="94">
        <f>IF(B21="","",B21)</f>
        <v/>
      </c>
      <c r="L21" s="91">
        <f>IF(C21="","",C21)</f>
        <v/>
      </c>
      <c r="M21" s="92">
        <f>IF(J21="","",J21)</f>
        <v/>
      </c>
      <c r="N21" s="91" t="n"/>
      <c r="O21" s="91" t="n"/>
      <c r="P21" s="109">
        <f>IF(N21="","",O21/N21*60)</f>
        <v/>
      </c>
      <c r="Q21" s="110">
        <f>IF(O21="","",14/60*P21)</f>
        <v/>
      </c>
      <c r="R21" s="151" t="inlineStr">
        <is>
          <t>45 min. HOLDING</t>
        </is>
      </c>
      <c r="T21" s="206" t="n"/>
      <c r="U21" s="208">
        <f>Performance!G13*0.75</f>
        <v/>
      </c>
    </row>
    <row r="22" ht="12.75" customHeight="1" s="177">
      <c r="R22" s="152" t="inlineStr">
        <is>
          <t>TOTAL FUEL REQUIRED</t>
        </is>
      </c>
      <c r="S22" s="199" t="n"/>
      <c r="T22" s="201" t="n"/>
      <c r="U22" s="209">
        <f>IF(U17="","",SUM(U17:U21))</f>
        <v/>
      </c>
    </row>
    <row r="24" ht="14.25" customHeight="1" s="177">
      <c r="A24" s="153" t="inlineStr">
        <is>
          <t>REMARKS</t>
        </is>
      </c>
      <c r="B24" s="196" t="n"/>
      <c r="C24" s="196" t="n"/>
      <c r="D24" s="196" t="n"/>
      <c r="E24" s="196" t="n"/>
      <c r="F24" s="196" t="n"/>
      <c r="G24" s="196" t="n"/>
      <c r="H24" s="196" t="n"/>
      <c r="I24" s="197" t="n"/>
      <c r="K24" s="154" t="inlineStr">
        <is>
          <t>FLIGHT  FUEL MANAGEMENT</t>
        </is>
      </c>
      <c r="L24" s="196" t="n"/>
      <c r="M24" s="196" t="n"/>
      <c r="N24" s="196" t="n"/>
      <c r="O24" s="196" t="n"/>
      <c r="P24" s="196" t="n"/>
      <c r="Q24" s="196" t="n"/>
      <c r="R24" s="196" t="n"/>
      <c r="S24" s="196" t="n"/>
      <c r="T24" s="196" t="n"/>
      <c r="U24" s="196" t="n"/>
      <c r="V24" s="112" t="n"/>
    </row>
    <row r="25" ht="12.75" customHeight="1" s="177">
      <c r="A25" s="155" t="n"/>
      <c r="B25" s="210" t="n"/>
      <c r="C25" s="210" t="n"/>
      <c r="D25" s="210" t="n"/>
      <c r="E25" s="210" t="n"/>
      <c r="F25" s="210" t="n"/>
      <c r="G25" s="210" t="n"/>
      <c r="H25" s="210" t="n"/>
      <c r="I25" s="211" t="n"/>
      <c r="K25" s="113" t="inlineStr">
        <is>
          <t>ELAPSED TIME</t>
        </is>
      </c>
      <c r="L25" s="156" t="inlineStr">
        <is>
          <t>LH GAUGE</t>
        </is>
      </c>
      <c r="M25" s="198" t="n"/>
      <c r="N25" s="156" t="inlineStr">
        <is>
          <t>RH GAUGE</t>
        </is>
      </c>
      <c r="O25" s="198" t="n"/>
      <c r="P25" s="156" t="inlineStr">
        <is>
          <t>FUEL REMAIN</t>
        </is>
      </c>
      <c r="Q25" s="198" t="n"/>
      <c r="R25" s="156" t="inlineStr">
        <is>
          <t>FUEL USED</t>
        </is>
      </c>
      <c r="S25" s="198" t="n"/>
      <c r="T25" s="157" t="inlineStr">
        <is>
          <t>ENDURANCE</t>
        </is>
      </c>
      <c r="U25" s="197" t="n"/>
    </row>
    <row r="26">
      <c r="A26" s="112" t="n"/>
      <c r="I26" s="206" t="n"/>
      <c r="K26" s="114" t="n"/>
      <c r="L26" s="158" t="n"/>
      <c r="M26" s="212" t="n"/>
      <c r="N26" s="158" t="n"/>
      <c r="O26" s="212" t="n"/>
      <c r="P26" s="159" t="n"/>
      <c r="Q26" s="213" t="n"/>
      <c r="R26" s="159" t="n"/>
      <c r="S26" s="213" t="n"/>
      <c r="T26" s="160" t="n"/>
      <c r="U26" s="214" t="n"/>
    </row>
    <row r="27">
      <c r="A27" s="112" t="n"/>
      <c r="I27" s="206" t="n"/>
      <c r="K27" s="115" t="n"/>
      <c r="L27" s="161" t="n"/>
      <c r="M27" s="215" t="n"/>
      <c r="N27" s="161" t="n"/>
      <c r="O27" s="215" t="n"/>
      <c r="P27" s="159" t="n"/>
      <c r="Q27" s="213" t="n"/>
      <c r="R27" s="159" t="n"/>
      <c r="S27" s="213" t="n"/>
      <c r="T27" s="162" t="n"/>
      <c r="U27" s="216" t="n"/>
    </row>
    <row r="28">
      <c r="A28" s="112" t="n"/>
      <c r="I28" s="206" t="n"/>
      <c r="K28" s="115" t="n"/>
      <c r="L28" s="161" t="n"/>
      <c r="M28" s="215" t="n"/>
      <c r="N28" s="161" t="n"/>
      <c r="O28" s="215" t="n"/>
      <c r="P28" s="159" t="n"/>
      <c r="Q28" s="213" t="n"/>
      <c r="R28" s="159" t="n"/>
      <c r="S28" s="213" t="n"/>
      <c r="T28" s="162" t="n"/>
      <c r="U28" s="216" t="n"/>
    </row>
    <row r="29">
      <c r="A29" s="112" t="n"/>
      <c r="I29" s="206" t="n"/>
      <c r="K29" s="115" t="n"/>
      <c r="L29" s="161" t="n"/>
      <c r="M29" s="215" t="n"/>
      <c r="N29" s="161" t="n"/>
      <c r="O29" s="215" t="n"/>
      <c r="P29" s="159" t="n"/>
      <c r="Q29" s="213" t="n"/>
      <c r="R29" s="159" t="n"/>
      <c r="S29" s="213" t="n"/>
      <c r="T29" s="162" t="n"/>
      <c r="U29" s="216" t="n"/>
    </row>
    <row r="30">
      <c r="A30" s="112" t="n"/>
      <c r="I30" s="206" t="n"/>
      <c r="K30" s="115" t="n"/>
      <c r="L30" s="161" t="n"/>
      <c r="M30" s="215" t="n"/>
      <c r="N30" s="161" t="n"/>
      <c r="O30" s="215" t="n"/>
      <c r="P30" s="159" t="n"/>
      <c r="Q30" s="213" t="n"/>
      <c r="R30" s="159" t="n"/>
      <c r="S30" s="213" t="n"/>
      <c r="T30" s="162" t="n"/>
      <c r="U30" s="216" t="n"/>
    </row>
    <row r="31">
      <c r="A31" s="217" t="n"/>
      <c r="B31" s="199" t="n"/>
      <c r="C31" s="199" t="n"/>
      <c r="D31" s="199" t="n"/>
      <c r="E31" s="199" t="n"/>
      <c r="F31" s="199" t="n"/>
      <c r="G31" s="199" t="n"/>
      <c r="H31" s="199" t="n"/>
      <c r="I31" s="201" t="n"/>
      <c r="K31" s="116" t="n"/>
      <c r="L31" s="163" t="n"/>
      <c r="M31" s="218" t="n"/>
      <c r="N31" s="163" t="n"/>
      <c r="O31" s="218" t="n"/>
      <c r="P31" s="163" t="n"/>
      <c r="Q31" s="218" t="n"/>
      <c r="R31" s="163" t="n"/>
      <c r="S31" s="218" t="n"/>
      <c r="T31" s="164" t="n"/>
      <c r="U31" s="219" t="n"/>
    </row>
  </sheetData>
  <mergeCells count="50">
    <mergeCell ref="L31:M31"/>
    <mergeCell ref="N31:O31"/>
    <mergeCell ref="P31:Q31"/>
    <mergeCell ref="R31:S31"/>
    <mergeCell ref="T31:U31"/>
    <mergeCell ref="L30:M30"/>
    <mergeCell ref="N30:O30"/>
    <mergeCell ref="P30:Q30"/>
    <mergeCell ref="R30:S30"/>
    <mergeCell ref="T30:U30"/>
    <mergeCell ref="L29:M29"/>
    <mergeCell ref="N29:O29"/>
    <mergeCell ref="P29:Q29"/>
    <mergeCell ref="R29:S29"/>
    <mergeCell ref="T29:U29"/>
    <mergeCell ref="P27:Q27"/>
    <mergeCell ref="R27:S27"/>
    <mergeCell ref="T27:U27"/>
    <mergeCell ref="L28:M28"/>
    <mergeCell ref="N28:O28"/>
    <mergeCell ref="P28:Q28"/>
    <mergeCell ref="R28:S28"/>
    <mergeCell ref="T28:U28"/>
    <mergeCell ref="R22:T22"/>
    <mergeCell ref="A24:I24"/>
    <mergeCell ref="K24:U24"/>
    <mergeCell ref="A25:I31"/>
    <mergeCell ref="L25:M25"/>
    <mergeCell ref="N25:O25"/>
    <mergeCell ref="P25:Q25"/>
    <mergeCell ref="R25:S25"/>
    <mergeCell ref="T25:U25"/>
    <mergeCell ref="L26:M26"/>
    <mergeCell ref="N26:O26"/>
    <mergeCell ref="P26:Q26"/>
    <mergeCell ref="R26:S26"/>
    <mergeCell ref="T26:U26"/>
    <mergeCell ref="L27:M27"/>
    <mergeCell ref="N27:O27"/>
    <mergeCell ref="D18:E18"/>
    <mergeCell ref="R18:T18"/>
    <mergeCell ref="R19:T19"/>
    <mergeCell ref="R20:T20"/>
    <mergeCell ref="R21:T21"/>
    <mergeCell ref="A1:U1"/>
    <mergeCell ref="D2:E2"/>
    <mergeCell ref="R2:R3"/>
    <mergeCell ref="U2:U3"/>
    <mergeCell ref="A17:N17"/>
    <mergeCell ref="R17:T17"/>
  </mergeCells>
  <pageMargins left="0.2" right="0.2" top="0.2" bottom="0.2" header="0.511811023622047" footer="0.511811023622047"/>
  <pageSetup orientation="landscape" paperSize="9" horizontalDpi="4294967293" verticalDpi="300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P42"/>
  <sheetViews>
    <sheetView zoomScale="120" zoomScaleNormal="120" workbookViewId="0">
      <selection activeCell="A19" sqref="A19:D21"/>
    </sheetView>
  </sheetViews>
  <sheetFormatPr baseColWidth="10" defaultColWidth="8.6640625" defaultRowHeight="13"/>
  <cols>
    <col width="6.5" bestFit="1" customWidth="1" style="177" min="1" max="1"/>
    <col width="7.5" customWidth="1" style="177" min="2" max="2"/>
    <col width="0.5" customWidth="1" style="177" min="3" max="3"/>
    <col width="2.5" customWidth="1" style="177" min="4" max="4"/>
    <col width="0.6640625" customWidth="1" style="177" min="5" max="6"/>
    <col width="2.5" customWidth="1" style="177" min="7" max="7"/>
    <col width="6.83203125" customWidth="1" style="177" min="8" max="8"/>
    <col width="3" customWidth="1" style="177" min="9" max="9"/>
    <col width="0.6640625" customWidth="1" style="177" min="10" max="10"/>
    <col width="7" customWidth="1" style="177" min="11" max="11"/>
    <col width="2.5" customWidth="1" style="177" min="12" max="12"/>
    <col width="10.5" customWidth="1" style="177" min="13" max="13"/>
    <col width="0.5" customWidth="1" style="177" min="14" max="14"/>
    <col width="7.5" customWidth="1" style="177" min="15" max="15"/>
    <col width="10.5" customWidth="1" style="177" min="16" max="16"/>
  </cols>
  <sheetData>
    <row r="1" ht="12.75" customHeight="1" s="177">
      <c r="A1" s="165" t="inlineStr">
        <is>
          <t>NAVIGATION LOG SHEET</t>
        </is>
      </c>
      <c r="B1" s="179" t="n"/>
      <c r="C1" s="179" t="n"/>
      <c r="D1" s="179" t="n"/>
      <c r="E1" s="179" t="n"/>
      <c r="F1" s="179" t="n"/>
      <c r="G1" s="179" t="n"/>
      <c r="H1" s="179" t="n"/>
      <c r="I1" s="179" t="n"/>
      <c r="J1" s="179" t="n"/>
      <c r="K1" s="179" t="n"/>
      <c r="L1" s="179" t="n"/>
      <c r="M1" s="179" t="n"/>
      <c r="N1" s="179" t="n"/>
      <c r="O1" s="179" t="n"/>
      <c r="P1" s="182" t="n"/>
    </row>
    <row r="2" ht="3" customHeight="1" s="177"/>
    <row r="3" ht="12.75" customHeight="1" s="177">
      <c r="A3" s="166" t="inlineStr">
        <is>
          <t>DATE &amp; TIME</t>
        </is>
      </c>
      <c r="B3" s="179" t="n"/>
      <c r="C3" s="179" t="n"/>
      <c r="D3" s="179" t="n"/>
      <c r="E3" s="182" t="n"/>
      <c r="G3" s="167" t="inlineStr">
        <is>
          <t>MISSION</t>
        </is>
      </c>
      <c r="H3" s="179" t="n"/>
      <c r="I3" s="182" t="n"/>
      <c r="K3" s="167" t="inlineStr">
        <is>
          <t>ON BLOCK</t>
        </is>
      </c>
      <c r="L3" s="220" t="n"/>
      <c r="M3" s="168" t="inlineStr">
        <is>
          <t>HH:MM</t>
        </is>
      </c>
      <c r="N3" s="167" t="inlineStr">
        <is>
          <t>LANDING</t>
        </is>
      </c>
      <c r="O3" s="220" t="n"/>
      <c r="P3" s="168" t="inlineStr">
        <is>
          <t>HH:MM</t>
        </is>
      </c>
    </row>
    <row r="4" ht="8.25" customHeight="1" s="177">
      <c r="A4" s="221">
        <f>TODAY()</f>
        <v/>
      </c>
      <c r="B4" s="222" t="n"/>
      <c r="C4" s="222" t="n"/>
      <c r="D4" s="222" t="n"/>
      <c r="E4" s="220" t="n"/>
      <c r="G4" s="170" t="inlineStr">
        <is>
          <t>BH-10</t>
        </is>
      </c>
      <c r="H4" s="222" t="n"/>
      <c r="I4" s="220" t="n"/>
      <c r="K4" s="223" t="n"/>
      <c r="L4" s="224" t="n"/>
      <c r="M4" s="126" t="n"/>
      <c r="N4" s="223" t="n"/>
      <c r="O4" s="224" t="n"/>
      <c r="P4" s="126" t="n"/>
    </row>
    <row r="5" ht="3.75" customHeight="1" s="177">
      <c r="A5" s="223" t="n"/>
      <c r="B5" s="225" t="n"/>
      <c r="C5" s="225" t="n"/>
      <c r="D5" s="225" t="n"/>
      <c r="E5" s="224" t="n"/>
      <c r="G5" s="223" t="n"/>
      <c r="H5" s="225" t="n"/>
      <c r="I5" s="224" t="n"/>
      <c r="K5" s="167" t="inlineStr">
        <is>
          <t>OFF BLOCK</t>
        </is>
      </c>
      <c r="L5" s="220" t="n"/>
      <c r="M5" s="168" t="inlineStr">
        <is>
          <t>HH:MM</t>
        </is>
      </c>
      <c r="N5" s="167" t="inlineStr">
        <is>
          <t>TAKEOFF</t>
        </is>
      </c>
      <c r="O5" s="220" t="n"/>
      <c r="P5" s="168" t="inlineStr">
        <is>
          <t>HH:MM</t>
        </is>
      </c>
    </row>
    <row r="6" ht="3" customHeight="1" s="177">
      <c r="K6" s="226" t="n"/>
      <c r="L6" s="227" t="n"/>
      <c r="M6" s="228" t="n"/>
      <c r="N6" s="226" t="n"/>
      <c r="O6" s="227" t="n"/>
      <c r="P6" s="228" t="n"/>
    </row>
    <row r="7" ht="12.75" customHeight="1" s="177">
      <c r="A7" s="167" t="inlineStr">
        <is>
          <t>REGISTRATION</t>
        </is>
      </c>
      <c r="B7" s="222" t="n"/>
      <c r="C7" s="222" t="n"/>
      <c r="D7" s="222" t="n"/>
      <c r="E7" s="220" t="n"/>
      <c r="G7" s="167" t="inlineStr">
        <is>
          <t>AIRCRAFT</t>
        </is>
      </c>
      <c r="H7" s="222" t="n"/>
      <c r="I7" s="220" t="n"/>
      <c r="K7" s="223" t="n"/>
      <c r="L7" s="224" t="n"/>
      <c r="M7" s="126" t="n"/>
      <c r="N7" s="223" t="n"/>
      <c r="O7" s="224" t="n"/>
      <c r="P7" s="126" t="n"/>
    </row>
    <row r="8" ht="3.75" customHeight="1" s="177">
      <c r="A8" s="223" t="n"/>
      <c r="B8" s="225" t="n"/>
      <c r="C8" s="225" t="n"/>
      <c r="D8" s="225" t="n"/>
      <c r="E8" s="224" t="n"/>
      <c r="G8" s="223" t="n"/>
      <c r="H8" s="225" t="n"/>
      <c r="I8" s="224" t="n"/>
      <c r="K8" s="167" t="inlineStr">
        <is>
          <t>T. BLOCK</t>
        </is>
      </c>
      <c r="L8" s="220" t="n"/>
      <c r="M8" s="168" t="inlineStr">
        <is>
          <t>HH:MM</t>
        </is>
      </c>
      <c r="N8" s="167" t="inlineStr">
        <is>
          <t>T. TIME</t>
        </is>
      </c>
      <c r="O8" s="220" t="n"/>
      <c r="P8" s="168" t="inlineStr">
        <is>
          <t>HH:MM</t>
        </is>
      </c>
    </row>
    <row r="9" ht="15.75" customHeight="1" s="177">
      <c r="A9" s="170" t="inlineStr">
        <is>
          <t>ADM 164</t>
        </is>
      </c>
      <c r="B9" s="179" t="n"/>
      <c r="C9" s="179" t="n"/>
      <c r="D9" s="179" t="n"/>
      <c r="E9" s="182" t="n"/>
      <c r="G9" s="170">
        <f>VLOOKUP('Mass and Balance Sheet'!J4,'Mass and Balance Sheet'!K4:N7,2,TRUE())</f>
        <v/>
      </c>
      <c r="H9" s="179" t="n"/>
      <c r="I9" s="182" t="n"/>
      <c r="K9" s="223" t="n"/>
      <c r="L9" s="224" t="n"/>
      <c r="M9" s="126" t="n"/>
      <c r="N9" s="223" t="n"/>
      <c r="O9" s="224" t="n"/>
      <c r="P9" s="126" t="n"/>
    </row>
    <row r="10" ht="3" customHeight="1" s="177"/>
    <row r="11" ht="12.75" customHeight="1" s="177">
      <c r="A11" s="165" t="inlineStr">
        <is>
          <t xml:space="preserve">DEPARTURE </t>
        </is>
      </c>
      <c r="B11" s="179" t="n"/>
      <c r="C11" s="179" t="n"/>
      <c r="D11" s="179" t="n"/>
      <c r="E11" s="179" t="n"/>
      <c r="F11" s="179" t="n"/>
      <c r="G11" s="179" t="n"/>
      <c r="H11" s="179" t="n"/>
      <c r="I11" s="179" t="n"/>
      <c r="J11" s="179" t="n"/>
      <c r="K11" s="179" t="n"/>
      <c r="L11" s="179" t="n"/>
      <c r="M11" s="179" t="n"/>
      <c r="N11" s="179" t="n"/>
      <c r="O11" s="179" t="n"/>
      <c r="P11" s="182" t="n"/>
    </row>
    <row r="12" ht="3" customHeight="1" s="177"/>
    <row r="13" ht="12.75" customHeight="1" s="177">
      <c r="A13" s="167" t="inlineStr">
        <is>
          <t>AERODROME INFORMATION</t>
        </is>
      </c>
      <c r="B13" s="179" t="n"/>
      <c r="C13" s="179" t="n"/>
      <c r="D13" s="179" t="n"/>
      <c r="E13" s="179" t="n"/>
      <c r="F13" s="179" t="n"/>
      <c r="G13" s="179" t="n"/>
      <c r="H13" s="179" t="n"/>
      <c r="I13" s="179" t="n"/>
      <c r="J13" s="179" t="n"/>
      <c r="K13" s="179" t="n"/>
      <c r="L13" s="179" t="n"/>
      <c r="M13" s="179" t="n"/>
      <c r="N13" s="179" t="n"/>
      <c r="O13" s="179" t="n"/>
      <c r="P13" s="182" t="n"/>
    </row>
    <row r="14" ht="23.25" customHeight="1" s="177">
      <c r="A14" s="171" t="inlineStr">
        <is>
          <t>LPEV 807ft 1245m TORA RW 01/19</t>
        </is>
      </c>
      <c r="B14" s="179" t="n"/>
      <c r="C14" s="179" t="n"/>
      <c r="D14" s="179" t="n"/>
      <c r="E14" s="179" t="n"/>
      <c r="F14" s="179" t="n"/>
      <c r="G14" s="179" t="n"/>
      <c r="H14" s="179" t="n"/>
      <c r="I14" s="179" t="n"/>
      <c r="J14" s="179" t="n"/>
      <c r="K14" s="179" t="n"/>
      <c r="L14" s="179" t="n"/>
      <c r="M14" s="179" t="n"/>
      <c r="N14" s="179" t="n"/>
      <c r="O14" s="179" t="n"/>
      <c r="P14" s="182" t="n"/>
    </row>
    <row r="15" ht="3" customHeight="1" s="177"/>
    <row r="16" ht="12.75" customHeight="1" s="177">
      <c r="A16" s="165" t="inlineStr">
        <is>
          <t xml:space="preserve">TAKEOFF  </t>
        </is>
      </c>
      <c r="B16" s="179" t="n"/>
      <c r="C16" s="179" t="n"/>
      <c r="D16" s="179" t="n"/>
      <c r="E16" s="179" t="n"/>
      <c r="F16" s="179" t="n"/>
      <c r="G16" s="179" t="n"/>
      <c r="H16" s="179" t="n"/>
      <c r="I16" s="179" t="n"/>
      <c r="J16" s="179" t="n"/>
      <c r="K16" s="179" t="n"/>
      <c r="L16" s="179" t="n"/>
      <c r="M16" s="179" t="n"/>
      <c r="N16" s="179" t="n"/>
      <c r="O16" s="179" t="n"/>
      <c r="P16" s="182" t="n"/>
    </row>
    <row r="17" ht="3" customHeight="1" s="177"/>
    <row r="18" ht="12.75" customHeight="1" s="177">
      <c r="A18" s="167" t="inlineStr">
        <is>
          <t>FREQUENCIES</t>
        </is>
      </c>
      <c r="B18" s="179" t="n"/>
      <c r="C18" s="179" t="n"/>
      <c r="D18" s="182" t="n"/>
      <c r="E18" s="167" t="inlineStr">
        <is>
          <t>DEPARTURE CLEARANCE</t>
        </is>
      </c>
      <c r="F18" s="179" t="n"/>
      <c r="G18" s="179" t="n"/>
      <c r="H18" s="179" t="n"/>
      <c r="I18" s="179" t="n"/>
      <c r="J18" s="179" t="n"/>
      <c r="K18" s="179" t="n"/>
      <c r="L18" s="179" t="n"/>
      <c r="M18" s="179" t="n"/>
      <c r="N18" s="179" t="n"/>
      <c r="O18" s="179" t="n"/>
      <c r="P18" s="182" t="n"/>
    </row>
    <row r="19" ht="22.25" customHeight="1" s="177">
      <c r="A19" s="172" t="inlineStr">
        <is>
          <t>LPEV 122.705
LIS 123.755
BJA App 130.1</t>
        </is>
      </c>
      <c r="B19" s="222" t="n"/>
      <c r="C19" s="222" t="n"/>
      <c r="D19" s="220" t="n"/>
      <c r="E19" s="171" t="n"/>
      <c r="F19" s="179" t="n"/>
      <c r="G19" s="179" t="n"/>
      <c r="H19" s="179" t="n"/>
      <c r="I19" s="179" t="n"/>
      <c r="J19" s="179" t="n"/>
      <c r="K19" s="179" t="n"/>
      <c r="L19" s="179" t="n"/>
      <c r="M19" s="179" t="n"/>
      <c r="N19" s="179" t="n"/>
      <c r="O19" s="179" t="n"/>
      <c r="P19" s="182" t="n"/>
    </row>
    <row r="20" ht="12.75" customHeight="1" s="177">
      <c r="A20" s="226" t="n"/>
      <c r="D20" s="227" t="n"/>
      <c r="E20" s="167" t="inlineStr">
        <is>
          <t>TAXI OUT</t>
        </is>
      </c>
      <c r="F20" s="179" t="n"/>
      <c r="G20" s="179" t="n"/>
      <c r="H20" s="179" t="n"/>
      <c r="I20" s="179" t="n"/>
      <c r="J20" s="179" t="n"/>
      <c r="K20" s="179" t="n"/>
      <c r="L20" s="179" t="n"/>
      <c r="M20" s="179" t="n"/>
      <c r="N20" s="179" t="n"/>
      <c r="O20" s="179" t="n"/>
      <c r="P20" s="182" t="n"/>
    </row>
    <row r="21" ht="23" customHeight="1" s="177">
      <c r="A21" s="223" t="n"/>
      <c r="B21" s="225" t="n"/>
      <c r="C21" s="225" t="n"/>
      <c r="D21" s="224" t="n"/>
      <c r="E21" s="171" t="n"/>
      <c r="F21" s="179" t="n"/>
      <c r="G21" s="179" t="n"/>
      <c r="H21" s="179" t="n"/>
      <c r="I21" s="179" t="n"/>
      <c r="J21" s="179" t="n"/>
      <c r="K21" s="179" t="n"/>
      <c r="L21" s="179" t="n"/>
      <c r="M21" s="179" t="n"/>
      <c r="N21" s="179" t="n"/>
      <c r="O21" s="179" t="n"/>
      <c r="P21" s="182" t="n"/>
    </row>
    <row r="22" ht="3" customHeight="1" s="177"/>
    <row r="23" ht="12.75" customHeight="1" s="177">
      <c r="A23" s="165" t="inlineStr">
        <is>
          <t xml:space="preserve">PLANNED CRUISE PERFORMANCE </t>
        </is>
      </c>
      <c r="B23" s="179" t="n"/>
      <c r="C23" s="179" t="n"/>
      <c r="D23" s="179" t="n"/>
      <c r="E23" s="179" t="n"/>
      <c r="F23" s="179" t="n"/>
      <c r="G23" s="179" t="n"/>
      <c r="H23" s="179" t="n"/>
      <c r="I23" s="179" t="n"/>
      <c r="J23" s="179" t="n"/>
      <c r="K23" s="179" t="n"/>
      <c r="L23" s="179" t="n"/>
      <c r="M23" s="179" t="n"/>
      <c r="N23" s="179" t="n"/>
      <c r="O23" s="179" t="n"/>
      <c r="P23" s="182" t="n"/>
    </row>
    <row r="24" ht="3" customHeight="1" s="177"/>
    <row r="25" ht="12.75" customHeight="1" s="177">
      <c r="A25" s="167" t="inlineStr">
        <is>
          <t xml:space="preserve">P . ALT </t>
        </is>
      </c>
      <c r="B25" s="167" t="inlineStr">
        <is>
          <t>TEMP</t>
        </is>
      </c>
      <c r="D25" s="167" t="inlineStr">
        <is>
          <t>RPM</t>
        </is>
      </c>
      <c r="E25" s="179" t="n"/>
      <c r="F25" s="179" t="n"/>
      <c r="G25" s="182" t="n"/>
      <c r="H25" s="167" t="inlineStr">
        <is>
          <t>POWER</t>
        </is>
      </c>
      <c r="I25" s="167" t="inlineStr">
        <is>
          <t>TAS</t>
        </is>
      </c>
      <c r="J25" s="179" t="n"/>
      <c r="K25" s="182" t="n"/>
      <c r="L25" s="167" t="inlineStr">
        <is>
          <t>F.C.**</t>
        </is>
      </c>
      <c r="M25" s="182" t="n"/>
      <c r="O25" s="167" t="inlineStr">
        <is>
          <t xml:space="preserve">U. FUEL </t>
        </is>
      </c>
      <c r="P25" s="167" t="inlineStr">
        <is>
          <t>ENDURANCE</t>
        </is>
      </c>
    </row>
    <row r="26" ht="12.75" customHeight="1" s="177">
      <c r="A26" s="229">
        <f>Performance!C13</f>
        <v/>
      </c>
      <c r="B26" s="230">
        <f>FC!B1</f>
        <v/>
      </c>
      <c r="D26" s="173">
        <f>FC!E1</f>
        <v/>
      </c>
      <c r="E26" s="179" t="n"/>
      <c r="F26" s="179" t="n"/>
      <c r="G26" s="182" t="n"/>
      <c r="H26" s="118">
        <f>_xlfn.FORECAST.LINEAR(Performance!C13,FC!E5:E8,FC!A5:A8)</f>
        <v/>
      </c>
      <c r="I26" s="231">
        <f>Performance!F13</f>
        <v/>
      </c>
      <c r="J26" s="179" t="n"/>
      <c r="K26" s="182" t="n"/>
      <c r="L26" s="232">
        <f>Performance!G13</f>
        <v/>
      </c>
      <c r="M26" s="182" t="n"/>
      <c r="O26" s="122">
        <f>'Navigation Log'!U22</f>
        <v/>
      </c>
      <c r="P26" s="121">
        <f>O26/L26/24</f>
        <v/>
      </c>
    </row>
    <row r="27" ht="3" customHeight="1" s="177">
      <c r="B27" s="119" t="n"/>
    </row>
    <row r="28" ht="12.75" customHeight="1" s="177">
      <c r="A28" s="165" t="inlineStr">
        <is>
          <t xml:space="preserve">ARRIVAL </t>
        </is>
      </c>
      <c r="B28" s="179" t="n"/>
      <c r="C28" s="179" t="n"/>
      <c r="D28" s="179" t="n"/>
      <c r="E28" s="179" t="n"/>
      <c r="F28" s="179" t="n"/>
      <c r="G28" s="179" t="n"/>
      <c r="H28" s="179" t="n"/>
      <c r="I28" s="179" t="n"/>
      <c r="J28" s="179" t="n"/>
      <c r="K28" s="179" t="n"/>
      <c r="L28" s="179" t="n"/>
      <c r="M28" s="179" t="n"/>
      <c r="N28" s="179" t="n"/>
      <c r="O28" s="179" t="n"/>
      <c r="P28" s="182" t="n"/>
    </row>
    <row r="29" ht="3" customHeight="1" s="177"/>
    <row r="30" ht="12.75" customHeight="1" s="177">
      <c r="A30" s="167" t="inlineStr">
        <is>
          <t>AERODROME INFORMATION</t>
        </is>
      </c>
      <c r="B30" s="179" t="n"/>
      <c r="C30" s="179" t="n"/>
      <c r="D30" s="179" t="n"/>
      <c r="E30" s="179" t="n"/>
      <c r="F30" s="179" t="n"/>
      <c r="G30" s="179" t="n"/>
      <c r="H30" s="179" t="n"/>
      <c r="I30" s="179" t="n"/>
      <c r="J30" s="179" t="n"/>
      <c r="K30" s="179" t="n"/>
      <c r="L30" s="179" t="n"/>
      <c r="M30" s="179" t="n"/>
      <c r="N30" s="179" t="n"/>
      <c r="O30" s="179" t="n"/>
      <c r="P30" s="182" t="n"/>
    </row>
    <row r="31" ht="23.25" customHeight="1" s="177">
      <c r="A31" s="171" t="inlineStr">
        <is>
          <t>LPEV 807ft 1300m LDA RW 01/19</t>
        </is>
      </c>
      <c r="B31" s="179" t="n"/>
      <c r="C31" s="179" t="n"/>
      <c r="D31" s="179" t="n"/>
      <c r="E31" s="179" t="n"/>
      <c r="F31" s="179" t="n"/>
      <c r="G31" s="179" t="n"/>
      <c r="H31" s="179" t="n"/>
      <c r="I31" s="179" t="n"/>
      <c r="J31" s="179" t="n"/>
      <c r="K31" s="179" t="n"/>
      <c r="L31" s="179" t="n"/>
      <c r="M31" s="179" t="n"/>
      <c r="N31" s="179" t="n"/>
      <c r="O31" s="179" t="n"/>
      <c r="P31" s="182" t="n"/>
    </row>
    <row r="32" ht="3" customHeight="1" s="177"/>
    <row r="33" ht="12.75" customHeight="1" s="177">
      <c r="A33" s="165" t="inlineStr">
        <is>
          <t xml:space="preserve">LANDING  </t>
        </is>
      </c>
      <c r="B33" s="179" t="n"/>
      <c r="C33" s="179" t="n"/>
      <c r="D33" s="179" t="n"/>
      <c r="E33" s="179" t="n"/>
      <c r="F33" s="179" t="n"/>
      <c r="G33" s="179" t="n"/>
      <c r="H33" s="179" t="n"/>
      <c r="I33" s="179" t="n"/>
      <c r="J33" s="179" t="n"/>
      <c r="K33" s="179" t="n"/>
      <c r="L33" s="179" t="n"/>
      <c r="M33" s="179" t="n"/>
      <c r="N33" s="179" t="n"/>
      <c r="O33" s="179" t="n"/>
      <c r="P33" s="182" t="n"/>
    </row>
    <row r="34" ht="3" customHeight="1" s="177"/>
    <row r="35" ht="12.75" customHeight="1" s="177">
      <c r="A35" s="167" t="inlineStr">
        <is>
          <t>FREQUENCIES</t>
        </is>
      </c>
      <c r="B35" s="179" t="n"/>
      <c r="C35" s="179" t="n"/>
      <c r="D35" s="182" t="n"/>
      <c r="E35" s="167" t="inlineStr">
        <is>
          <t>APPROACH CLEARANCE</t>
        </is>
      </c>
      <c r="F35" s="179" t="n"/>
      <c r="G35" s="179" t="n"/>
      <c r="H35" s="179" t="n"/>
      <c r="I35" s="179" t="n"/>
      <c r="J35" s="179" t="n"/>
      <c r="K35" s="179" t="n"/>
      <c r="L35" s="179" t="n"/>
      <c r="M35" s="179" t="n"/>
      <c r="N35" s="179" t="n"/>
      <c r="O35" s="179" t="n"/>
      <c r="P35" s="182" t="n"/>
    </row>
    <row r="36" ht="22.25" customHeight="1" s="177">
      <c r="A36" s="172" t="inlineStr">
        <is>
          <t>LPEV 122.705
LIS 123.755</t>
        </is>
      </c>
      <c r="B36" s="222" t="n"/>
      <c r="C36" s="222" t="n"/>
      <c r="D36" s="220" t="n"/>
      <c r="E36" s="171" t="n"/>
      <c r="F36" s="179" t="n"/>
      <c r="G36" s="179" t="n"/>
      <c r="H36" s="179" t="n"/>
      <c r="I36" s="179" t="n"/>
      <c r="J36" s="179" t="n"/>
      <c r="K36" s="179" t="n"/>
      <c r="L36" s="179" t="n"/>
      <c r="M36" s="179" t="n"/>
      <c r="N36" s="179" t="n"/>
      <c r="O36" s="179" t="n"/>
      <c r="P36" s="182" t="n"/>
    </row>
    <row r="37" ht="12.75" customHeight="1" s="177">
      <c r="A37" s="226" t="n"/>
      <c r="D37" s="227" t="n"/>
      <c r="E37" s="167" t="inlineStr">
        <is>
          <t>TAXI IN</t>
        </is>
      </c>
      <c r="F37" s="179" t="n"/>
      <c r="G37" s="179" t="n"/>
      <c r="H37" s="179" t="n"/>
      <c r="I37" s="179" t="n"/>
      <c r="J37" s="179" t="n"/>
      <c r="K37" s="179" t="n"/>
      <c r="L37" s="179" t="n"/>
      <c r="M37" s="179" t="n"/>
      <c r="N37" s="179" t="n"/>
      <c r="O37" s="179" t="n"/>
      <c r="P37" s="182" t="n"/>
    </row>
    <row r="38" ht="23" customHeight="1" s="177">
      <c r="A38" s="223" t="n"/>
      <c r="B38" s="225" t="n"/>
      <c r="C38" s="225" t="n"/>
      <c r="D38" s="224" t="n"/>
      <c r="E38" s="171" t="n"/>
      <c r="F38" s="179" t="n"/>
      <c r="G38" s="179" t="n"/>
      <c r="H38" s="179" t="n"/>
      <c r="I38" s="179" t="n"/>
      <c r="J38" s="179" t="n"/>
      <c r="K38" s="179" t="n"/>
      <c r="L38" s="179" t="n"/>
      <c r="M38" s="179" t="n"/>
      <c r="N38" s="179" t="n"/>
      <c r="O38" s="179" t="n"/>
      <c r="P38" s="182" t="n"/>
    </row>
    <row r="39" ht="3" customHeight="1" s="177"/>
    <row r="40" ht="12.75" customHeight="1" s="177">
      <c r="A40" s="165" t="inlineStr">
        <is>
          <t>REMARKS</t>
        </is>
      </c>
      <c r="B40" s="179" t="n"/>
      <c r="C40" s="179" t="n"/>
      <c r="D40" s="179" t="n"/>
      <c r="E40" s="179" t="n"/>
      <c r="F40" s="179" t="n"/>
      <c r="G40" s="179" t="n"/>
      <c r="H40" s="179" t="n"/>
      <c r="I40" s="179" t="n"/>
      <c r="J40" s="179" t="n"/>
      <c r="K40" s="179" t="n"/>
      <c r="L40" s="179" t="n"/>
      <c r="M40" s="179" t="n"/>
      <c r="N40" s="179" t="n"/>
      <c r="O40" s="179" t="n"/>
      <c r="P40" s="182" t="n"/>
    </row>
    <row r="41" ht="3" customHeight="1" s="177"/>
    <row r="42" ht="48" customHeight="1" s="177">
      <c r="A42" s="176" t="n"/>
      <c r="B42" s="179" t="n"/>
      <c r="C42" s="179" t="n"/>
      <c r="D42" s="179" t="n"/>
      <c r="E42" s="179" t="n"/>
      <c r="F42" s="179" t="n"/>
      <c r="G42" s="179" t="n"/>
      <c r="H42" s="179" t="n"/>
      <c r="I42" s="179" t="n"/>
      <c r="J42" s="179" t="n"/>
      <c r="K42" s="179" t="n"/>
      <c r="L42" s="179" t="n"/>
      <c r="M42" s="179" t="n"/>
      <c r="N42" s="179" t="n"/>
      <c r="O42" s="179" t="n"/>
      <c r="P42" s="182" t="n"/>
    </row>
  </sheetData>
  <mergeCells count="50">
    <mergeCell ref="A42:P42"/>
    <mergeCell ref="A36:D38"/>
    <mergeCell ref="E36:P36"/>
    <mergeCell ref="E37:P37"/>
    <mergeCell ref="E38:P38"/>
    <mergeCell ref="A40:P40"/>
    <mergeCell ref="A28:P28"/>
    <mergeCell ref="A30:P30"/>
    <mergeCell ref="A31:P31"/>
    <mergeCell ref="A33:P33"/>
    <mergeCell ref="A35:D35"/>
    <mergeCell ref="E35:P35"/>
    <mergeCell ref="D25:G25"/>
    <mergeCell ref="I25:K25"/>
    <mergeCell ref="L25:M25"/>
    <mergeCell ref="D26:G26"/>
    <mergeCell ref="I26:K26"/>
    <mergeCell ref="L26:M26"/>
    <mergeCell ref="A19:D21"/>
    <mergeCell ref="E19:P19"/>
    <mergeCell ref="E20:P20"/>
    <mergeCell ref="E21:P21"/>
    <mergeCell ref="A23:P23"/>
    <mergeCell ref="A11:P11"/>
    <mergeCell ref="A13:P13"/>
    <mergeCell ref="A14:P14"/>
    <mergeCell ref="A16:P16"/>
    <mergeCell ref="A18:D18"/>
    <mergeCell ref="E18:P18"/>
    <mergeCell ref="M8:M9"/>
    <mergeCell ref="N8:O9"/>
    <mergeCell ref="P8:P9"/>
    <mergeCell ref="A9:E9"/>
    <mergeCell ref="G9:I9"/>
    <mergeCell ref="A1:P1"/>
    <mergeCell ref="A3:E3"/>
    <mergeCell ref="G3:I3"/>
    <mergeCell ref="K3:L4"/>
    <mergeCell ref="M3:M4"/>
    <mergeCell ref="N3:O4"/>
    <mergeCell ref="P3:P4"/>
    <mergeCell ref="A4:E5"/>
    <mergeCell ref="G4:I5"/>
    <mergeCell ref="K5:L7"/>
    <mergeCell ref="M5:M7"/>
    <mergeCell ref="N5:O7"/>
    <mergeCell ref="P5:P7"/>
    <mergeCell ref="A7:E8"/>
    <mergeCell ref="G7:I8"/>
    <mergeCell ref="K8:L9"/>
  </mergeCells>
  <pageMargins left="0.2362204724409449" right="0.2362204724409449" top="0.7480314960629921" bottom="0.7480314960629921" header="0.3149606299212598" footer="0.3149606299212598"/>
  <pageSetup orientation="landscape" paperSize="9" fitToWidth="2" horizontalDpi="4294967293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2"/>
  <sheetViews>
    <sheetView zoomScale="120" zoomScaleNormal="120" workbookViewId="0">
      <selection activeCell="A3" sqref="A3"/>
    </sheetView>
  </sheetViews>
  <sheetFormatPr baseColWidth="10" defaultColWidth="8.6640625" defaultRowHeight="13"/>
  <cols>
    <col width="12.1640625" customWidth="1" style="177" min="1" max="7"/>
  </cols>
  <sheetData>
    <row r="1">
      <c r="A1" s="138" t="inlineStr">
        <is>
          <t>ICAO</t>
        </is>
      </c>
      <c r="B1" s="138" t="inlineStr">
        <is>
          <t>Elevation</t>
        </is>
      </c>
    </row>
    <row r="2">
      <c r="C2" t="inlineStr">
        <is>
          <t>TORA</t>
        </is>
      </c>
      <c r="D2" t="inlineStr">
        <is>
          <t>TODA</t>
        </is>
      </c>
      <c r="E2" t="inlineStr">
        <is>
          <t>ASDA</t>
        </is>
      </c>
      <c r="F2" t="inlineStr">
        <is>
          <t>LDA</t>
        </is>
      </c>
      <c r="H2" t="inlineStr">
        <is>
          <t>Paving</t>
        </is>
      </c>
      <c r="I2" t="inlineStr">
        <is>
          <t>Heading</t>
        </is>
      </c>
    </row>
    <row r="3">
      <c r="A3" t="inlineStr">
        <is>
          <t>LPEV</t>
        </is>
      </c>
      <c r="B3" t="n">
        <v>807</v>
      </c>
      <c r="C3" s="138" t="n"/>
      <c r="D3" s="138" t="n"/>
      <c r="E3" s="138" t="n"/>
      <c r="F3" s="138" t="n"/>
      <c r="G3" s="138" t="n"/>
      <c r="H3" s="138" t="n"/>
      <c r="I3" s="138" t="n"/>
    </row>
    <row r="4">
      <c r="A4" t="inlineStr">
        <is>
          <t>LPBJ</t>
        </is>
      </c>
      <c r="B4" t="n">
        <v>636</v>
      </c>
      <c r="C4" s="138" t="n"/>
      <c r="D4" s="138" t="n"/>
      <c r="E4" s="138" t="n"/>
      <c r="F4" s="138" t="n"/>
      <c r="G4" s="138" t="n"/>
      <c r="H4" s="138" t="n"/>
      <c r="I4" s="138" t="n"/>
    </row>
    <row r="5">
      <c r="A5" t="inlineStr">
        <is>
          <t>LPSO</t>
        </is>
      </c>
      <c r="B5" t="n">
        <v>390</v>
      </c>
      <c r="C5" s="138" t="n"/>
      <c r="D5" s="138" t="n"/>
      <c r="E5" s="138" t="n"/>
      <c r="F5" s="138" t="n"/>
      <c r="G5" s="138" t="n"/>
      <c r="H5" s="138" t="n"/>
      <c r="I5" s="138" t="n"/>
    </row>
    <row r="6">
      <c r="A6" t="inlineStr">
        <is>
          <t>LPCB</t>
        </is>
      </c>
      <c r="B6" t="n">
        <v>1251</v>
      </c>
    </row>
    <row r="7">
      <c r="A7" t="inlineStr">
        <is>
          <t>LPPN</t>
        </is>
      </c>
      <c r="B7" t="n">
        <v>1335</v>
      </c>
    </row>
    <row r="8">
      <c r="A8" t="inlineStr">
        <is>
          <t>LPMT</t>
        </is>
      </c>
      <c r="B8" t="n">
        <v>46</v>
      </c>
    </row>
    <row r="9">
      <c r="A9" t="inlineStr">
        <is>
          <t>LPVZ</t>
        </is>
      </c>
      <c r="B9" t="n">
        <v>2061</v>
      </c>
      <c r="C9" t="n">
        <v>1160</v>
      </c>
      <c r="D9" t="n">
        <v>1160</v>
      </c>
      <c r="E9" t="n">
        <v>1160</v>
      </c>
      <c r="F9" t="n">
        <v>1100</v>
      </c>
    </row>
    <row r="10">
      <c r="A10" t="inlineStr">
        <is>
          <t>LPSE</t>
        </is>
      </c>
      <c r="B10" t="n">
        <v>1456</v>
      </c>
    </row>
    <row r="11">
      <c r="A11" t="inlineStr">
        <is>
          <t>LPCO</t>
        </is>
      </c>
      <c r="B11" t="n">
        <v>1130</v>
      </c>
    </row>
    <row r="12">
      <c r="A12" t="inlineStr">
        <is>
          <t>LPCS</t>
        </is>
      </c>
    </row>
  </sheetData>
  <mergeCells count="3">
    <mergeCell ref="A1:A2"/>
    <mergeCell ref="B1:B2"/>
    <mergeCell ref="C1:D1"/>
  </mergeCells>
  <pageMargins left="0" right="0" top="0.39375" bottom="0.39375" header="0.511811023622047" footer="0.511811023622047"/>
  <pageSetup orientation="landscape" paperSize="75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Fabio</dc:creator>
  <dc:language>en-US</dc:language>
  <dcterms:created xsi:type="dcterms:W3CDTF">2021-07-20T15:24:48Z</dcterms:created>
  <dcterms:modified xsi:type="dcterms:W3CDTF">2021-11-12T20:58:46Z</dcterms:modified>
  <cp:lastModifiedBy>Microsoft Office User</cp:lastModifiedBy>
  <cp:revision>158</cp:revision>
  <cp:lastPrinted>2021-11-09T16:13:13Z</cp:lastPrinted>
</cp:coreProperties>
</file>