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ikaellasichuk/Documents/app/"/>
    </mc:Choice>
  </mc:AlternateContent>
  <xr:revisionPtr revIDLastSave="0" documentId="13_ncr:1_{F438E59A-A560-E24A-821E-5DCFCC5A8457}" xr6:coauthVersionLast="47" xr6:coauthVersionMax="47" xr10:uidLastSave="{00000000-0000-0000-0000-000000000000}"/>
  <bookViews>
    <workbookView xWindow="0" yWindow="0" windowWidth="38400" windowHeight="21600" tabRatio="602" activeTab="9" xr2:uid="{00000000-000D-0000-FFFF-FFFF00000000}"/>
  </bookViews>
  <sheets>
    <sheet name="Mass &amp; Balance Sheet" sheetId="2" r:id="rId1"/>
    <sheet name="FC" sheetId="3" r:id="rId2"/>
    <sheet name="Performance" sheetId="4" r:id="rId3"/>
    <sheet name="Dep 620" sheetId="5" r:id="rId4"/>
    <sheet name="Land 620" sheetId="6" r:id="rId5"/>
    <sheet name="Alternate 620" sheetId="7" r:id="rId6"/>
    <sheet name="Fuel" sheetId="9" r:id="rId7"/>
    <sheet name="Navigation Log" sheetId="10" r:id="rId8"/>
    <sheet name="Navigation Log Sheet" sheetId="11" r:id="rId9"/>
    <sheet name="Aerodromos" sheetId="8" r:id="rId10"/>
  </sheets>
  <definedNames>
    <definedName name="Aeronave">'Mass &amp; Balance Sheet'!$L$4:$L$7</definedName>
    <definedName name="_xlnm.Print_Area" localSheetId="0">'Mass &amp; Balance Sheet'!$A$1:$D$13</definedName>
    <definedName name="_xlnm.Print_Area" localSheetId="7">'Navigation Log'!$A$1:$U$31</definedName>
    <definedName name="_xlnm.Print_Area" localSheetId="8">'Navigation Log Sheet'!$A$1:$P$42</definedName>
    <definedName name="_xlnm.Print_Area" localSheetId="2">Performance!$A$1:$K$18,Performance!$A$20:$K$33,Performance!$A$35:$K$49</definedName>
    <definedName name="Print_Area_0" localSheetId="2">Performance!$A$3:$J$19,Performance!$A$34:$J$34,Performance!$A$50:$J$65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1" l="1"/>
  <c r="D4" i="7"/>
  <c r="D4" i="6"/>
  <c r="K4" i="5"/>
  <c r="L3" i="10" l="1"/>
  <c r="H3" i="10" l="1"/>
  <c r="H4" i="10"/>
  <c r="H5" i="10"/>
  <c r="H6" i="10"/>
  <c r="H7" i="10"/>
  <c r="H8" i="10"/>
  <c r="H9" i="10"/>
  <c r="H10" i="10"/>
  <c r="H11" i="10"/>
  <c r="H12" i="10"/>
  <c r="L11" i="10" l="1"/>
  <c r="L16" i="10"/>
  <c r="L7" i="10"/>
  <c r="L8" i="10"/>
  <c r="L9" i="10"/>
  <c r="L10" i="10"/>
  <c r="L12" i="10"/>
  <c r="L13" i="10"/>
  <c r="L14" i="10"/>
  <c r="L15" i="10"/>
  <c r="A4" i="10"/>
  <c r="A5" i="10"/>
  <c r="H13" i="10" l="1"/>
  <c r="H14" i="10"/>
  <c r="H15" i="10"/>
  <c r="H16" i="10"/>
  <c r="H26" i="4"/>
  <c r="E26" i="4"/>
  <c r="D26" i="4"/>
  <c r="C26" i="4"/>
  <c r="G3" i="6"/>
  <c r="C3" i="2" l="1"/>
  <c r="B3" i="2"/>
  <c r="N4" i="2"/>
  <c r="N5" i="2"/>
  <c r="N6" i="2"/>
  <c r="N7" i="2"/>
  <c r="D7" i="2"/>
  <c r="D6" i="2"/>
  <c r="D5" i="2"/>
  <c r="B26" i="11"/>
  <c r="H1" i="3"/>
  <c r="D3" i="2" l="1"/>
  <c r="D26" i="11"/>
  <c r="A26" i="11"/>
  <c r="G9" i="11"/>
  <c r="Q21" i="10"/>
  <c r="P21" i="10"/>
  <c r="L21" i="10"/>
  <c r="K21" i="10"/>
  <c r="J21" i="10"/>
  <c r="M21" i="10" s="1"/>
  <c r="G21" i="10"/>
  <c r="P20" i="10"/>
  <c r="L20" i="10"/>
  <c r="K20" i="10"/>
  <c r="J20" i="10"/>
  <c r="M20" i="10" s="1"/>
  <c r="G20" i="10"/>
  <c r="P19" i="10"/>
  <c r="L19" i="10"/>
  <c r="K19" i="10"/>
  <c r="J19" i="10"/>
  <c r="M19" i="10" s="1"/>
  <c r="O17" i="10"/>
  <c r="P16" i="10"/>
  <c r="W16" i="10" s="1"/>
  <c r="K16" i="10"/>
  <c r="J16" i="10"/>
  <c r="M16" i="10" s="1"/>
  <c r="A16" i="10"/>
  <c r="P15" i="10"/>
  <c r="W15" i="10" s="1"/>
  <c r="AD15" i="10" s="1"/>
  <c r="K15" i="10"/>
  <c r="J15" i="10"/>
  <c r="M15" i="10" s="1"/>
  <c r="A15" i="10"/>
  <c r="P14" i="10"/>
  <c r="W14" i="10" s="1"/>
  <c r="K14" i="10"/>
  <c r="J14" i="10"/>
  <c r="M14" i="10" s="1"/>
  <c r="A14" i="10"/>
  <c r="P13" i="10"/>
  <c r="W13" i="10" s="1"/>
  <c r="AC13" i="10" s="1"/>
  <c r="K13" i="10"/>
  <c r="J13" i="10"/>
  <c r="M13" i="10" s="1"/>
  <c r="A13" i="10"/>
  <c r="P12" i="10"/>
  <c r="W12" i="10" s="1"/>
  <c r="AD12" i="10" s="1"/>
  <c r="K12" i="10"/>
  <c r="J12" i="10"/>
  <c r="M12" i="10" s="1"/>
  <c r="A12" i="10"/>
  <c r="P11" i="10"/>
  <c r="W11" i="10" s="1"/>
  <c r="K11" i="10"/>
  <c r="J11" i="10"/>
  <c r="M11" i="10" s="1"/>
  <c r="A11" i="10"/>
  <c r="P10" i="10"/>
  <c r="W10" i="10" s="1"/>
  <c r="K10" i="10"/>
  <c r="J10" i="10"/>
  <c r="M10" i="10" s="1"/>
  <c r="A10" i="10"/>
  <c r="P9" i="10"/>
  <c r="W9" i="10" s="1"/>
  <c r="K9" i="10"/>
  <c r="J9" i="10"/>
  <c r="M9" i="10" s="1"/>
  <c r="A9" i="10"/>
  <c r="P8" i="10"/>
  <c r="W8" i="10" s="1"/>
  <c r="K8" i="10"/>
  <c r="J8" i="10"/>
  <c r="M8" i="10" s="1"/>
  <c r="A8" i="10"/>
  <c r="P7" i="10"/>
  <c r="W7" i="10" s="1"/>
  <c r="K7" i="10"/>
  <c r="J7" i="10"/>
  <c r="M7" i="10" s="1"/>
  <c r="A7" i="10"/>
  <c r="P6" i="10"/>
  <c r="W6" i="10" s="1"/>
  <c r="L6" i="10"/>
  <c r="K6" i="10"/>
  <c r="J6" i="10"/>
  <c r="M6" i="10" s="1"/>
  <c r="A6" i="10"/>
  <c r="P5" i="10"/>
  <c r="W5" i="10" s="1"/>
  <c r="L5" i="10"/>
  <c r="K5" i="10"/>
  <c r="J5" i="10"/>
  <c r="M5" i="10" s="1"/>
  <c r="P4" i="10"/>
  <c r="W4" i="10" s="1"/>
  <c r="L4" i="10"/>
  <c r="K4" i="10"/>
  <c r="J4" i="10"/>
  <c r="M4" i="10" s="1"/>
  <c r="P3" i="10"/>
  <c r="W3" i="10" s="1"/>
  <c r="AC3" i="10" s="1"/>
  <c r="K3" i="10"/>
  <c r="J3" i="10"/>
  <c r="M3" i="10" s="1"/>
  <c r="B8" i="9"/>
  <c r="J1" i="7"/>
  <c r="K3" i="7" s="1"/>
  <c r="F1" i="7"/>
  <c r="G3" i="7" s="1"/>
  <c r="G4" i="6"/>
  <c r="G10" i="6" s="1"/>
  <c r="G2" i="6"/>
  <c r="M14" i="5"/>
  <c r="L14" i="5"/>
  <c r="K14" i="5"/>
  <c r="J14" i="5"/>
  <c r="G4" i="5"/>
  <c r="D4" i="5"/>
  <c r="G3" i="5"/>
  <c r="G2" i="5"/>
  <c r="J41" i="4"/>
  <c r="K2" i="7" s="1"/>
  <c r="I41" i="4"/>
  <c r="H41" i="4"/>
  <c r="E44" i="4" s="1"/>
  <c r="G41" i="4"/>
  <c r="F41" i="4"/>
  <c r="E41" i="4"/>
  <c r="D41" i="4"/>
  <c r="C41" i="4"/>
  <c r="G29" i="4"/>
  <c r="F29" i="4"/>
  <c r="C3" i="6" s="1"/>
  <c r="D3" i="6" s="1"/>
  <c r="E29" i="4"/>
  <c r="J26" i="4"/>
  <c r="I26" i="4"/>
  <c r="G26" i="4"/>
  <c r="F26" i="4"/>
  <c r="G10" i="4"/>
  <c r="F10" i="4"/>
  <c r="C3" i="5" s="1"/>
  <c r="E10" i="4"/>
  <c r="L8" i="3"/>
  <c r="K8" i="3"/>
  <c r="J8" i="3"/>
  <c r="H8" i="3"/>
  <c r="G8" i="3"/>
  <c r="F8" i="3"/>
  <c r="D8" i="3"/>
  <c r="C8" i="3"/>
  <c r="B8" i="3"/>
  <c r="L7" i="3"/>
  <c r="K7" i="3"/>
  <c r="J7" i="3"/>
  <c r="H7" i="3"/>
  <c r="G7" i="3"/>
  <c r="F7" i="3"/>
  <c r="D7" i="3"/>
  <c r="C7" i="3"/>
  <c r="B7" i="3"/>
  <c r="L6" i="3"/>
  <c r="K6" i="3"/>
  <c r="J6" i="3"/>
  <c r="H6" i="3"/>
  <c r="G6" i="3"/>
  <c r="F6" i="3"/>
  <c r="D6" i="3"/>
  <c r="C6" i="3"/>
  <c r="B6" i="3"/>
  <c r="L5" i="3"/>
  <c r="K5" i="3"/>
  <c r="J5" i="3"/>
  <c r="H5" i="3"/>
  <c r="G5" i="3"/>
  <c r="F5" i="3"/>
  <c r="D5" i="3"/>
  <c r="C5" i="3"/>
  <c r="B5" i="3"/>
  <c r="E6" i="3" l="1"/>
  <c r="I6" i="3"/>
  <c r="M7" i="3"/>
  <c r="E8" i="3"/>
  <c r="M5" i="3"/>
  <c r="I8" i="3"/>
  <c r="AA11" i="10"/>
  <c r="Y11" i="10"/>
  <c r="AD11" i="10"/>
  <c r="AC11" i="10"/>
  <c r="AB11" i="10"/>
  <c r="AB16" i="10"/>
  <c r="AD16" i="10"/>
  <c r="AC16" i="10"/>
  <c r="AB8" i="10"/>
  <c r="AD8" i="10"/>
  <c r="AC8" i="10"/>
  <c r="X14" i="10"/>
  <c r="Z14" i="10"/>
  <c r="Y14" i="10"/>
  <c r="AD14" i="10"/>
  <c r="AA14" i="10"/>
  <c r="AD7" i="10"/>
  <c r="AA7" i="10"/>
  <c r="X7" i="10"/>
  <c r="AD13" i="10"/>
  <c r="F44" i="4"/>
  <c r="C3" i="7" s="1"/>
  <c r="D3" i="7" s="1"/>
  <c r="G44" i="4"/>
  <c r="G5" i="6"/>
  <c r="K5" i="7"/>
  <c r="G5" i="5"/>
  <c r="J11" i="5" s="1"/>
  <c r="E7" i="3"/>
  <c r="I7" i="3"/>
  <c r="M8" i="3"/>
  <c r="E5" i="3"/>
  <c r="I5" i="3"/>
  <c r="M6" i="3"/>
  <c r="N14" i="5"/>
  <c r="N6" i="5" s="1"/>
  <c r="H13" i="4" s="1"/>
  <c r="AD3" i="10"/>
  <c r="J3" i="5"/>
  <c r="K3" i="5" s="1"/>
  <c r="D3" i="5"/>
  <c r="AD10" i="10"/>
  <c r="AC10" i="10"/>
  <c r="AB10" i="10"/>
  <c r="AA10" i="10"/>
  <c r="Z10" i="10"/>
  <c r="Y10" i="10"/>
  <c r="X10" i="10"/>
  <c r="X4" i="10"/>
  <c r="AD4" i="10"/>
  <c r="AC4" i="10"/>
  <c r="AB4" i="10"/>
  <c r="AA4" i="10"/>
  <c r="Z4" i="10"/>
  <c r="Y4" i="10"/>
  <c r="Z6" i="10"/>
  <c r="Y6" i="10"/>
  <c r="X6" i="10"/>
  <c r="AD6" i="10"/>
  <c r="AC6" i="10"/>
  <c r="AB6" i="10"/>
  <c r="AA6" i="10"/>
  <c r="AD9" i="10"/>
  <c r="AC9" i="10"/>
  <c r="AB9" i="10"/>
  <c r="AA9" i="10"/>
  <c r="Z9" i="10"/>
  <c r="Y9" i="10"/>
  <c r="X9" i="10"/>
  <c r="AD5" i="10"/>
  <c r="AC5" i="10"/>
  <c r="AB5" i="10"/>
  <c r="AA5" i="10"/>
  <c r="Z5" i="10"/>
  <c r="Y5" i="10"/>
  <c r="X5" i="10"/>
  <c r="N10" i="5"/>
  <c r="G4" i="7"/>
  <c r="X12" i="10"/>
  <c r="Y12" i="10"/>
  <c r="Y7" i="10"/>
  <c r="Z12" i="10"/>
  <c r="AB14" i="10"/>
  <c r="X15" i="10"/>
  <c r="P17" i="10"/>
  <c r="Z7" i="10"/>
  <c r="AA12" i="10"/>
  <c r="AC14" i="10"/>
  <c r="Y15" i="10"/>
  <c r="AB12" i="10"/>
  <c r="Z15" i="10"/>
  <c r="G2" i="7"/>
  <c r="G5" i="7" s="1"/>
  <c r="X3" i="10"/>
  <c r="AB7" i="10"/>
  <c r="AC12" i="10"/>
  <c r="X13" i="10"/>
  <c r="AA15" i="10"/>
  <c r="Y3" i="10"/>
  <c r="AC7" i="10"/>
  <c r="X8" i="10"/>
  <c r="Y13" i="10"/>
  <c r="AB15" i="10"/>
  <c r="X16" i="10"/>
  <c r="Z3" i="10"/>
  <c r="Y8" i="10"/>
  <c r="X11" i="10"/>
  <c r="Z13" i="10"/>
  <c r="AC15" i="10"/>
  <c r="Y16" i="10"/>
  <c r="AA3" i="10"/>
  <c r="Z8" i="10"/>
  <c r="AA13" i="10"/>
  <c r="Z16" i="10"/>
  <c r="AB3" i="10"/>
  <c r="AA8" i="10"/>
  <c r="Z11" i="10"/>
  <c r="AB13" i="10"/>
  <c r="AA16" i="10"/>
  <c r="G10" i="5"/>
  <c r="D11" i="5" l="1"/>
  <c r="L12" i="5"/>
  <c r="H26" i="11"/>
  <c r="C12" i="6"/>
  <c r="F11" i="6"/>
  <c r="C11" i="6"/>
  <c r="D13" i="6"/>
  <c r="E13" i="6"/>
  <c r="C13" i="6"/>
  <c r="D12" i="6"/>
  <c r="E11" i="6"/>
  <c r="D11" i="6"/>
  <c r="G11" i="6" s="1"/>
  <c r="D5" i="6" s="1"/>
  <c r="F13" i="6"/>
  <c r="E12" i="6"/>
  <c r="F12" i="6"/>
  <c r="G13" i="4"/>
  <c r="C6" i="9" s="1"/>
  <c r="F13" i="4"/>
  <c r="I26" i="11" s="1"/>
  <c r="F12" i="5"/>
  <c r="K11" i="5"/>
  <c r="M11" i="5"/>
  <c r="F11" i="5"/>
  <c r="D13" i="5"/>
  <c r="M12" i="5"/>
  <c r="C13" i="5"/>
  <c r="J12" i="5"/>
  <c r="L13" i="5"/>
  <c r="F13" i="5"/>
  <c r="E11" i="5"/>
  <c r="K13" i="5"/>
  <c r="C12" i="5"/>
  <c r="D12" i="5"/>
  <c r="E13" i="5"/>
  <c r="D29" i="4"/>
  <c r="C11" i="5"/>
  <c r="J13" i="5"/>
  <c r="K12" i="5"/>
  <c r="L11" i="5"/>
  <c r="M13" i="5"/>
  <c r="D10" i="4"/>
  <c r="E12" i="5"/>
  <c r="F12" i="7"/>
  <c r="E12" i="7"/>
  <c r="D12" i="7"/>
  <c r="C12" i="7"/>
  <c r="F11" i="7"/>
  <c r="E11" i="7"/>
  <c r="D44" i="4"/>
  <c r="F13" i="7"/>
  <c r="D11" i="7"/>
  <c r="E13" i="7"/>
  <c r="C11" i="7"/>
  <c r="D13" i="7"/>
  <c r="C13" i="7"/>
  <c r="K4" i="7"/>
  <c r="G10" i="7"/>
  <c r="N12" i="5" l="1"/>
  <c r="G13" i="6"/>
  <c r="G8" i="6" s="1"/>
  <c r="E32" i="4" s="1"/>
  <c r="G11" i="5"/>
  <c r="D6" i="5" s="1"/>
  <c r="C5" i="9"/>
  <c r="C4" i="9"/>
  <c r="G12" i="6"/>
  <c r="N11" i="5"/>
  <c r="K6" i="5" s="1"/>
  <c r="L26" i="11"/>
  <c r="Q20" i="10"/>
  <c r="T6" i="10"/>
  <c r="T16" i="10"/>
  <c r="U16" i="10" s="1"/>
  <c r="T15" i="10"/>
  <c r="U15" i="10" s="1"/>
  <c r="T12" i="10"/>
  <c r="Q19" i="10"/>
  <c r="T5" i="10"/>
  <c r="T4" i="10"/>
  <c r="T3" i="10"/>
  <c r="T11" i="10"/>
  <c r="T9" i="10"/>
  <c r="T14" i="10"/>
  <c r="U14" i="10" s="1"/>
  <c r="U21" i="10"/>
  <c r="T13" i="10"/>
  <c r="U13" i="10" s="1"/>
  <c r="T10" i="10"/>
  <c r="T8" i="10"/>
  <c r="T7" i="10"/>
  <c r="N13" i="5"/>
  <c r="N5" i="5" s="1"/>
  <c r="G17" i="4" s="1"/>
  <c r="G13" i="5"/>
  <c r="G8" i="5" s="1"/>
  <c r="F17" i="4" s="1"/>
  <c r="G12" i="5"/>
  <c r="G13" i="7"/>
  <c r="G8" i="7" s="1"/>
  <c r="E48" i="4" s="1"/>
  <c r="G12" i="7"/>
  <c r="G11" i="7"/>
  <c r="D6" i="7" s="1"/>
  <c r="D6" i="6"/>
  <c r="G6" i="6" s="1"/>
  <c r="C32" i="4" s="1"/>
  <c r="D5" i="5" l="1"/>
  <c r="G6" i="5" s="1"/>
  <c r="C17" i="4" s="1"/>
  <c r="C8" i="9"/>
  <c r="U18" i="10"/>
  <c r="B15" i="2" s="1"/>
  <c r="D15" i="2" s="1"/>
  <c r="K5" i="5"/>
  <c r="N3" i="5" s="1"/>
  <c r="I17" i="4" s="1"/>
  <c r="U17" i="10"/>
  <c r="G7" i="6"/>
  <c r="D32" i="4" s="1"/>
  <c r="D5" i="7"/>
  <c r="K7" i="7" s="1"/>
  <c r="H48" i="4" s="1"/>
  <c r="K8" i="7"/>
  <c r="I48" i="4" s="1"/>
  <c r="G7" i="5" l="1"/>
  <c r="D17" i="4" s="1"/>
  <c r="N4" i="5"/>
  <c r="J17" i="4" s="1"/>
  <c r="U20" i="10"/>
  <c r="U22" i="10" s="1"/>
  <c r="B12" i="2"/>
  <c r="D12" i="2" s="1"/>
  <c r="G6" i="7"/>
  <c r="C48" i="4" s="1"/>
  <c r="K6" i="7"/>
  <c r="G48" i="4" s="1"/>
  <c r="G7" i="7"/>
  <c r="D48" i="4" s="1"/>
  <c r="U7" i="10" l="1"/>
  <c r="U9" i="10"/>
  <c r="U6" i="10"/>
  <c r="U10" i="10"/>
  <c r="U5" i="10"/>
  <c r="U8" i="10"/>
  <c r="U4" i="10"/>
  <c r="U11" i="10"/>
  <c r="U12" i="10"/>
  <c r="B8" i="2"/>
  <c r="D8" i="2" s="1"/>
  <c r="D10" i="2" s="1"/>
  <c r="O26" i="11"/>
  <c r="P26" i="11" s="1"/>
  <c r="B10" i="2" l="1"/>
  <c r="B13" i="2" s="1"/>
  <c r="D13" i="2"/>
  <c r="C10" i="2" l="1"/>
  <c r="C10" i="4"/>
  <c r="C13" i="2"/>
  <c r="D16" i="2"/>
  <c r="C29" i="4"/>
  <c r="B16" i="2"/>
  <c r="C16" i="2" l="1"/>
  <c r="C44" i="4"/>
</calcChain>
</file>

<file path=xl/sharedStrings.xml><?xml version="1.0" encoding="utf-8"?>
<sst xmlns="http://schemas.openxmlformats.org/spreadsheetml/2006/main" count="423" uniqueCount="203">
  <si>
    <t>Mass &amp; Balance Tecnam P2002</t>
  </si>
  <si>
    <t>Avião</t>
  </si>
  <si>
    <t>W [kg]</t>
  </si>
  <si>
    <t>Arm [m]</t>
  </si>
  <si>
    <t>Moment (M) = W*Arm [kg*m]</t>
  </si>
  <si>
    <t>Empty Weight</t>
  </si>
  <si>
    <t>W (kg)</t>
  </si>
  <si>
    <t>arm (m)</t>
  </si>
  <si>
    <t>LOADING</t>
  </si>
  <si>
    <t>CS-ECO</t>
  </si>
  <si>
    <t>Pilot</t>
  </si>
  <si>
    <t>CS-ECP</t>
  </si>
  <si>
    <t>Co-Pilot</t>
  </si>
  <si>
    <t>CS-ECQ</t>
  </si>
  <si>
    <t>Baggage</t>
  </si>
  <si>
    <t>CS-ECR</t>
  </si>
  <si>
    <t>TAKE-OFF CONDITION</t>
  </si>
  <si>
    <t>LANDING CONDITION</t>
  </si>
  <si>
    <r>
      <rPr>
        <sz val="10"/>
        <color rgb="FF000000"/>
        <rFont val="Arial"/>
        <family val="2"/>
        <charset val="1"/>
      </rPr>
      <t>Usable Fuel (Fuel (liters)*</t>
    </r>
    <r>
      <rPr>
        <sz val="10"/>
        <color rgb="FF000000"/>
        <rFont val="Calibri"/>
        <family val="2"/>
        <charset val="1"/>
      </rPr>
      <t>ρ</t>
    </r>
    <r>
      <rPr>
        <sz val="10"/>
        <color rgb="FF000000"/>
        <rFont val="Arial"/>
        <family val="2"/>
        <charset val="1"/>
      </rPr>
      <t>fuel(0.72) [kg]</t>
    </r>
  </si>
  <si>
    <t>Take-off Condition</t>
  </si>
  <si>
    <r>
      <rPr>
        <sz val="10"/>
        <color rgb="FF000000"/>
        <rFont val="Arial"/>
        <charset val="1"/>
      </rPr>
      <t xml:space="preserve">Fuel Required </t>
    </r>
    <r>
      <rPr>
        <sz val="10"/>
        <color rgb="FF000000"/>
        <rFont val="Arial"/>
        <family val="2"/>
        <charset val="1"/>
      </rPr>
      <t>(Fuel (liters)*</t>
    </r>
    <r>
      <rPr>
        <sz val="10"/>
        <color rgb="FF000000"/>
        <rFont val="Calibri"/>
        <family val="2"/>
        <charset val="1"/>
      </rPr>
      <t>ρ</t>
    </r>
    <r>
      <rPr>
        <sz val="10"/>
        <color rgb="FF000000"/>
        <rFont val="Arial"/>
        <family val="2"/>
        <charset val="1"/>
      </rPr>
      <t>fuel(0.72) [kg]</t>
    </r>
  </si>
  <si>
    <t>Landing Condition</t>
  </si>
  <si>
    <t>Isa Dev</t>
  </si>
  <si>
    <t>rpm</t>
  </si>
  <si>
    <t>OAT</t>
  </si>
  <si>
    <t>Alt</t>
  </si>
  <si>
    <t>Power</t>
  </si>
  <si>
    <t>KTAS</t>
  </si>
  <si>
    <t>FC</t>
  </si>
  <si>
    <t>MSL</t>
  </si>
  <si>
    <t>rpm/ISA+-</t>
  </si>
  <si>
    <t>PERFORMANCE</t>
  </si>
  <si>
    <t>AERODROME</t>
  </si>
  <si>
    <t>LPEV</t>
  </si>
  <si>
    <t>TIME OF DEPARTURE</t>
  </si>
  <si>
    <t>CONSIDERED AD WX</t>
  </si>
  <si>
    <t>DATE/TIME</t>
  </si>
  <si>
    <t>WIND</t>
  </si>
  <si>
    <t>CEILING</t>
  </si>
  <si>
    <t>TEMP</t>
  </si>
  <si>
    <t>DEW POINT</t>
  </si>
  <si>
    <t>QNH</t>
  </si>
  <si>
    <t>-</t>
  </si>
  <si>
    <t>CAVOK</t>
  </si>
  <si>
    <t>PARAMETERS</t>
  </si>
  <si>
    <t>WEIGHT</t>
  </si>
  <si>
    <t>P. ALT.</t>
  </si>
  <si>
    <t>H-WIND</t>
  </si>
  <si>
    <t>X-WIND</t>
  </si>
  <si>
    <t>CRUISE PERFORMANCE</t>
  </si>
  <si>
    <t>CRUISE ALT</t>
  </si>
  <si>
    <t>TAS</t>
  </si>
  <si>
    <t>CRZ CLIMB</t>
  </si>
  <si>
    <t>TAKE OFF PERF</t>
  </si>
  <si>
    <t>CLIMB PERF</t>
  </si>
  <si>
    <t>LANDING PERF</t>
  </si>
  <si>
    <t>TORR</t>
  </si>
  <si>
    <t>TODR</t>
  </si>
  <si>
    <t>TAKE OFF</t>
  </si>
  <si>
    <t>BALK LND</t>
  </si>
  <si>
    <t>LGR</t>
  </si>
  <si>
    <t>LDR</t>
  </si>
  <si>
    <t>LANDING PERFORMANCE</t>
  </si>
  <si>
    <t>TIME OF ARRIVAL</t>
  </si>
  <si>
    <t>LANDING PARAMETERS</t>
  </si>
  <si>
    <t>BALK LDN</t>
  </si>
  <si>
    <t>ALTERNATE PERFORMANCE</t>
  </si>
  <si>
    <t>LPSO</t>
  </si>
  <si>
    <t>LPBJ</t>
  </si>
  <si>
    <t>ARRIVAL TIME</t>
  </si>
  <si>
    <t>ALTERNATE 1</t>
  </si>
  <si>
    <t>ALTERNATE 2</t>
  </si>
  <si>
    <t>LANDING</t>
  </si>
  <si>
    <t>hPa</t>
  </si>
  <si>
    <t>Headwind</t>
  </si>
  <si>
    <t>m</t>
  </si>
  <si>
    <t>elev</t>
  </si>
  <si>
    <t>ft</t>
  </si>
  <si>
    <t>Tailwind</t>
  </si>
  <si>
    <t>Temp</t>
  </si>
  <si>
    <t>ºC</t>
  </si>
  <si>
    <t>Paved RW</t>
  </si>
  <si>
    <t>y</t>
  </si>
  <si>
    <t>P alt</t>
  </si>
  <si>
    <t>Balked ROC</t>
  </si>
  <si>
    <t>ft/min</t>
  </si>
  <si>
    <t>Slope (%)</t>
  </si>
  <si>
    <t>Cruise Climb</t>
  </si>
  <si>
    <t>ROC</t>
  </si>
  <si>
    <t>Cruise</t>
  </si>
  <si>
    <t>GR</t>
  </si>
  <si>
    <t>LD</t>
  </si>
  <si>
    <t>Balked</t>
  </si>
  <si>
    <t>[ft]</t>
  </si>
  <si>
    <t>CRUISE</t>
  </si>
  <si>
    <t>alt</t>
  </si>
  <si>
    <t>ICAO</t>
  </si>
  <si>
    <t>Elevation</t>
  </si>
  <si>
    <t>TORA</t>
  </si>
  <si>
    <t>TODA</t>
  </si>
  <si>
    <t>ASDA</t>
  </si>
  <si>
    <t>LDA</t>
  </si>
  <si>
    <t>Paving</t>
  </si>
  <si>
    <t>Heading</t>
  </si>
  <si>
    <t>LPCB</t>
  </si>
  <si>
    <t>LPPN</t>
  </si>
  <si>
    <t>LPMT</t>
  </si>
  <si>
    <t>LPVZ</t>
  </si>
  <si>
    <t>LPSE</t>
  </si>
  <si>
    <t>LPCO</t>
  </si>
  <si>
    <t>LPCS</t>
  </si>
  <si>
    <t>Local Flight</t>
  </si>
  <si>
    <t>Time</t>
  </si>
  <si>
    <t>Consumption</t>
  </si>
  <si>
    <t>Taxi</t>
  </si>
  <si>
    <t>Flight Time</t>
  </si>
  <si>
    <t>Alternate</t>
  </si>
  <si>
    <t>Reserve</t>
  </si>
  <si>
    <t>Total</t>
  </si>
  <si>
    <t>Trip Fuel</t>
  </si>
  <si>
    <t>Contingency</t>
  </si>
  <si>
    <t>OU O MAIOR DE 5MIN  1500FT AAL</t>
  </si>
  <si>
    <t>NAVIGATION LOG</t>
  </si>
  <si>
    <t>FROM</t>
  </si>
  <si>
    <t>TO</t>
  </si>
  <si>
    <t>ALT</t>
  </si>
  <si>
    <t>T.TRK</t>
  </si>
  <si>
    <t>M.TRK</t>
  </si>
  <si>
    <t>T.HDG</t>
  </si>
  <si>
    <t>M.HDG</t>
  </si>
  <si>
    <t>GS</t>
  </si>
  <si>
    <t>DIST</t>
  </si>
  <si>
    <t>EET</t>
  </si>
  <si>
    <t>ETA</t>
  </si>
  <si>
    <t>RTA</t>
  </si>
  <si>
    <t>ATA</t>
  </si>
  <si>
    <t>FUEL (l)</t>
  </si>
  <si>
    <t>FUEL TOTAL</t>
  </si>
  <si>
    <t>VALVE</t>
  </si>
  <si>
    <t>ALTERNATE</t>
  </si>
  <si>
    <t>TOTAL</t>
  </si>
  <si>
    <t>FUEL REQUIRED</t>
  </si>
  <si>
    <t>M. HDG</t>
  </si>
  <si>
    <t>FUEL</t>
  </si>
  <si>
    <t>ALTERNATE FUEL</t>
  </si>
  <si>
    <t>TAXI FUEL</t>
  </si>
  <si>
    <t>5% CONTINGENCY</t>
  </si>
  <si>
    <t>45 min. HOLDING</t>
  </si>
  <si>
    <t>TOTAL FUEL REQUIRED</t>
  </si>
  <si>
    <t>REMARKS</t>
  </si>
  <si>
    <t>FLIGHT  FUEL MANAGEMENT</t>
  </si>
  <si>
    <t>ELAPSED TIME</t>
  </si>
  <si>
    <t>LH GAUGE</t>
  </si>
  <si>
    <t>RH GAUGE</t>
  </si>
  <si>
    <t>FUEL REMAIN</t>
  </si>
  <si>
    <t>FUEL USED</t>
  </si>
  <si>
    <t>ENDURANCE</t>
  </si>
  <si>
    <t>NAVIGATION LOG SHEET</t>
  </si>
  <si>
    <t>DATE &amp; TIME</t>
  </si>
  <si>
    <t>MISSION</t>
  </si>
  <si>
    <t>ON BLOCK</t>
  </si>
  <si>
    <t>HH:MM</t>
  </si>
  <si>
    <t>OFF BLOCK</t>
  </si>
  <si>
    <t>TAKEOFF</t>
  </si>
  <si>
    <t>REGISTRATION</t>
  </si>
  <si>
    <t>AIRCRAFT</t>
  </si>
  <si>
    <t>T. BLOCK</t>
  </si>
  <si>
    <t>T. TIME</t>
  </si>
  <si>
    <t>ADM 164</t>
  </si>
  <si>
    <t xml:space="preserve">DEPARTURE </t>
  </si>
  <si>
    <t>AERODROME INFORMATION</t>
  </si>
  <si>
    <t>LPEV 807ft 1245m TORA RW 01/19</t>
  </si>
  <si>
    <t xml:space="preserve">TAKEOFF  </t>
  </si>
  <si>
    <t>FREQUENCIES</t>
  </si>
  <si>
    <t>DEPARTURE CLEARANCE</t>
  </si>
  <si>
    <t>TAXI OUT</t>
  </si>
  <si>
    <t xml:space="preserve">PLANNED CRUISE PERFORMANCE </t>
  </si>
  <si>
    <t xml:space="preserve">P . ALT </t>
  </si>
  <si>
    <t>RPM</t>
  </si>
  <si>
    <t>POWER</t>
  </si>
  <si>
    <t>F.C.**</t>
  </si>
  <si>
    <t xml:space="preserve">U. FUEL </t>
  </si>
  <si>
    <t xml:space="preserve">ARRIVAL </t>
  </si>
  <si>
    <r>
      <rPr>
        <sz val="18"/>
        <rFont val="Arial"/>
        <family val="2"/>
        <charset val="1"/>
      </rPr>
      <t>LPEV 807ft 1300m LDA</t>
    </r>
    <r>
      <rPr>
        <sz val="18"/>
        <rFont val="Arial"/>
        <family val="2"/>
      </rPr>
      <t xml:space="preserve"> RW 01/19</t>
    </r>
  </si>
  <si>
    <t xml:space="preserve">LANDING  </t>
  </si>
  <si>
    <r>
      <rPr>
        <b/>
        <sz val="8"/>
        <color rgb="FFFFFFFF"/>
        <rFont val="Arial"/>
        <family val="2"/>
        <charset val="1"/>
      </rPr>
      <t>APPROACH</t>
    </r>
    <r>
      <rPr>
        <sz val="8"/>
        <color rgb="FF000000"/>
        <rFont val="Arial"/>
        <charset val="1"/>
      </rPr>
      <t xml:space="preserve"> </t>
    </r>
    <r>
      <rPr>
        <b/>
        <sz val="8"/>
        <color rgb="FFFFFFFF"/>
        <rFont val="Arial"/>
        <charset val="1"/>
      </rPr>
      <t>CLEARANCE</t>
    </r>
  </si>
  <si>
    <t>LPEV 122.705
LIS 123.755</t>
  </si>
  <si>
    <t>TAXI IN</t>
  </si>
  <si>
    <t>Cruise Temp</t>
  </si>
  <si>
    <t>ISA +-</t>
  </si>
  <si>
    <t>MAXED</t>
  </si>
  <si>
    <t>REGUENGOS</t>
  </si>
  <si>
    <t>MOURÃO</t>
  </si>
  <si>
    <t>ALQUEVA</t>
  </si>
  <si>
    <t>PORTEL</t>
  </si>
  <si>
    <t>VIANA</t>
  </si>
  <si>
    <t>TORRÃO</t>
  </si>
  <si>
    <t>ALCÁCER</t>
  </si>
  <si>
    <t>S. CRIST.</t>
  </si>
  <si>
    <t>TOD</t>
  </si>
  <si>
    <t>BH-10</t>
  </si>
  <si>
    <t>LPEV 122.705
LIS 123.755
BJA App 130.1</t>
  </si>
  <si>
    <t>281103Z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</si>
</sst>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0.0"/>
    <numFmt numFmtId="166" formatCode="0000"/>
    <numFmt numFmtId="167" formatCode="000"/>
    <numFmt numFmtId="168" formatCode="00"/>
    <numFmt numFmtId="169" formatCode="h\ &quot;h&quot;\ mm\ &quot;min&quot;"/>
    <numFmt numFmtId="170" formatCode="0.0\ \l"/>
    <numFmt numFmtId="171" formatCode="0.0\ &quot;l/h&quot;"/>
    <numFmt numFmtId="172" formatCode="0.0\ \k\t"/>
    <numFmt numFmtId="173" formatCode="General\ \f\t"/>
    <numFmt numFmtId="174" formatCode="General\ \º\C"/>
    <numFmt numFmtId="175" formatCode="d/m/yyyy;@"/>
  </numFmts>
  <fonts count="30" x14ac:knownFonts="1">
    <font>
      <sz val="10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8"/>
      <color rgb="FFFFFFFF"/>
      <name val="Arial"/>
      <charset val="1"/>
    </font>
    <font>
      <sz val="10"/>
      <name val="Arial"/>
      <charset val="1"/>
    </font>
    <font>
      <b/>
      <sz val="8"/>
      <color rgb="FFFFFFFF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8"/>
      <color rgb="FFFFFFFF"/>
      <name val="Roboto"/>
      <charset val="1"/>
    </font>
    <font>
      <b/>
      <sz val="10"/>
      <color rgb="FF999999"/>
      <name val="Arial"/>
      <family val="2"/>
      <charset val="1"/>
    </font>
    <font>
      <sz val="8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8"/>
      <name val="Arial"/>
      <family val="2"/>
      <charset val="1"/>
    </font>
    <font>
      <sz val="12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color rgb="FF000000"/>
      <name val="Arial"/>
      <charset val="1"/>
    </font>
    <font>
      <sz val="18"/>
      <name val="Arial"/>
      <family val="2"/>
    </font>
    <font>
      <sz val="8"/>
      <color rgb="FF000000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FE2F3"/>
      </patternFill>
    </fill>
    <fill>
      <patternFill patternType="solid">
        <fgColor rgb="FFCC0000"/>
        <bgColor rgb="FF800000"/>
      </patternFill>
    </fill>
    <fill>
      <patternFill patternType="solid">
        <fgColor rgb="FFBBE33D"/>
        <bgColor rgb="FFD4EA6B"/>
      </patternFill>
    </fill>
    <fill>
      <patternFill patternType="solid">
        <fgColor rgb="FFD4EA6B"/>
        <bgColor rgb="FFBBE33D"/>
      </patternFill>
    </fill>
    <fill>
      <patternFill patternType="solid">
        <fgColor rgb="FFA9D18E"/>
        <bgColor rgb="FFB7B7B7"/>
      </patternFill>
    </fill>
    <fill>
      <patternFill patternType="solid">
        <fgColor rgb="FFFFD966"/>
        <bgColor rgb="FFD4EA6B"/>
      </patternFill>
    </fill>
    <fill>
      <patternFill patternType="solid">
        <fgColor rgb="FF2F5597"/>
        <bgColor rgb="FF666699"/>
      </patternFill>
    </fill>
    <fill>
      <patternFill patternType="solid">
        <fgColor rgb="FF9DC3E6"/>
        <bgColor rgb="FFB7B7B7"/>
      </patternFill>
    </fill>
    <fill>
      <patternFill patternType="solid">
        <fgColor rgb="FF3C78D8"/>
        <bgColor rgb="FF666699"/>
      </patternFill>
    </fill>
    <fill>
      <patternFill patternType="solid">
        <fgColor rgb="FF6FA8DC"/>
        <bgColor rgb="FF9DC3E6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DDDDD"/>
      </patternFill>
    </fill>
    <fill>
      <patternFill patternType="solid">
        <fgColor theme="0"/>
        <bgColor rgb="FFB7B7B7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B7B7B7"/>
      </right>
      <top style="thick">
        <color auto="1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ck">
        <color auto="1"/>
      </top>
      <bottom style="thin">
        <color rgb="FFB7B7B7"/>
      </bottom>
      <diagonal/>
    </border>
    <border>
      <left style="dashed">
        <color auto="1"/>
      </left>
      <right style="thin">
        <color rgb="FFB7B7B7"/>
      </right>
      <top style="thick">
        <color auto="1"/>
      </top>
      <bottom style="thin">
        <color rgb="FFB7B7B7"/>
      </bottom>
      <diagonal/>
    </border>
    <border>
      <left style="thin">
        <color rgb="FFB7B7B7"/>
      </left>
      <right style="thick">
        <color auto="1"/>
      </right>
      <top style="thick">
        <color auto="1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ck">
        <color auto="1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dashed">
        <color auto="1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ck">
        <color auto="1"/>
      </right>
      <top style="thin">
        <color rgb="FFB7B7B7"/>
      </top>
      <bottom style="thin">
        <color rgb="FFB7B7B7"/>
      </bottom>
      <diagonal/>
    </border>
    <border>
      <left style="thick">
        <color auto="1"/>
      </left>
      <right style="thin">
        <color rgb="FFB7B7B7"/>
      </right>
      <top style="thin">
        <color rgb="FFB7B7B7"/>
      </top>
      <bottom style="thick">
        <color auto="1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auto="1"/>
      </bottom>
      <diagonal/>
    </border>
    <border>
      <left style="dashed">
        <color auto="1"/>
      </left>
      <right style="thin">
        <color rgb="FFB7B7B7"/>
      </right>
      <top style="thin">
        <color rgb="FFB7B7B7"/>
      </top>
      <bottom style="thick">
        <color auto="1"/>
      </bottom>
      <diagonal/>
    </border>
    <border>
      <left style="thin">
        <color rgb="FFB7B7B7"/>
      </left>
      <right style="thick">
        <color auto="1"/>
      </right>
      <top style="thin">
        <color rgb="FFB7B7B7"/>
      </top>
      <bottom style="thick">
        <color rgb="FFFFFFFF"/>
      </bottom>
      <diagonal/>
    </border>
    <border>
      <left style="thin">
        <color auto="1"/>
      </left>
      <right style="thin">
        <color rgb="FFFFFFFF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B7B7B7"/>
      </left>
      <right style="dashed">
        <color auto="1"/>
      </right>
      <top style="thick">
        <color auto="1"/>
      </top>
      <bottom style="thin">
        <color rgb="FFB7B7B7"/>
      </bottom>
      <diagonal/>
    </border>
    <border>
      <left style="thin">
        <color rgb="FFB7B7B7"/>
      </left>
      <right style="dashed">
        <color auto="1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dashed">
        <color auto="1"/>
      </right>
      <top style="thin">
        <color rgb="FFB7B7B7"/>
      </top>
      <bottom style="thick">
        <color auto="1"/>
      </bottom>
      <diagonal/>
    </border>
    <border>
      <left style="thin">
        <color rgb="FFB7B7B7"/>
      </left>
      <right style="thick">
        <color rgb="FFFFFFFF"/>
      </right>
      <top style="thin">
        <color rgb="FFB7B7B7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CCCCCC"/>
      </right>
      <top style="thick">
        <color auto="1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ck">
        <color auto="1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ck">
        <color auto="1"/>
      </right>
      <top style="thick">
        <color auto="1"/>
      </top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thick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auto="1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7" fillId="0" borderId="0"/>
    <xf numFmtId="0" fontId="26" fillId="0" borderId="0"/>
    <xf numFmtId="0" fontId="26" fillId="0" borderId="0"/>
    <xf numFmtId="0" fontId="8" fillId="0" borderId="0"/>
  </cellStyleXfs>
  <cellXfs count="17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Protection="1">
      <protection locked="0"/>
    </xf>
    <xf numFmtId="0" fontId="0" fillId="7" borderId="0" xfId="0" applyFill="1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5" fontId="0" fillId="8" borderId="1" xfId="0" applyNumberFormat="1" applyFill="1" applyBorder="1"/>
    <xf numFmtId="0" fontId="10" fillId="0" borderId="1" xfId="0" applyFont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5" fontId="0" fillId="9" borderId="1" xfId="0" applyNumberFormat="1" applyFill="1" applyBorder="1"/>
    <xf numFmtId="164" fontId="0" fillId="9" borderId="1" xfId="0" applyNumberFormat="1" applyFill="1" applyBorder="1"/>
    <xf numFmtId="2" fontId="0" fillId="9" borderId="1" xfId="0" applyNumberFormat="1" applyFill="1" applyBorder="1"/>
    <xf numFmtId="165" fontId="0" fillId="0" borderId="1" xfId="0" applyNumberFormat="1" applyBorder="1"/>
    <xf numFmtId="2" fontId="0" fillId="0" borderId="1" xfId="0" applyNumberFormat="1" applyBorder="1"/>
    <xf numFmtId="0" fontId="0" fillId="6" borderId="0" xfId="0" applyFill="1"/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0" fillId="0" borderId="6" xfId="0" applyBorder="1"/>
    <xf numFmtId="10" fontId="0" fillId="0" borderId="7" xfId="0" applyNumberFormat="1" applyBorder="1"/>
    <xf numFmtId="10" fontId="0" fillId="0" borderId="1" xfId="0" applyNumberFormat="1" applyBorder="1"/>
    <xf numFmtId="10" fontId="0" fillId="0" borderId="8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0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3" fillId="11" borderId="7" xfId="0" applyFont="1" applyFill="1" applyBorder="1"/>
    <xf numFmtId="0" fontId="3" fillId="11" borderId="1" xfId="0" applyFont="1" applyFill="1" applyBorder="1" applyAlignment="1">
      <alignment horizontal="center"/>
    </xf>
    <xf numFmtId="166" fontId="0" fillId="0" borderId="1" xfId="0" applyNumberFormat="1" applyBorder="1"/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7" fontId="0" fillId="0" borderId="1" xfId="0" applyNumberFormat="1" applyBorder="1"/>
    <xf numFmtId="0" fontId="3" fillId="10" borderId="0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 applyAlignment="1">
      <alignment horizontal="right"/>
    </xf>
    <xf numFmtId="165" fontId="0" fillId="0" borderId="0" xfId="0" applyNumberFormat="1" applyProtection="1">
      <protection locked="0"/>
    </xf>
    <xf numFmtId="2" fontId="0" fillId="0" borderId="0" xfId="0" applyNumberFormat="1"/>
    <xf numFmtId="0" fontId="0" fillId="6" borderId="0" xfId="0" applyFill="1" applyProtection="1">
      <protection locked="0"/>
    </xf>
    <xf numFmtId="0" fontId="0" fillId="0" borderId="23" xfId="0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165" fontId="0" fillId="6" borderId="0" xfId="0" applyNumberFormat="1" applyFill="1" applyProtection="1">
      <protection locked="0"/>
    </xf>
    <xf numFmtId="0" fontId="11" fillId="13" borderId="25" xfId="0" applyFont="1" applyFill="1" applyBorder="1" applyAlignment="1">
      <alignment horizontal="center" vertical="center" wrapText="1" readingOrder="1"/>
    </xf>
    <xf numFmtId="0" fontId="11" fillId="13" borderId="26" xfId="0" applyFont="1" applyFill="1" applyBorder="1" applyAlignment="1">
      <alignment horizontal="center" vertical="center" wrapText="1" readingOrder="1"/>
    </xf>
    <xf numFmtId="0" fontId="12" fillId="14" borderId="29" xfId="0" applyFont="1" applyFill="1" applyBorder="1" applyAlignment="1">
      <alignment wrapText="1"/>
    </xf>
    <xf numFmtId="0" fontId="12" fillId="14" borderId="30" xfId="0" applyFont="1" applyFill="1" applyBorder="1" applyAlignment="1">
      <alignment wrapText="1"/>
    </xf>
    <xf numFmtId="0" fontId="12" fillId="0" borderId="30" xfId="0" applyFont="1" applyBorder="1" applyAlignment="1">
      <alignment wrapText="1"/>
    </xf>
    <xf numFmtId="167" fontId="12" fillId="0" borderId="30" xfId="0" applyNumberFormat="1" applyFont="1" applyBorder="1" applyAlignment="1">
      <alignment wrapText="1"/>
    </xf>
    <xf numFmtId="168" fontId="12" fillId="0" borderId="30" xfId="0" applyNumberFormat="1" applyFont="1" applyBorder="1" applyAlignment="1">
      <alignment wrapText="1"/>
    </xf>
    <xf numFmtId="0" fontId="12" fillId="0" borderId="31" xfId="0" applyFont="1" applyBorder="1" applyAlignment="1">
      <alignment wrapText="1"/>
    </xf>
    <xf numFmtId="1" fontId="12" fillId="0" borderId="30" xfId="0" applyNumberFormat="1" applyFont="1" applyBorder="1" applyAlignment="1">
      <alignment wrapText="1"/>
    </xf>
    <xf numFmtId="0" fontId="12" fillId="15" borderId="32" xfId="0" applyFont="1" applyFill="1" applyBorder="1" applyAlignment="1">
      <alignment wrapText="1"/>
    </xf>
    <xf numFmtId="0" fontId="12" fillId="15" borderId="29" xfId="0" applyFont="1" applyFill="1" applyBorder="1" applyAlignment="1">
      <alignment horizontal="center" wrapText="1"/>
    </xf>
    <xf numFmtId="165" fontId="12" fillId="0" borderId="32" xfId="0" applyNumberFormat="1" applyFont="1" applyBorder="1" applyAlignment="1">
      <alignment vertical="top" wrapText="1"/>
    </xf>
    <xf numFmtId="165" fontId="12" fillId="0" borderId="33" xfId="0" applyNumberFormat="1" applyFont="1" applyBorder="1" applyAlignment="1">
      <alignment wrapText="1"/>
    </xf>
    <xf numFmtId="0" fontId="12" fillId="14" borderId="34" xfId="0" applyFont="1" applyFill="1" applyBorder="1" applyAlignment="1">
      <alignment wrapText="1"/>
    </xf>
    <xf numFmtId="0" fontId="12" fillId="14" borderId="33" xfId="0" applyFont="1" applyFill="1" applyBorder="1" applyAlignment="1">
      <alignment wrapText="1"/>
    </xf>
    <xf numFmtId="0" fontId="12" fillId="0" borderId="33" xfId="0" applyFont="1" applyBorder="1" applyAlignment="1">
      <alignment wrapText="1"/>
    </xf>
    <xf numFmtId="167" fontId="12" fillId="0" borderId="33" xfId="0" applyNumberFormat="1" applyFont="1" applyBorder="1" applyAlignment="1">
      <alignment wrapText="1"/>
    </xf>
    <xf numFmtId="168" fontId="12" fillId="0" borderId="33" xfId="0" applyNumberFormat="1" applyFont="1" applyBorder="1" applyAlignment="1">
      <alignment wrapText="1"/>
    </xf>
    <xf numFmtId="0" fontId="12" fillId="0" borderId="35" xfId="0" applyFont="1" applyBorder="1" applyAlignment="1">
      <alignment wrapText="1"/>
    </xf>
    <xf numFmtId="1" fontId="12" fillId="0" borderId="33" xfId="0" applyNumberFormat="1" applyFont="1" applyBorder="1" applyAlignment="1">
      <alignment vertical="top" wrapText="1"/>
    </xf>
    <xf numFmtId="0" fontId="12" fillId="15" borderId="33" xfId="0" applyFont="1" applyFill="1" applyBorder="1" applyAlignment="1">
      <alignment horizontal="center" wrapText="1"/>
    </xf>
    <xf numFmtId="0" fontId="12" fillId="15" borderId="30" xfId="0" applyFont="1" applyFill="1" applyBorder="1" applyAlignment="1">
      <alignment wrapText="1"/>
    </xf>
    <xf numFmtId="0" fontId="12" fillId="15" borderId="33" xfId="0" applyFont="1" applyFill="1" applyBorder="1" applyAlignment="1">
      <alignment wrapText="1"/>
    </xf>
    <xf numFmtId="165" fontId="12" fillId="0" borderId="36" xfId="0" applyNumberFormat="1" applyFont="1" applyBorder="1" applyAlignment="1">
      <alignment wrapText="1"/>
    </xf>
    <xf numFmtId="0" fontId="12" fillId="14" borderId="37" xfId="0" applyFont="1" applyFill="1" applyBorder="1" applyAlignment="1">
      <alignment wrapText="1"/>
    </xf>
    <xf numFmtId="0" fontId="12" fillId="14" borderId="38" xfId="0" applyFont="1" applyFill="1" applyBorder="1" applyAlignment="1">
      <alignment wrapText="1"/>
    </xf>
    <xf numFmtId="0" fontId="12" fillId="0" borderId="38" xfId="0" applyFont="1" applyBorder="1" applyAlignment="1">
      <alignment wrapText="1"/>
    </xf>
    <xf numFmtId="167" fontId="12" fillId="0" borderId="38" xfId="0" applyNumberFormat="1" applyFont="1" applyBorder="1" applyAlignment="1">
      <alignment wrapText="1"/>
    </xf>
    <xf numFmtId="168" fontId="12" fillId="0" borderId="38" xfId="0" applyNumberFormat="1" applyFont="1" applyBorder="1" applyAlignment="1">
      <alignment wrapText="1"/>
    </xf>
    <xf numFmtId="0" fontId="12" fillId="0" borderId="39" xfId="0" applyFont="1" applyBorder="1" applyAlignment="1">
      <alignment wrapText="1"/>
    </xf>
    <xf numFmtId="1" fontId="12" fillId="0" borderId="38" xfId="0" applyNumberFormat="1" applyFont="1" applyBorder="1" applyAlignment="1">
      <alignment vertical="top" wrapText="1"/>
    </xf>
    <xf numFmtId="0" fontId="12" fillId="15" borderId="38" xfId="0" applyFont="1" applyFill="1" applyBorder="1" applyAlignment="1">
      <alignment wrapText="1"/>
    </xf>
    <xf numFmtId="165" fontId="12" fillId="0" borderId="38" xfId="0" applyNumberFormat="1" applyFont="1" applyBorder="1" applyAlignment="1">
      <alignment wrapText="1"/>
    </xf>
    <xf numFmtId="165" fontId="12" fillId="0" borderId="40" xfId="0" applyNumberFormat="1" applyFont="1" applyBorder="1" applyAlignment="1">
      <alignment wrapText="1"/>
    </xf>
    <xf numFmtId="0" fontId="12" fillId="0" borderId="25" xfId="0" applyFont="1" applyBorder="1" applyAlignment="1">
      <alignment wrapText="1"/>
    </xf>
    <xf numFmtId="1" fontId="12" fillId="0" borderId="26" xfId="0" applyNumberFormat="1" applyFont="1" applyBorder="1" applyAlignment="1">
      <alignment vertical="top" wrapText="1"/>
    </xf>
    <xf numFmtId="0" fontId="11" fillId="12" borderId="41" xfId="0" applyFont="1" applyFill="1" applyBorder="1" applyAlignment="1">
      <alignment horizontal="center" vertical="center" wrapText="1" readingOrder="1"/>
    </xf>
    <xf numFmtId="165" fontId="12" fillId="0" borderId="43" xfId="0" applyNumberFormat="1" applyFont="1" applyBorder="1" applyAlignment="1">
      <alignment wrapText="1"/>
    </xf>
    <xf numFmtId="0" fontId="11" fillId="13" borderId="41" xfId="0" applyFont="1" applyFill="1" applyBorder="1" applyAlignment="1">
      <alignment horizontal="center" vertical="center" wrapText="1" readingOrder="1"/>
    </xf>
    <xf numFmtId="165" fontId="12" fillId="0" borderId="44" xfId="0" applyNumberFormat="1" applyFont="1" applyBorder="1" applyAlignment="1">
      <alignment wrapText="1"/>
    </xf>
    <xf numFmtId="167" fontId="12" fillId="0" borderId="45" xfId="0" applyNumberFormat="1" applyFont="1" applyBorder="1" applyAlignment="1">
      <alignment wrapText="1"/>
    </xf>
    <xf numFmtId="167" fontId="12" fillId="0" borderId="46" xfId="0" applyNumberFormat="1" applyFont="1" applyBorder="1" applyAlignment="1">
      <alignment wrapText="1"/>
    </xf>
    <xf numFmtId="1" fontId="12" fillId="0" borderId="33" xfId="0" applyNumberFormat="1" applyFont="1" applyBorder="1" applyAlignment="1">
      <alignment wrapText="1"/>
    </xf>
    <xf numFmtId="167" fontId="12" fillId="0" borderId="47" xfId="0" applyNumberFormat="1" applyFont="1" applyBorder="1" applyAlignment="1">
      <alignment wrapText="1"/>
    </xf>
    <xf numFmtId="1" fontId="12" fillId="0" borderId="38" xfId="0" applyNumberFormat="1" applyFont="1" applyBorder="1" applyAlignment="1">
      <alignment wrapText="1"/>
    </xf>
    <xf numFmtId="0" fontId="12" fillId="0" borderId="48" xfId="0" applyFont="1" applyBorder="1" applyAlignment="1">
      <alignment wrapText="1"/>
    </xf>
    <xf numFmtId="165" fontId="12" fillId="0" borderId="50" xfId="0" applyNumberFormat="1" applyFont="1" applyBorder="1" applyAlignment="1">
      <alignment wrapText="1"/>
    </xf>
    <xf numFmtId="0" fontId="0" fillId="0" borderId="52" xfId="0" applyBorder="1"/>
    <xf numFmtId="0" fontId="13" fillId="13" borderId="25" xfId="0" applyFont="1" applyFill="1" applyBorder="1" applyAlignment="1">
      <alignment horizontal="center" vertical="center" wrapText="1" readingOrder="1"/>
    </xf>
    <xf numFmtId="0" fontId="14" fillId="0" borderId="54" xfId="0" applyFont="1" applyBorder="1" applyAlignment="1">
      <alignment vertical="top" wrapText="1"/>
    </xf>
    <xf numFmtId="0" fontId="14" fillId="0" borderId="58" xfId="0" applyFont="1" applyBorder="1" applyAlignment="1">
      <alignment vertical="top" wrapText="1"/>
    </xf>
    <xf numFmtId="0" fontId="14" fillId="0" borderId="61" xfId="0" applyFont="1" applyBorder="1" applyAlignment="1">
      <alignment vertical="top" wrapText="1"/>
    </xf>
    <xf numFmtId="0" fontId="13" fillId="13" borderId="1" xfId="0" applyFont="1" applyFill="1" applyBorder="1" applyAlignment="1">
      <alignment horizontal="center" vertical="center" wrapText="1" readingOrder="1"/>
    </xf>
    <xf numFmtId="10" fontId="22" fillId="0" borderId="1" xfId="0" applyNumberFormat="1" applyFont="1" applyBorder="1" applyAlignment="1">
      <alignment horizontal="right" vertical="center" wrapText="1" readingOrder="1"/>
    </xf>
    <xf numFmtId="0" fontId="23" fillId="0" borderId="0" xfId="0" applyFont="1"/>
    <xf numFmtId="0" fontId="0" fillId="0" borderId="1" xfId="0" applyFont="1" applyBorder="1" applyAlignment="1">
      <alignment wrapText="1"/>
    </xf>
    <xf numFmtId="169" fontId="22" fillId="0" borderId="1" xfId="0" applyNumberFormat="1" applyFont="1" applyBorder="1" applyAlignment="1">
      <alignment horizontal="center" vertical="center" wrapText="1" readingOrder="1"/>
    </xf>
    <xf numFmtId="170" fontId="22" fillId="0" borderId="1" xfId="0" applyNumberFormat="1" applyFont="1" applyBorder="1" applyAlignment="1">
      <alignment horizontal="right" vertical="center" wrapText="1" readingOrder="1"/>
    </xf>
    <xf numFmtId="173" fontId="22" fillId="0" borderId="64" xfId="0" applyNumberFormat="1" applyFont="1" applyBorder="1" applyAlignment="1">
      <alignment horizontal="right" vertical="center" wrapText="1" readingOrder="1"/>
    </xf>
    <xf numFmtId="174" fontId="22" fillId="0" borderId="64" xfId="0" applyNumberFormat="1" applyFont="1" applyBorder="1" applyAlignment="1">
      <alignment horizontal="right" vertical="center" wrapText="1" readingOrder="1"/>
    </xf>
    <xf numFmtId="2" fontId="0" fillId="0" borderId="1" xfId="0" applyNumberFormat="1" applyFont="1" applyBorder="1"/>
    <xf numFmtId="0" fontId="0" fillId="0" borderId="64" xfId="0" applyFont="1" applyBorder="1"/>
    <xf numFmtId="0" fontId="0" fillId="16" borderId="64" xfId="0" applyFont="1" applyFill="1" applyBorder="1"/>
    <xf numFmtId="165" fontId="0" fillId="16" borderId="1" xfId="0" applyNumberFormat="1" applyFill="1" applyBorder="1"/>
    <xf numFmtId="0" fontId="0" fillId="16" borderId="1" xfId="0" applyFont="1" applyFill="1" applyBorder="1"/>
    <xf numFmtId="0" fontId="28" fillId="0" borderId="1" xfId="0" applyFont="1" applyBorder="1"/>
    <xf numFmtId="0" fontId="29" fillId="0" borderId="1" xfId="0" applyFont="1" applyBorder="1"/>
    <xf numFmtId="0" fontId="0" fillId="0" borderId="0" xfId="0" applyFont="1" applyBorder="1" applyAlignment="1">
      <alignment vertical="center"/>
    </xf>
    <xf numFmtId="0" fontId="27" fillId="0" borderId="23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3" fillId="10" borderId="17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 wrapText="1" readingOrder="1"/>
    </xf>
    <xf numFmtId="0" fontId="11" fillId="13" borderId="26" xfId="0" applyFont="1" applyFill="1" applyBorder="1" applyAlignment="1">
      <alignment horizontal="center" vertical="center" wrapText="1" readingOrder="1"/>
    </xf>
    <xf numFmtId="0" fontId="11" fillId="13" borderId="27" xfId="0" applyFont="1" applyFill="1" applyBorder="1" applyAlignment="1">
      <alignment horizontal="center" vertical="center" wrapText="1" readingOrder="1"/>
    </xf>
    <xf numFmtId="0" fontId="11" fillId="13" borderId="28" xfId="0" applyFont="1" applyFill="1" applyBorder="1" applyAlignment="1">
      <alignment horizontal="center" vertical="center" wrapText="1" readingOrder="1"/>
    </xf>
    <xf numFmtId="0" fontId="11" fillId="12" borderId="42" xfId="0" applyFont="1" applyFill="1" applyBorder="1" applyAlignment="1">
      <alignment horizontal="center" vertical="center" wrapText="1" readingOrder="1"/>
    </xf>
    <xf numFmtId="0" fontId="11" fillId="12" borderId="49" xfId="0" applyFont="1" applyFill="1" applyBorder="1" applyAlignment="1">
      <alignment horizontal="center" vertical="center" wrapText="1" readingOrder="1"/>
    </xf>
    <xf numFmtId="0" fontId="13" fillId="12" borderId="24" xfId="0" applyFont="1" applyFill="1" applyBorder="1" applyAlignment="1">
      <alignment horizontal="center" vertical="center" wrapText="1" readingOrder="1"/>
    </xf>
    <xf numFmtId="0" fontId="3" fillId="12" borderId="51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center" wrapText="1"/>
    </xf>
    <xf numFmtId="0" fontId="13" fillId="13" borderId="26" xfId="0" applyFont="1" applyFill="1" applyBorder="1" applyAlignment="1">
      <alignment horizontal="center" vertical="center" wrapText="1" readingOrder="1"/>
    </xf>
    <xf numFmtId="0" fontId="13" fillId="13" borderId="53" xfId="0" applyFont="1" applyFill="1" applyBorder="1" applyAlignment="1">
      <alignment horizontal="center" vertical="center" wrapText="1" readingOrder="1"/>
    </xf>
    <xf numFmtId="0" fontId="14" fillId="0" borderId="55" xfId="0" applyFont="1" applyBorder="1" applyAlignment="1">
      <alignment horizontal="center" vertical="top" wrapText="1"/>
    </xf>
    <xf numFmtId="0" fontId="14" fillId="0" borderId="56" xfId="0" applyFont="1" applyBorder="1" applyAlignment="1">
      <alignment horizontal="center" vertical="top" wrapText="1"/>
    </xf>
    <xf numFmtId="0" fontId="14" fillId="0" borderId="57" xfId="0" applyFont="1" applyBorder="1" applyAlignment="1">
      <alignment horizontal="center" vertical="top" wrapText="1"/>
    </xf>
    <xf numFmtId="0" fontId="14" fillId="0" borderId="59" xfId="0" applyFont="1" applyBorder="1" applyAlignment="1">
      <alignment horizontal="center"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2" xfId="0" applyFont="1" applyBorder="1" applyAlignment="1">
      <alignment horizontal="center" vertical="top" wrapText="1"/>
    </xf>
    <xf numFmtId="0" fontId="14" fillId="0" borderId="63" xfId="0" applyFont="1" applyBorder="1" applyAlignment="1">
      <alignment horizontal="center" vertical="top" wrapText="1"/>
    </xf>
    <xf numFmtId="0" fontId="15" fillId="12" borderId="1" xfId="0" applyFont="1" applyFill="1" applyBorder="1" applyAlignment="1">
      <alignment horizontal="center" vertical="center" wrapText="1" readingOrder="1"/>
    </xf>
    <xf numFmtId="0" fontId="16" fillId="13" borderId="1" xfId="0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175" fontId="18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 readingOrder="1"/>
    </xf>
    <xf numFmtId="172" fontId="22" fillId="0" borderId="1" xfId="0" applyNumberFormat="1" applyFont="1" applyBorder="1" applyAlignment="1">
      <alignment horizontal="center" vertical="center" wrapText="1" readingOrder="1"/>
    </xf>
    <xf numFmtId="171" fontId="22" fillId="0" borderId="1" xfId="0" applyNumberFormat="1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top" wrapText="1"/>
    </xf>
    <xf numFmtId="0" fontId="0" fillId="0" borderId="0" xfId="0" applyBorder="1"/>
  </cellXfs>
  <cellStyles count="13">
    <cellStyle name="Accent 1 5" xfId="1" xr:uid="{00000000-0005-0000-0000-000000000000}"/>
    <cellStyle name="Accent 2 6" xfId="2" xr:uid="{00000000-0005-0000-0000-000001000000}"/>
    <cellStyle name="Accent 3 7" xfId="3" xr:uid="{00000000-0005-0000-0000-000002000000}"/>
    <cellStyle name="Accent 4" xfId="4" xr:uid="{00000000-0005-0000-0000-000003000000}"/>
    <cellStyle name="Error 8" xfId="5" xr:uid="{00000000-0005-0000-0000-000004000000}"/>
    <cellStyle name="Footnote 9" xfId="6" xr:uid="{00000000-0005-0000-0000-000005000000}"/>
    <cellStyle name="Heading 10" xfId="7" xr:uid="{00000000-0005-0000-0000-000006000000}"/>
    <cellStyle name="Hyperlink 11" xfId="8" xr:uid="{00000000-0005-0000-0000-000007000000}"/>
    <cellStyle name="Normal" xfId="0" builtinId="0"/>
    <cellStyle name="Result 12" xfId="9" xr:uid="{00000000-0005-0000-0000-000009000000}"/>
    <cellStyle name="Status 13" xfId="10" xr:uid="{00000000-0005-0000-0000-00000A000000}"/>
    <cellStyle name="Text 14" xfId="11" xr:uid="{00000000-0005-0000-0000-00000B000000}"/>
    <cellStyle name="Warning 15" xfId="12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993366"/>
      <rgbColor rgb="FFEFEFEF"/>
      <rgbColor rgb="FFCFE2F3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DDDDD"/>
      <rgbColor rgb="FFD4EA6B"/>
      <rgbColor rgb="FF9DC3E6"/>
      <rgbColor rgb="FFFF99CC"/>
      <rgbColor rgb="FFCC99FF"/>
      <rgbColor rgb="FFFFD966"/>
      <rgbColor rgb="FF3C78D8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16" fmlaLink="$J$4" fmlaRange="$L$4:$L$7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342900</xdr:colOff>
          <xdr:row>0</xdr:row>
          <xdr:rowOff>266700</xdr:rowOff>
        </xdr:from>
        <xdr:to>
          <xdr:col>6</xdr:col>
          <xdr:colOff>266700</xdr:colOff>
          <xdr:row>1</xdr:row>
          <xdr:rowOff>177800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20" zoomScaleNormal="120" workbookViewId="0">
      <selection activeCell="C3" sqref="C3"/>
    </sheetView>
  </sheetViews>
  <sheetFormatPr baseColWidth="10" defaultColWidth="8.6640625" defaultRowHeight="13" x14ac:dyDescent="0.15"/>
  <cols>
    <col min="1" max="1" width="36.5" customWidth="1"/>
    <col min="2" max="2" width="15.5" customWidth="1"/>
    <col min="3" max="3" width="18.33203125" customWidth="1"/>
    <col min="4" max="4" width="23.83203125" customWidth="1"/>
  </cols>
  <sheetData>
    <row r="1" spans="1:14" ht="22.5" customHeight="1" x14ac:dyDescent="0.15">
      <c r="A1" s="133" t="s">
        <v>0</v>
      </c>
      <c r="B1" s="134"/>
      <c r="C1" s="134"/>
      <c r="D1" s="135"/>
    </row>
    <row r="2" spans="1:14" ht="14.25" customHeight="1" x14ac:dyDescent="0.15">
      <c r="B2" s="127" t="s">
        <v>2</v>
      </c>
      <c r="C2" s="126" t="s">
        <v>3</v>
      </c>
      <c r="D2" s="6" t="s">
        <v>4</v>
      </c>
    </row>
    <row r="3" spans="1:14" ht="16.75" customHeight="1" x14ac:dyDescent="0.15">
      <c r="A3" s="7" t="s">
        <v>5</v>
      </c>
      <c r="B3" s="128">
        <f>VLOOKUP($J$4,$K$4:$N$7,3)</f>
        <v>401</v>
      </c>
      <c r="C3" s="129">
        <f>VLOOKUP($J$4,$K$4:$N$7,4)</f>
        <v>1.7050000000000001</v>
      </c>
      <c r="D3" s="129">
        <f>C3*B3</f>
        <v>683.70500000000004</v>
      </c>
      <c r="M3" t="s">
        <v>6</v>
      </c>
      <c r="N3" t="s">
        <v>7</v>
      </c>
    </row>
    <row r="4" spans="1:14" ht="15.5" customHeight="1" x14ac:dyDescent="0.15">
      <c r="A4" s="136" t="s">
        <v>8</v>
      </c>
      <c r="B4" s="136"/>
      <c r="C4" s="136"/>
      <c r="D4" s="136"/>
      <c r="H4" t="s">
        <v>1</v>
      </c>
      <c r="J4" s="4">
        <v>3</v>
      </c>
      <c r="K4" s="5">
        <v>1</v>
      </c>
      <c r="L4" t="s">
        <v>9</v>
      </c>
      <c r="M4">
        <v>402</v>
      </c>
      <c r="N4">
        <f>1.337+0.362</f>
        <v>1.6989999999999998</v>
      </c>
    </row>
    <row r="5" spans="1:14" ht="16.25" customHeight="1" x14ac:dyDescent="0.15">
      <c r="A5" s="7" t="s">
        <v>10</v>
      </c>
      <c r="B5" s="8">
        <v>85</v>
      </c>
      <c r="C5" s="6">
        <v>1.8</v>
      </c>
      <c r="D5" s="6">
        <f>B5*C5</f>
        <v>153</v>
      </c>
      <c r="K5" s="5">
        <v>2</v>
      </c>
      <c r="L5" t="s">
        <v>11</v>
      </c>
      <c r="M5">
        <v>400</v>
      </c>
      <c r="N5">
        <f>1.337+0.363</f>
        <v>1.7</v>
      </c>
    </row>
    <row r="6" spans="1:14" ht="14.75" customHeight="1" x14ac:dyDescent="0.15">
      <c r="A6" s="7" t="s">
        <v>12</v>
      </c>
      <c r="B6" s="8"/>
      <c r="C6" s="6">
        <v>1.8</v>
      </c>
      <c r="D6" s="6">
        <f>B6*C6</f>
        <v>0</v>
      </c>
      <c r="K6" s="5">
        <v>3</v>
      </c>
      <c r="L6" t="s">
        <v>13</v>
      </c>
      <c r="M6">
        <v>401</v>
      </c>
      <c r="N6">
        <f>1.337+0.368</f>
        <v>1.7050000000000001</v>
      </c>
    </row>
    <row r="7" spans="1:14" ht="17.5" customHeight="1" x14ac:dyDescent="0.15">
      <c r="A7" s="7" t="s">
        <v>14</v>
      </c>
      <c r="B7" s="8">
        <v>4</v>
      </c>
      <c r="C7" s="6">
        <v>2.2599999999999998</v>
      </c>
      <c r="D7" s="6">
        <f>B7*C7</f>
        <v>9.0399999999999991</v>
      </c>
      <c r="K7" s="5">
        <v>4</v>
      </c>
      <c r="L7" t="s">
        <v>15</v>
      </c>
      <c r="M7">
        <v>401</v>
      </c>
      <c r="N7">
        <f>1.337+0.368</f>
        <v>1.7050000000000001</v>
      </c>
    </row>
    <row r="8" spans="1:14" ht="20" customHeight="1" x14ac:dyDescent="0.2">
      <c r="A8" s="9" t="s">
        <v>18</v>
      </c>
      <c r="B8" s="39">
        <f>'Navigation Log'!U22*0.72</f>
        <v>28.306106434402707</v>
      </c>
      <c r="C8" s="6">
        <v>1.53</v>
      </c>
      <c r="D8" s="125">
        <f>B8*C8</f>
        <v>43.308342844636144</v>
      </c>
    </row>
    <row r="9" spans="1:14" ht="16.75" customHeight="1" x14ac:dyDescent="0.15">
      <c r="A9" s="136" t="s">
        <v>16</v>
      </c>
      <c r="B9" s="136"/>
      <c r="C9" s="136"/>
      <c r="D9" s="136"/>
    </row>
    <row r="10" spans="1:14" ht="32.25" customHeight="1" x14ac:dyDescent="0.15">
      <c r="A10" s="10" t="s">
        <v>19</v>
      </c>
      <c r="B10" s="11">
        <f>SUM(B3,B5:B8)</f>
        <v>518.30610643440275</v>
      </c>
      <c r="C10" s="12">
        <f>D10/B10</f>
        <v>1.7153055536249129</v>
      </c>
      <c r="D10" s="11">
        <f>SUM(D3,D5:D8)</f>
        <v>889.05334284463618</v>
      </c>
    </row>
    <row r="11" spans="1:14" ht="16.25" customHeight="1" x14ac:dyDescent="0.15">
      <c r="A11" s="137" t="s">
        <v>17</v>
      </c>
      <c r="B11" s="137"/>
      <c r="C11" s="137"/>
      <c r="D11" s="137"/>
    </row>
    <row r="12" spans="1:14" ht="22.25" customHeight="1" x14ac:dyDescent="0.2">
      <c r="A12" s="7" t="s">
        <v>20</v>
      </c>
      <c r="B12" s="14">
        <f>'Navigation Log'!U17*0.72</f>
        <v>14.121849305597225</v>
      </c>
      <c r="C12" s="6">
        <v>1.53</v>
      </c>
      <c r="D12" s="15">
        <f>B12*C12</f>
        <v>21.606429437563754</v>
      </c>
    </row>
    <row r="13" spans="1:14" ht="32.25" customHeight="1" x14ac:dyDescent="0.15">
      <c r="A13" s="10" t="s">
        <v>21</v>
      </c>
      <c r="B13" s="11">
        <f>B10-B12</f>
        <v>504.18425712880554</v>
      </c>
      <c r="C13" s="12">
        <f>D13/B13</f>
        <v>1.720495832906308</v>
      </c>
      <c r="D13" s="13">
        <f>D10-D12</f>
        <v>867.44691340707243</v>
      </c>
    </row>
    <row r="14" spans="1:14" x14ac:dyDescent="0.15">
      <c r="A14" s="137" t="s">
        <v>17</v>
      </c>
      <c r="B14" s="137"/>
      <c r="C14" s="137"/>
      <c r="D14" s="137"/>
    </row>
    <row r="15" spans="1:14" ht="14" x14ac:dyDescent="0.2">
      <c r="A15" s="7" t="s">
        <v>20</v>
      </c>
      <c r="B15" s="14">
        <f>'Navigation Log'!U18*0.72</f>
        <v>4.4080211249285774</v>
      </c>
      <c r="C15" s="6">
        <v>1.53</v>
      </c>
      <c r="D15" s="15">
        <f>B15*C15</f>
        <v>6.7442723211407234</v>
      </c>
    </row>
    <row r="16" spans="1:14" x14ac:dyDescent="0.15">
      <c r="A16" s="10" t="s">
        <v>21</v>
      </c>
      <c r="B16" s="11">
        <f>B13-B15</f>
        <v>499.77623600387699</v>
      </c>
      <c r="C16" s="12">
        <f>D16/B16</f>
        <v>1.7221760041412912</v>
      </c>
      <c r="D16" s="13">
        <f>D13-D15</f>
        <v>860.70264108593176</v>
      </c>
    </row>
  </sheetData>
  <mergeCells count="5">
    <mergeCell ref="A1:D1"/>
    <mergeCell ref="A4:D4"/>
    <mergeCell ref="A9:D9"/>
    <mergeCell ref="A11:D11"/>
    <mergeCell ref="A14:D14"/>
  </mergeCells>
  <pageMargins left="0" right="0" top="0.39374999999999999" bottom="0.39374999999999999" header="0.511811023622047" footer="0.511811023622047"/>
  <pageSetup paperSize="9" pageOrder="overThenDown" orientation="landscape" useFirstPageNumber="1" horizontalDpi="4294967293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4</xdr:col>
                    <xdr:colOff>342900</xdr:colOff>
                    <xdr:row>0</xdr:row>
                    <xdr:rowOff>266700</xdr:rowOff>
                  </from>
                  <to>
                    <xdr:col>6</xdr:col>
                    <xdr:colOff>266700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tabSelected="1" zoomScale="120" zoomScaleNormal="120" workbookViewId="0">
      <selection activeCell="V36" sqref="V36"/>
    </sheetView>
  </sheetViews>
  <sheetFormatPr baseColWidth="10" defaultColWidth="8.6640625" defaultRowHeight="13" x14ac:dyDescent="0.15"/>
  <cols>
    <col min="1" max="7" width="12.1640625" customWidth="1"/>
  </cols>
  <sheetData>
    <row r="1" spans="1:9" x14ac:dyDescent="0.15">
      <c r="A1" s="138" t="s">
        <v>96</v>
      </c>
      <c r="B1" s="138" t="s">
        <v>97</v>
      </c>
      <c r="C1" s="177"/>
      <c r="D1" s="177"/>
    </row>
    <row r="2" spans="1:9" x14ac:dyDescent="0.15">
      <c r="A2" s="138"/>
      <c r="B2" s="138"/>
      <c r="C2" t="s">
        <v>98</v>
      </c>
      <c r="D2" t="s">
        <v>99</v>
      </c>
      <c r="E2" t="s">
        <v>100</v>
      </c>
      <c r="F2" t="s">
        <v>101</v>
      </c>
      <c r="H2" t="s">
        <v>102</v>
      </c>
      <c r="I2" t="s">
        <v>103</v>
      </c>
    </row>
    <row r="3" spans="1:9" x14ac:dyDescent="0.15">
      <c r="A3" t="s">
        <v>33</v>
      </c>
      <c r="B3">
        <v>807</v>
      </c>
      <c r="C3" s="1"/>
      <c r="D3" s="1"/>
      <c r="E3" s="1"/>
      <c r="F3" s="1"/>
      <c r="G3" s="1"/>
      <c r="H3" s="1"/>
      <c r="I3" s="1"/>
    </row>
    <row r="4" spans="1:9" x14ac:dyDescent="0.15">
      <c r="A4" t="s">
        <v>68</v>
      </c>
      <c r="B4">
        <v>636</v>
      </c>
      <c r="C4" s="1"/>
      <c r="D4" s="1"/>
      <c r="E4" s="1"/>
      <c r="F4" s="1"/>
      <c r="G4" s="1"/>
      <c r="H4" s="1"/>
      <c r="I4" s="1"/>
    </row>
    <row r="5" spans="1:9" x14ac:dyDescent="0.15">
      <c r="A5" t="s">
        <v>67</v>
      </c>
      <c r="B5">
        <v>390</v>
      </c>
      <c r="C5" s="1"/>
      <c r="D5" s="1"/>
      <c r="E5" s="1"/>
      <c r="F5" s="1"/>
      <c r="G5" s="1"/>
      <c r="H5" s="1"/>
      <c r="I5" s="1"/>
    </row>
    <row r="6" spans="1:9" x14ac:dyDescent="0.15">
      <c r="A6" t="s">
        <v>104</v>
      </c>
      <c r="B6">
        <v>1251</v>
      </c>
    </row>
    <row r="7" spans="1:9" x14ac:dyDescent="0.15">
      <c r="A7" t="s">
        <v>105</v>
      </c>
      <c r="B7">
        <v>1335</v>
      </c>
    </row>
    <row r="8" spans="1:9" x14ac:dyDescent="0.15">
      <c r="A8" t="s">
        <v>106</v>
      </c>
      <c r="B8">
        <v>46</v>
      </c>
    </row>
    <row r="9" spans="1:9" x14ac:dyDescent="0.15">
      <c r="A9" t="s">
        <v>107</v>
      </c>
      <c r="B9">
        <v>2061</v>
      </c>
      <c r="C9">
        <v>1160</v>
      </c>
      <c r="D9">
        <v>1160</v>
      </c>
      <c r="E9">
        <v>1160</v>
      </c>
      <c r="F9">
        <v>1100</v>
      </c>
    </row>
    <row r="10" spans="1:9" x14ac:dyDescent="0.15">
      <c r="A10" t="s">
        <v>108</v>
      </c>
      <c r="B10">
        <v>1456</v>
      </c>
    </row>
    <row r="11" spans="1:9" x14ac:dyDescent="0.15">
      <c r="A11" t="s">
        <v>109</v>
      </c>
      <c r="B11">
        <v>1130</v>
      </c>
    </row>
    <row r="12" spans="1:9" x14ac:dyDescent="0.15">
      <c r="A12" t="s">
        <v>110</v>
      </c>
    </row>
  </sheetData>
  <mergeCells count="3">
    <mergeCell ref="A1:A2"/>
    <mergeCell ref="B1:B2"/>
    <mergeCell ref="C1:D1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zoomScale="120" zoomScaleNormal="120" workbookViewId="0">
      <selection activeCell="B1" sqref="B1"/>
    </sheetView>
  </sheetViews>
  <sheetFormatPr baseColWidth="10" defaultColWidth="8.6640625" defaultRowHeight="13" x14ac:dyDescent="0.15"/>
  <cols>
    <col min="1" max="5" width="12.1640625" customWidth="1"/>
    <col min="6" max="6" width="13.33203125" customWidth="1"/>
    <col min="7" max="12" width="12.1640625" customWidth="1"/>
  </cols>
  <sheetData>
    <row r="1" spans="1:13" x14ac:dyDescent="0.15">
      <c r="A1" t="s">
        <v>188</v>
      </c>
      <c r="B1" s="16">
        <v>7</v>
      </c>
      <c r="D1" t="s">
        <v>23</v>
      </c>
      <c r="E1" s="16">
        <v>2050</v>
      </c>
      <c r="G1" s="17" t="s">
        <v>22</v>
      </c>
      <c r="H1">
        <f>B1-(15-Performance!C13/1000*1.98)</f>
        <v>3.879999999999999</v>
      </c>
    </row>
    <row r="2" spans="1:13" x14ac:dyDescent="0.15">
      <c r="B2" s="18"/>
    </row>
    <row r="3" spans="1:13" x14ac:dyDescent="0.15">
      <c r="A3" t="s">
        <v>25</v>
      </c>
      <c r="B3" t="s">
        <v>26</v>
      </c>
      <c r="F3" t="s">
        <v>27</v>
      </c>
      <c r="J3" t="s">
        <v>28</v>
      </c>
    </row>
    <row r="4" spans="1:13" x14ac:dyDescent="0.15">
      <c r="A4" s="19" t="s">
        <v>189</v>
      </c>
      <c r="B4" s="20">
        <v>-30</v>
      </c>
      <c r="C4" s="21">
        <v>0</v>
      </c>
      <c r="D4" s="21">
        <v>30</v>
      </c>
      <c r="E4" s="22" t="s">
        <v>24</v>
      </c>
      <c r="F4" s="21">
        <v>-30</v>
      </c>
      <c r="G4" s="21">
        <v>0</v>
      </c>
      <c r="H4" s="21">
        <v>30</v>
      </c>
      <c r="I4" s="22" t="s">
        <v>24</v>
      </c>
      <c r="J4" s="21">
        <v>-30</v>
      </c>
      <c r="K4" s="21">
        <v>0</v>
      </c>
      <c r="L4" s="21">
        <v>30</v>
      </c>
      <c r="M4" s="23" t="s">
        <v>24</v>
      </c>
    </row>
    <row r="5" spans="1:13" x14ac:dyDescent="0.15">
      <c r="A5" s="24">
        <v>0</v>
      </c>
      <c r="B5" s="25">
        <f>_xlfn.FORECAST.LINEAR($E$1,B13:B19,$A$13:$A$19)</f>
        <v>0.78370209157910287</v>
      </c>
      <c r="C5" s="26">
        <f>_xlfn.FORECAST.LINEAR($E$1,C13:C19,$A$13:$A$19)</f>
        <v>0.63090072122233654</v>
      </c>
      <c r="D5" s="26">
        <f>_xlfn.FORECAST.LINEAR($E$1,D13:D19,$A$13:$A$19)</f>
        <v>0.50768918784391914</v>
      </c>
      <c r="E5" s="27">
        <f>_xlfn.FORECAST.LINEAR($H$1,B5:D5,B4:D4)</f>
        <v>0.62291516577357764</v>
      </c>
      <c r="F5" s="28">
        <f>_xlfn.FORECAST.LINEAR($E$1,F13:F19,$A$13:$A$19)</f>
        <v>94.079221175994036</v>
      </c>
      <c r="G5" s="14">
        <f>_xlfn.FORECAST.LINEAR($E$1,G13:G19,$A$13:$A$19)</f>
        <v>88.989847619897631</v>
      </c>
      <c r="H5" s="14">
        <f>_xlfn.FORECAST.LINEAR($E$1,H13:H19,$A$13:$A$19)</f>
        <v>82.335179584704974</v>
      </c>
      <c r="I5" s="29">
        <f>_xlfn.FORECAST.LINEAR($H$1,F5:H5,F4:H4)</f>
        <v>87.708634770628862</v>
      </c>
      <c r="J5" s="28">
        <f>_xlfn.FORECAST.LINEAR($E$1,J13:J19,$A$13:$A$19)</f>
        <v>21.13765683410513</v>
      </c>
      <c r="K5" s="14">
        <f>_xlfn.FORECAST.LINEAR($E$1,K13:K19,$A$13:$A$19)</f>
        <v>17.007477747149956</v>
      </c>
      <c r="L5" s="14">
        <f>_xlfn.FORECAST.LINEAR($E$1,L13:L19,$A$13:$A$19)</f>
        <v>13.674421494553926</v>
      </c>
      <c r="M5" s="29">
        <f>_xlfn.FORECAST.LINEAR($H$1,J5:L5,J4:L4)</f>
        <v>16.790562806645362</v>
      </c>
    </row>
    <row r="6" spans="1:13" x14ac:dyDescent="0.15">
      <c r="A6" s="30">
        <v>2000</v>
      </c>
      <c r="B6" s="25">
        <f>_xlfn.FORECAST.LINEAR($E$1,B24:B30,$A$24:$A$30)</f>
        <v>0.74690496595405653</v>
      </c>
      <c r="C6" s="26">
        <f>_xlfn.FORECAST.LINEAR($E$1,C24:C30,$A$24:$A$30)</f>
        <v>0.59115709340707179</v>
      </c>
      <c r="D6" s="26">
        <f>_xlfn.FORECAST.LINEAR($E$1,D24:D30,$A$24:$A$30)</f>
        <v>0.47941428925326579</v>
      </c>
      <c r="E6" s="27">
        <f>_xlfn.FORECAST.LINEAR($H$1,B6:D6,B4:D4)</f>
        <v>0.58852771911148016</v>
      </c>
      <c r="F6" s="28">
        <f>_xlfn.FORECAST.LINEAR($E$1,F24:F30,$A$24:$A$30)</f>
        <v>93.572430485347198</v>
      </c>
      <c r="G6" s="14">
        <f>_xlfn.FORECAST.LINEAR($E$1,G24:G30,$A$24:$A$30)</f>
        <v>87.580642353555575</v>
      </c>
      <c r="H6" s="14">
        <f>_xlfn.FORECAST.LINEAR($E$1,H24:H30,$A$24:$A$30)</f>
        <v>80.01393975508347</v>
      </c>
      <c r="I6" s="29">
        <f>_xlfn.FORECAST.LINEAR($H$1,F6:H6,F4:H4)</f>
        <v>86.178888464105029</v>
      </c>
      <c r="J6" s="28">
        <f>_xlfn.FORECAST.LINEAR($E$1,J24:J30,$A$24:$A$30)</f>
        <v>20.044137201470306</v>
      </c>
      <c r="K6" s="14">
        <f>_xlfn.FORECAST.LINEAR($E$1,K24:K30,$A$24:$A$30)</f>
        <v>16.063085760961997</v>
      </c>
      <c r="L6" s="14">
        <f>_xlfn.FORECAST.LINEAR($E$1,L24:L30,$A$24:$A$30)</f>
        <v>12.813432246228835</v>
      </c>
      <c r="M6" s="29">
        <f>_xlfn.FORECAST.LINEAR($H$1,J6:L6,J4:L4)</f>
        <v>15.839299482448096</v>
      </c>
    </row>
    <row r="7" spans="1:13" x14ac:dyDescent="0.15">
      <c r="A7" s="30">
        <v>4000</v>
      </c>
      <c r="B7" s="25">
        <f>_xlfn.FORECAST.LINEAR($E$1,B35:B40,$A$35:$A$40)</f>
        <v>0.696821098720668</v>
      </c>
      <c r="C7" s="26">
        <f>_xlfn.FORECAST.LINEAR($E$1,C35:C40,$A$35:$A$40)</f>
        <v>0.54862276800985166</v>
      </c>
      <c r="D7" s="26">
        <f>_xlfn.FORECAST.LINEAR($E$1,D35:D40,$A$35:$A$40)</f>
        <v>0.43596216733939919</v>
      </c>
      <c r="E7" s="27">
        <f>_xlfn.FORECAST.LINEAR($H$1,B7:D7,B4:D4)</f>
        <v>0.54359980046065082</v>
      </c>
      <c r="F7" s="28">
        <f>_xlfn.FORECAST.LINEAR($E$1,F35:F40,$A$35:$A$40)</f>
        <v>92.870479578572898</v>
      </c>
      <c r="G7" s="14">
        <f>_xlfn.FORECAST.LINEAR($E$1,G35:G40,$A$35:$A$40)</f>
        <v>86.924074707532327</v>
      </c>
      <c r="H7" s="14">
        <f>_xlfn.FORECAST.LINEAR($E$1,H35:H40,$A$35:$A$40)</f>
        <v>78.123725798727534</v>
      </c>
      <c r="I7" s="29">
        <f>_xlfn.FORECAST.LINEAR($H$1,F7:H7,F4:H4)</f>
        <v>85.019136617180919</v>
      </c>
      <c r="J7" s="28">
        <f>_xlfn.FORECAST.LINEAR($E$1,J35:J40,$A$35:$A$40)</f>
        <v>18.832360949579254</v>
      </c>
      <c r="K7" s="14">
        <f>_xlfn.FORECAST.LINEAR($E$1,K35:K40,$A$35:$A$40)</f>
        <v>14.920996100431019</v>
      </c>
      <c r="L7" s="14">
        <f>_xlfn.FORECAST.LINEAR($E$1,L35:L40,$A$35:$A$40)</f>
        <v>11.839953478826025</v>
      </c>
      <c r="M7" s="29">
        <f>_xlfn.FORECAST.LINEAR($H$1,J7:L7,J4:L4)</f>
        <v>14.745594493170056</v>
      </c>
    </row>
    <row r="8" spans="1:13" x14ac:dyDescent="0.15">
      <c r="A8" s="31">
        <v>6000</v>
      </c>
      <c r="B8" s="32">
        <f>_xlfn.FORECAST.LINEAR($E$1,B45:B48,$A$45:$A$48)</f>
        <v>0.65877857779904669</v>
      </c>
      <c r="C8" s="33">
        <f>_xlfn.FORECAST.LINEAR($E$1,C45:C48,$A$45:$A$48)</f>
        <v>0.50550803767592578</v>
      </c>
      <c r="D8" s="33">
        <f>_xlfn.FORECAST.LINEAR($E$1,D45:D48,$A$45:$A$48)</f>
        <v>0.40310456592199406</v>
      </c>
      <c r="E8" s="34">
        <f>_xlfn.FORECAST.LINEAR($H$1,B8:D8,B4:D4)</f>
        <v>0.50593014103093936</v>
      </c>
      <c r="F8" s="35">
        <f>_xlfn.FORECAST.LINEAR($E$1,F45:F48,$A$45:$A$48)</f>
        <v>91.817189097474497</v>
      </c>
      <c r="G8" s="36">
        <f>_xlfn.FORECAST.LINEAR($E$1,G45:G48,$A$45:$A$48)</f>
        <v>86.817189097474497</v>
      </c>
      <c r="H8" s="36">
        <f>_xlfn.FORECAST.LINEAR($E$1,H45:H48,$A$45:$A$48)</f>
        <v>76.384590285179797</v>
      </c>
      <c r="I8" s="37">
        <f>_xlfn.FORECAST.LINEAR($H$1,F8:H8,F4:H4)</f>
        <v>84.008348103514535</v>
      </c>
      <c r="J8" s="35">
        <f>_xlfn.FORECAST.LINEAR($E$1,J45:J48,$A$45:$A$48)</f>
        <v>17.406617215200882</v>
      </c>
      <c r="K8" s="36">
        <f>_xlfn.FORECAST.LINEAR($E$1,K45:K48,$A$45:$A$48)</f>
        <v>13.715914380805287</v>
      </c>
      <c r="L8" s="36">
        <f>_xlfn.FORECAST.LINEAR($E$1,L45:L48,$A$45:$A$48)</f>
        <v>10.733568989145333</v>
      </c>
      <c r="M8" s="37">
        <f>_xlfn.FORECAST.LINEAR($H$1,J8:L8,J4:L4)</f>
        <v>13.520509743098909</v>
      </c>
    </row>
    <row r="11" spans="1:13" x14ac:dyDescent="0.15">
      <c r="A11" t="s">
        <v>29</v>
      </c>
      <c r="B11" s="138" t="s">
        <v>26</v>
      </c>
      <c r="C11" s="138"/>
      <c r="D11" s="138"/>
      <c r="E11" t="s">
        <v>29</v>
      </c>
      <c r="F11" s="138" t="s">
        <v>27</v>
      </c>
      <c r="G11" s="138"/>
      <c r="H11" s="138"/>
      <c r="I11" t="s">
        <v>29</v>
      </c>
      <c r="J11" s="138" t="s">
        <v>28</v>
      </c>
      <c r="K11" s="138"/>
      <c r="L11" s="138"/>
    </row>
    <row r="12" spans="1:13" x14ac:dyDescent="0.15">
      <c r="A12" t="s">
        <v>30</v>
      </c>
      <c r="B12" s="18">
        <v>-30</v>
      </c>
      <c r="C12" s="18">
        <v>0</v>
      </c>
      <c r="D12" s="18">
        <v>30</v>
      </c>
      <c r="E12" t="s">
        <v>30</v>
      </c>
      <c r="F12" s="18">
        <v>-30</v>
      </c>
      <c r="G12" s="18">
        <v>0</v>
      </c>
      <c r="H12" s="18">
        <v>30</v>
      </c>
      <c r="I12" t="s">
        <v>30</v>
      </c>
      <c r="J12" s="18">
        <v>-30</v>
      </c>
      <c r="K12" s="18">
        <v>0</v>
      </c>
      <c r="L12" s="18">
        <v>30</v>
      </c>
    </row>
    <row r="13" spans="1:13" x14ac:dyDescent="0.15">
      <c r="A13">
        <v>2033</v>
      </c>
      <c r="B13" s="38">
        <v>0.77</v>
      </c>
      <c r="C13" s="38">
        <v>0.62</v>
      </c>
      <c r="D13" s="38">
        <v>0.5</v>
      </c>
      <c r="E13">
        <v>2033</v>
      </c>
      <c r="F13">
        <v>93</v>
      </c>
      <c r="G13">
        <v>88</v>
      </c>
      <c r="H13">
        <v>81</v>
      </c>
      <c r="I13">
        <v>2033</v>
      </c>
      <c r="J13">
        <v>20.8</v>
      </c>
      <c r="K13">
        <v>16.7</v>
      </c>
      <c r="L13">
        <v>13.4</v>
      </c>
    </row>
    <row r="14" spans="1:13" x14ac:dyDescent="0.15">
      <c r="A14">
        <v>2103</v>
      </c>
      <c r="B14" s="38">
        <v>0.85</v>
      </c>
      <c r="C14" s="38">
        <v>0.69</v>
      </c>
      <c r="D14" s="38">
        <v>0.56000000000000005</v>
      </c>
      <c r="E14">
        <v>2103</v>
      </c>
      <c r="F14">
        <v>97</v>
      </c>
      <c r="G14">
        <v>92</v>
      </c>
      <c r="H14">
        <v>86</v>
      </c>
      <c r="I14">
        <v>2103</v>
      </c>
      <c r="J14">
        <v>22.9</v>
      </c>
      <c r="K14">
        <v>18.600000000000001</v>
      </c>
      <c r="L14">
        <v>15.1</v>
      </c>
    </row>
    <row r="15" spans="1:13" x14ac:dyDescent="0.15">
      <c r="A15">
        <v>2165</v>
      </c>
      <c r="B15" s="38">
        <v>0.93</v>
      </c>
      <c r="C15" s="38">
        <v>0.76</v>
      </c>
      <c r="D15" s="38">
        <v>0.62</v>
      </c>
      <c r="E15">
        <v>2165</v>
      </c>
      <c r="F15">
        <v>100</v>
      </c>
      <c r="G15">
        <v>95</v>
      </c>
      <c r="H15">
        <v>90</v>
      </c>
      <c r="I15">
        <v>2165</v>
      </c>
      <c r="J15">
        <v>25</v>
      </c>
      <c r="K15">
        <v>20.399999999999999</v>
      </c>
      <c r="L15">
        <v>16.8</v>
      </c>
    </row>
    <row r="16" spans="1:13" x14ac:dyDescent="0.15">
      <c r="A16">
        <v>2221</v>
      </c>
      <c r="B16" s="38">
        <v>1</v>
      </c>
      <c r="C16" s="38">
        <v>0.82</v>
      </c>
      <c r="D16" s="38">
        <v>0.68</v>
      </c>
      <c r="E16">
        <v>2221</v>
      </c>
      <c r="F16">
        <v>103</v>
      </c>
      <c r="G16">
        <v>99</v>
      </c>
      <c r="H16">
        <v>94</v>
      </c>
      <c r="I16">
        <v>2221</v>
      </c>
      <c r="J16">
        <v>26.9</v>
      </c>
      <c r="K16">
        <v>22.1</v>
      </c>
      <c r="L16">
        <v>18.3</v>
      </c>
    </row>
    <row r="17" spans="1:12" x14ac:dyDescent="0.15">
      <c r="A17">
        <v>2272</v>
      </c>
      <c r="B17" s="38">
        <v>1.07</v>
      </c>
      <c r="C17" s="38">
        <v>0.88</v>
      </c>
      <c r="D17" s="38">
        <v>0.74</v>
      </c>
      <c r="E17">
        <v>2272</v>
      </c>
      <c r="F17">
        <v>106</v>
      </c>
      <c r="G17">
        <v>101</v>
      </c>
      <c r="H17">
        <v>97</v>
      </c>
      <c r="I17">
        <v>2272</v>
      </c>
      <c r="J17">
        <v>28.8</v>
      </c>
      <c r="K17">
        <v>23.8</v>
      </c>
      <c r="L17">
        <v>19.8</v>
      </c>
    </row>
    <row r="18" spans="1:12" x14ac:dyDescent="0.15">
      <c r="A18">
        <v>2318</v>
      </c>
      <c r="B18" s="38">
        <v>1.1299999999999999</v>
      </c>
      <c r="C18" s="38">
        <v>0.94</v>
      </c>
      <c r="D18" s="38">
        <v>0.79</v>
      </c>
      <c r="E18">
        <v>2318</v>
      </c>
      <c r="F18">
        <v>108</v>
      </c>
      <c r="G18">
        <v>104</v>
      </c>
      <c r="H18">
        <v>100</v>
      </c>
      <c r="I18">
        <v>2318</v>
      </c>
      <c r="J18">
        <v>30.5</v>
      </c>
      <c r="K18">
        <v>25.3</v>
      </c>
      <c r="L18">
        <v>21.2</v>
      </c>
    </row>
    <row r="19" spans="1:12" x14ac:dyDescent="0.15">
      <c r="A19">
        <v>2361</v>
      </c>
      <c r="B19" s="38">
        <v>1.2</v>
      </c>
      <c r="C19" s="38">
        <v>1</v>
      </c>
      <c r="D19" s="38">
        <v>0.84</v>
      </c>
      <c r="E19">
        <v>2361</v>
      </c>
      <c r="F19">
        <v>110</v>
      </c>
      <c r="G19">
        <v>106</v>
      </c>
      <c r="H19">
        <v>103</v>
      </c>
      <c r="I19">
        <v>2361</v>
      </c>
      <c r="J19">
        <v>32.200000000000003</v>
      </c>
      <c r="K19">
        <v>26.8</v>
      </c>
      <c r="L19">
        <v>22.6</v>
      </c>
    </row>
    <row r="20" spans="1:12" x14ac:dyDescent="0.15">
      <c r="B20" s="38"/>
      <c r="C20" s="38"/>
      <c r="D20" s="39"/>
    </row>
    <row r="21" spans="1:12" x14ac:dyDescent="0.15">
      <c r="B21" s="38"/>
    </row>
    <row r="22" spans="1:12" x14ac:dyDescent="0.15">
      <c r="A22">
        <v>2000</v>
      </c>
      <c r="B22" s="138" t="s">
        <v>26</v>
      </c>
      <c r="C22" s="138"/>
      <c r="D22" s="138"/>
      <c r="F22" s="138" t="s">
        <v>27</v>
      </c>
      <c r="G22" s="138"/>
      <c r="H22" s="138"/>
      <c r="J22" s="138" t="s">
        <v>28</v>
      </c>
      <c r="K22" s="138"/>
      <c r="L22" s="138"/>
    </row>
    <row r="23" spans="1:12" x14ac:dyDescent="0.15">
      <c r="A23" t="s">
        <v>23</v>
      </c>
      <c r="B23" s="18">
        <v>-30</v>
      </c>
      <c r="C23" s="18">
        <v>0</v>
      </c>
      <c r="D23" s="18">
        <v>30</v>
      </c>
      <c r="F23" s="18">
        <v>-30</v>
      </c>
      <c r="G23" s="18">
        <v>0</v>
      </c>
      <c r="H23" s="18">
        <v>30</v>
      </c>
      <c r="J23" s="18">
        <v>-30</v>
      </c>
      <c r="K23" s="18">
        <v>0</v>
      </c>
      <c r="L23" s="18">
        <v>30</v>
      </c>
    </row>
    <row r="24" spans="1:12" x14ac:dyDescent="0.15">
      <c r="A24">
        <v>2023</v>
      </c>
      <c r="B24" s="38">
        <v>0.72</v>
      </c>
      <c r="C24" s="38">
        <v>0.56999999999999995</v>
      </c>
      <c r="D24" s="38">
        <v>0.46</v>
      </c>
      <c r="E24">
        <v>2023</v>
      </c>
      <c r="F24">
        <v>92</v>
      </c>
      <c r="G24">
        <v>86</v>
      </c>
      <c r="H24">
        <v>77</v>
      </c>
      <c r="I24">
        <v>2023</v>
      </c>
      <c r="J24">
        <v>19.399999999999999</v>
      </c>
      <c r="K24">
        <v>15.5</v>
      </c>
      <c r="L24">
        <v>12.3</v>
      </c>
    </row>
    <row r="25" spans="1:12" x14ac:dyDescent="0.15">
      <c r="A25">
        <v>2094</v>
      </c>
      <c r="B25" s="38">
        <v>0.8</v>
      </c>
      <c r="C25" s="38">
        <v>0.64</v>
      </c>
      <c r="D25" s="38">
        <v>0.52</v>
      </c>
      <c r="E25">
        <v>2094</v>
      </c>
      <c r="F25">
        <v>96</v>
      </c>
      <c r="G25">
        <v>90</v>
      </c>
      <c r="H25">
        <v>84</v>
      </c>
      <c r="I25">
        <v>2094</v>
      </c>
      <c r="J25">
        <v>21.4</v>
      </c>
      <c r="K25">
        <v>17.3</v>
      </c>
      <c r="L25">
        <v>13.9</v>
      </c>
    </row>
    <row r="26" spans="1:12" x14ac:dyDescent="0.15">
      <c r="A26">
        <v>2157</v>
      </c>
      <c r="B26" s="38">
        <v>0.87</v>
      </c>
      <c r="C26" s="38">
        <v>0.7</v>
      </c>
      <c r="D26" s="38">
        <v>0.57999999999999996</v>
      </c>
      <c r="E26">
        <v>2157</v>
      </c>
      <c r="F26">
        <v>99</v>
      </c>
      <c r="G26">
        <v>94</v>
      </c>
      <c r="H26">
        <v>88</v>
      </c>
      <c r="I26">
        <v>2157</v>
      </c>
      <c r="J26">
        <v>23.4</v>
      </c>
      <c r="K26">
        <v>19</v>
      </c>
      <c r="L26">
        <v>15.5</v>
      </c>
    </row>
    <row r="27" spans="1:12" x14ac:dyDescent="0.15">
      <c r="A27">
        <v>2214</v>
      </c>
      <c r="B27" s="38">
        <v>0.94</v>
      </c>
      <c r="C27" s="38">
        <v>0.76</v>
      </c>
      <c r="D27" s="38">
        <v>0.63</v>
      </c>
      <c r="E27">
        <v>2214</v>
      </c>
      <c r="F27">
        <v>102</v>
      </c>
      <c r="G27">
        <v>98</v>
      </c>
      <c r="H27">
        <v>92</v>
      </c>
      <c r="I27">
        <v>2214</v>
      </c>
      <c r="J27">
        <v>25.2</v>
      </c>
      <c r="K27">
        <v>20.6</v>
      </c>
      <c r="L27">
        <v>17</v>
      </c>
    </row>
    <row r="28" spans="1:12" x14ac:dyDescent="0.15">
      <c r="A28">
        <v>2265</v>
      </c>
      <c r="B28" s="38">
        <v>1</v>
      </c>
      <c r="C28" s="38">
        <v>0.82</v>
      </c>
      <c r="D28" s="38">
        <v>0.68</v>
      </c>
      <c r="E28">
        <v>2265</v>
      </c>
      <c r="F28">
        <v>105</v>
      </c>
      <c r="G28">
        <v>100</v>
      </c>
      <c r="H28">
        <v>96</v>
      </c>
      <c r="I28">
        <v>2265</v>
      </c>
      <c r="J28">
        <v>27</v>
      </c>
      <c r="K28">
        <v>22.2</v>
      </c>
      <c r="L28">
        <v>18.399999999999999</v>
      </c>
    </row>
    <row r="29" spans="1:12" x14ac:dyDescent="0.15">
      <c r="A29">
        <v>2312</v>
      </c>
      <c r="B29" s="38">
        <v>1.06</v>
      </c>
      <c r="C29" s="38">
        <v>0.88</v>
      </c>
      <c r="D29" s="38">
        <v>0.73</v>
      </c>
      <c r="E29">
        <v>2312</v>
      </c>
      <c r="F29">
        <v>107</v>
      </c>
      <c r="G29">
        <v>103</v>
      </c>
      <c r="H29">
        <v>99</v>
      </c>
      <c r="I29">
        <v>2312</v>
      </c>
      <c r="J29">
        <v>28.6</v>
      </c>
      <c r="K29">
        <v>23.6</v>
      </c>
      <c r="L29">
        <v>19.7</v>
      </c>
    </row>
    <row r="30" spans="1:12" x14ac:dyDescent="0.15">
      <c r="A30">
        <v>2355</v>
      </c>
      <c r="B30" s="38">
        <v>1.1200000000000001</v>
      </c>
      <c r="C30" s="38">
        <v>0.93</v>
      </c>
      <c r="D30" s="38">
        <v>0.78</v>
      </c>
      <c r="E30">
        <v>2355</v>
      </c>
      <c r="F30">
        <v>109</v>
      </c>
      <c r="G30">
        <v>106</v>
      </c>
      <c r="H30">
        <v>101</v>
      </c>
      <c r="I30">
        <v>2355</v>
      </c>
      <c r="J30">
        <v>30.2</v>
      </c>
      <c r="K30">
        <v>25.1</v>
      </c>
      <c r="L30">
        <v>21</v>
      </c>
    </row>
    <row r="31" spans="1:12" x14ac:dyDescent="0.15">
      <c r="B31" s="38"/>
    </row>
    <row r="33" spans="1:12" x14ac:dyDescent="0.15">
      <c r="A33">
        <v>4000</v>
      </c>
      <c r="B33" s="138" t="s">
        <v>26</v>
      </c>
      <c r="C33" s="138"/>
      <c r="D33" s="138"/>
      <c r="F33" s="138" t="s">
        <v>27</v>
      </c>
      <c r="G33" s="138"/>
      <c r="H33" s="138"/>
      <c r="J33" s="138" t="s">
        <v>28</v>
      </c>
      <c r="K33" s="138"/>
      <c r="L33" s="138"/>
    </row>
    <row r="34" spans="1:12" x14ac:dyDescent="0.15">
      <c r="A34" t="s">
        <v>30</v>
      </c>
      <c r="B34" s="18">
        <v>-30</v>
      </c>
      <c r="C34" s="18">
        <v>0</v>
      </c>
      <c r="D34" s="18">
        <v>30</v>
      </c>
      <c r="F34" s="18">
        <v>-30</v>
      </c>
      <c r="G34" s="18">
        <v>0</v>
      </c>
      <c r="H34" s="18">
        <v>30</v>
      </c>
      <c r="J34" s="18">
        <v>-30</v>
      </c>
      <c r="K34" s="18">
        <v>0</v>
      </c>
      <c r="L34" s="18">
        <v>30</v>
      </c>
    </row>
    <row r="35" spans="1:12" x14ac:dyDescent="0.15">
      <c r="A35">
        <v>2084</v>
      </c>
      <c r="B35" s="38">
        <v>0.74</v>
      </c>
      <c r="C35" s="38">
        <v>0.59</v>
      </c>
      <c r="D35" s="38">
        <v>0.47</v>
      </c>
      <c r="E35">
        <v>2084</v>
      </c>
      <c r="F35">
        <v>95</v>
      </c>
      <c r="G35">
        <v>89</v>
      </c>
      <c r="H35">
        <v>80</v>
      </c>
      <c r="I35">
        <v>2084</v>
      </c>
      <c r="J35">
        <v>20</v>
      </c>
      <c r="K35">
        <v>16</v>
      </c>
      <c r="L35">
        <v>12.8</v>
      </c>
    </row>
    <row r="36" spans="1:12" x14ac:dyDescent="0.15">
      <c r="A36">
        <v>2148</v>
      </c>
      <c r="B36" s="38">
        <v>0.81</v>
      </c>
      <c r="C36" s="38">
        <v>0.65</v>
      </c>
      <c r="D36" s="38">
        <v>0.53</v>
      </c>
      <c r="E36">
        <v>2148</v>
      </c>
      <c r="F36">
        <v>98</v>
      </c>
      <c r="G36">
        <v>93</v>
      </c>
      <c r="H36">
        <v>86</v>
      </c>
      <c r="I36">
        <v>2148</v>
      </c>
      <c r="J36">
        <v>21.9</v>
      </c>
      <c r="K36">
        <v>17.600000000000001</v>
      </c>
      <c r="L36">
        <v>14.3</v>
      </c>
    </row>
    <row r="37" spans="1:12" x14ac:dyDescent="0.15">
      <c r="A37">
        <v>2206</v>
      </c>
      <c r="B37" s="38">
        <v>0.88</v>
      </c>
      <c r="C37" s="38">
        <v>0.71</v>
      </c>
      <c r="D37" s="38">
        <v>0.57999999999999996</v>
      </c>
      <c r="E37">
        <v>2206</v>
      </c>
      <c r="F37">
        <v>101</v>
      </c>
      <c r="G37">
        <v>96</v>
      </c>
      <c r="H37">
        <v>90</v>
      </c>
      <c r="I37">
        <v>2206</v>
      </c>
      <c r="J37">
        <v>23.6</v>
      </c>
      <c r="K37">
        <v>19.2</v>
      </c>
      <c r="L37">
        <v>15.7</v>
      </c>
    </row>
    <row r="38" spans="1:12" x14ac:dyDescent="0.15">
      <c r="A38">
        <v>2257</v>
      </c>
      <c r="B38" s="38">
        <v>0.94</v>
      </c>
      <c r="C38" s="38">
        <v>0.77</v>
      </c>
      <c r="D38" s="38">
        <v>0.63</v>
      </c>
      <c r="E38">
        <v>2257</v>
      </c>
      <c r="F38">
        <v>104</v>
      </c>
      <c r="G38">
        <v>99</v>
      </c>
      <c r="H38">
        <v>94</v>
      </c>
      <c r="I38">
        <v>2257</v>
      </c>
      <c r="J38">
        <v>25.2</v>
      </c>
      <c r="K38">
        <v>20.6</v>
      </c>
      <c r="L38">
        <v>17</v>
      </c>
    </row>
    <row r="39" spans="1:12" x14ac:dyDescent="0.15">
      <c r="A39">
        <v>2305</v>
      </c>
      <c r="B39" s="38">
        <v>1</v>
      </c>
      <c r="C39" s="38">
        <v>0.82</v>
      </c>
      <c r="D39" s="38">
        <v>0.68</v>
      </c>
      <c r="E39">
        <v>2305</v>
      </c>
      <c r="F39">
        <v>107</v>
      </c>
      <c r="G39">
        <v>102</v>
      </c>
      <c r="H39">
        <v>97</v>
      </c>
      <c r="I39">
        <v>2305</v>
      </c>
      <c r="J39">
        <v>26.8</v>
      </c>
      <c r="K39">
        <v>22</v>
      </c>
      <c r="L39">
        <v>18.3</v>
      </c>
    </row>
    <row r="40" spans="1:12" x14ac:dyDescent="0.15">
      <c r="A40">
        <v>2348</v>
      </c>
      <c r="B40" s="38">
        <v>1.05</v>
      </c>
      <c r="C40" s="38">
        <v>0.87</v>
      </c>
      <c r="D40" s="38">
        <v>0.72</v>
      </c>
      <c r="E40">
        <v>2348</v>
      </c>
      <c r="F40">
        <v>109</v>
      </c>
      <c r="G40">
        <v>105</v>
      </c>
      <c r="H40">
        <v>100</v>
      </c>
      <c r="I40">
        <v>2348</v>
      </c>
      <c r="J40">
        <v>28.3</v>
      </c>
      <c r="K40">
        <v>23.4</v>
      </c>
      <c r="L40">
        <v>19.5</v>
      </c>
    </row>
    <row r="43" spans="1:12" x14ac:dyDescent="0.15">
      <c r="A43">
        <v>6000</v>
      </c>
      <c r="B43" s="138" t="s">
        <v>26</v>
      </c>
      <c r="C43" s="138"/>
      <c r="D43" s="138"/>
      <c r="F43" s="138" t="s">
        <v>27</v>
      </c>
      <c r="G43" s="138"/>
      <c r="H43" s="138"/>
      <c r="J43" s="138" t="s">
        <v>28</v>
      </c>
      <c r="K43" s="138"/>
      <c r="L43" s="138"/>
    </row>
    <row r="44" spans="1:12" x14ac:dyDescent="0.15">
      <c r="A44" t="s">
        <v>30</v>
      </c>
      <c r="B44" s="18">
        <v>-30</v>
      </c>
      <c r="C44" s="18">
        <v>0</v>
      </c>
      <c r="D44" s="18">
        <v>30</v>
      </c>
      <c r="F44" s="18">
        <v>-30</v>
      </c>
      <c r="G44" s="18">
        <v>0</v>
      </c>
      <c r="H44" s="18">
        <v>30</v>
      </c>
      <c r="J44" s="18">
        <v>-30</v>
      </c>
      <c r="K44" s="18">
        <v>0</v>
      </c>
      <c r="L44" s="18">
        <v>30</v>
      </c>
    </row>
    <row r="45" spans="1:12" x14ac:dyDescent="0.15">
      <c r="A45">
        <v>2196</v>
      </c>
      <c r="B45" s="38">
        <v>0.82</v>
      </c>
      <c r="C45" s="38">
        <v>0.66</v>
      </c>
      <c r="D45" s="38">
        <v>0.54</v>
      </c>
      <c r="E45">
        <v>2196</v>
      </c>
      <c r="F45">
        <v>100</v>
      </c>
      <c r="G45">
        <v>95</v>
      </c>
      <c r="H45">
        <v>87</v>
      </c>
      <c r="I45">
        <v>2196</v>
      </c>
      <c r="J45">
        <v>22</v>
      </c>
      <c r="K45">
        <v>17.8</v>
      </c>
      <c r="L45">
        <v>14.4</v>
      </c>
    </row>
    <row r="46" spans="1:12" x14ac:dyDescent="0.15">
      <c r="A46">
        <v>2249</v>
      </c>
      <c r="B46" s="38">
        <v>0.88</v>
      </c>
      <c r="C46" s="38">
        <v>0.71</v>
      </c>
      <c r="D46" s="38">
        <v>0.57999999999999996</v>
      </c>
      <c r="E46">
        <v>2249</v>
      </c>
      <c r="F46">
        <v>103</v>
      </c>
      <c r="G46">
        <v>98</v>
      </c>
      <c r="H46">
        <v>92</v>
      </c>
      <c r="I46">
        <v>2249</v>
      </c>
      <c r="J46">
        <v>23.6</v>
      </c>
      <c r="K46">
        <v>19.2</v>
      </c>
      <c r="L46">
        <v>15.7</v>
      </c>
    </row>
    <row r="47" spans="1:12" x14ac:dyDescent="0.15">
      <c r="A47">
        <v>2296</v>
      </c>
      <c r="B47" s="38">
        <v>0.93</v>
      </c>
      <c r="C47" s="38">
        <v>0.76</v>
      </c>
      <c r="D47" s="38">
        <v>0.63</v>
      </c>
      <c r="E47">
        <v>2296</v>
      </c>
      <c r="F47">
        <v>106</v>
      </c>
      <c r="G47">
        <v>101</v>
      </c>
      <c r="H47">
        <v>95</v>
      </c>
      <c r="I47">
        <v>2296</v>
      </c>
      <c r="J47">
        <v>25.1</v>
      </c>
      <c r="K47">
        <v>20.5</v>
      </c>
      <c r="L47">
        <v>16.899999999999999</v>
      </c>
    </row>
    <row r="48" spans="1:12" x14ac:dyDescent="0.15">
      <c r="A48">
        <v>2340</v>
      </c>
      <c r="B48" s="38">
        <v>0.98</v>
      </c>
      <c r="C48" s="38">
        <v>0.81</v>
      </c>
      <c r="D48" s="38">
        <v>0.67</v>
      </c>
      <c r="E48">
        <v>2340</v>
      </c>
      <c r="F48">
        <v>108</v>
      </c>
      <c r="G48">
        <v>103</v>
      </c>
      <c r="H48">
        <v>98</v>
      </c>
      <c r="I48">
        <v>2340</v>
      </c>
      <c r="J48">
        <v>26.5</v>
      </c>
      <c r="K48">
        <v>21.8</v>
      </c>
      <c r="L48">
        <v>18</v>
      </c>
    </row>
    <row r="67" spans="2:4" x14ac:dyDescent="0.15">
      <c r="B67" s="38"/>
      <c r="C67" s="39"/>
      <c r="D67" s="39"/>
    </row>
  </sheetData>
  <mergeCells count="12">
    <mergeCell ref="B33:D33"/>
    <mergeCell ref="F33:H33"/>
    <mergeCell ref="J33:L33"/>
    <mergeCell ref="B43:D43"/>
    <mergeCell ref="F43:H43"/>
    <mergeCell ref="J43:L43"/>
    <mergeCell ref="B11:D11"/>
    <mergeCell ref="F11:H11"/>
    <mergeCell ref="J11:L11"/>
    <mergeCell ref="B22:D22"/>
    <mergeCell ref="F22:H22"/>
    <mergeCell ref="J22:L22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1"/>
  <sheetViews>
    <sheetView topLeftCell="A16" zoomScale="120" zoomScaleNormal="120" workbookViewId="0">
      <selection activeCell="D29" sqref="D29"/>
    </sheetView>
  </sheetViews>
  <sheetFormatPr baseColWidth="10" defaultColWidth="8.6640625" defaultRowHeight="13" x14ac:dyDescent="0.15"/>
  <cols>
    <col min="1" max="1" width="14.1640625" customWidth="1"/>
    <col min="2" max="10" width="9.5" customWidth="1"/>
    <col min="11" max="11" width="3.33203125" customWidth="1"/>
    <col min="1024" max="1024" width="11.5" customWidth="1"/>
  </cols>
  <sheetData>
    <row r="1" spans="1:11" ht="14.25" customHeight="1" x14ac:dyDescent="0.15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 ht="14.25" customHeight="1" x14ac:dyDescent="0.15">
      <c r="A2" s="139" t="s">
        <v>31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ht="14.25" customHeight="1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5"/>
    </row>
    <row r="4" spans="1:11" ht="14.25" customHeight="1" x14ac:dyDescent="0.15">
      <c r="A4" s="46" t="s">
        <v>32</v>
      </c>
      <c r="B4" s="6" t="s">
        <v>33</v>
      </c>
      <c r="C4" s="44"/>
      <c r="D4" s="140" t="s">
        <v>34</v>
      </c>
      <c r="E4" s="140"/>
      <c r="F4" s="48">
        <v>1400</v>
      </c>
      <c r="G4" s="44"/>
      <c r="H4" s="44"/>
      <c r="I4" s="44"/>
      <c r="J4" s="44"/>
      <c r="K4" s="45"/>
    </row>
    <row r="5" spans="1:11" ht="14.25" customHeight="1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14.25" customHeight="1" x14ac:dyDescent="0.15">
      <c r="A6" s="141" t="s">
        <v>35</v>
      </c>
      <c r="B6" s="141"/>
      <c r="C6" s="49" t="s">
        <v>36</v>
      </c>
      <c r="D6" s="142" t="s">
        <v>37</v>
      </c>
      <c r="E6" s="142"/>
      <c r="F6" s="142"/>
      <c r="G6" s="50" t="s">
        <v>38</v>
      </c>
      <c r="H6" s="50" t="s">
        <v>39</v>
      </c>
      <c r="I6" s="50" t="s">
        <v>40</v>
      </c>
      <c r="J6" s="49" t="s">
        <v>41</v>
      </c>
      <c r="K6" s="45"/>
    </row>
    <row r="7" spans="1:11" ht="14.25" customHeight="1" x14ac:dyDescent="0.15">
      <c r="A7" s="43"/>
      <c r="B7" s="44"/>
      <c r="C7" s="131" t="s">
        <v>202</v>
      </c>
      <c r="D7" s="51">
        <v>210</v>
      </c>
      <c r="E7" s="6">
        <v>10</v>
      </c>
      <c r="F7" s="6" t="s">
        <v>42</v>
      </c>
      <c r="G7" s="6" t="s">
        <v>43</v>
      </c>
      <c r="H7" s="6">
        <v>23</v>
      </c>
      <c r="I7" s="6">
        <v>10</v>
      </c>
      <c r="J7" s="6">
        <v>1018</v>
      </c>
      <c r="K7" s="45"/>
    </row>
    <row r="8" spans="1:11" ht="14.25" customHeight="1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5"/>
    </row>
    <row r="9" spans="1:11" ht="14.25" customHeight="1" x14ac:dyDescent="0.15">
      <c r="A9" s="141" t="s">
        <v>44</v>
      </c>
      <c r="B9" s="141"/>
      <c r="C9" s="50" t="s">
        <v>45</v>
      </c>
      <c r="D9" s="50" t="s">
        <v>46</v>
      </c>
      <c r="E9" s="50" t="s">
        <v>39</v>
      </c>
      <c r="F9" s="50" t="s">
        <v>47</v>
      </c>
      <c r="G9" s="50" t="s">
        <v>48</v>
      </c>
      <c r="H9" s="44"/>
      <c r="I9" s="44"/>
      <c r="J9" s="44"/>
      <c r="K9" s="45"/>
    </row>
    <row r="10" spans="1:11" ht="14.25" customHeight="1" x14ac:dyDescent="0.15">
      <c r="A10" s="43"/>
      <c r="B10" s="44"/>
      <c r="C10" s="14">
        <f>'Mass &amp; Balance Sheet'!B10</f>
        <v>518.30610643440275</v>
      </c>
      <c r="D10" s="6">
        <f>'Dep 620'!G5</f>
        <v>672</v>
      </c>
      <c r="E10" s="6">
        <f>H7</f>
        <v>23</v>
      </c>
      <c r="F10" s="14">
        <f>IF(D7="-","-",ABS($E$7*COS(RADIANS($D$7-10))))</f>
        <v>9.3969262078590852</v>
      </c>
      <c r="G10" s="14">
        <f>IF(D7="-","-",ABS($E$7*SIN(RADIANS($D$7-10))))</f>
        <v>3.4202014332566866</v>
      </c>
      <c r="H10" s="44"/>
      <c r="I10" s="44"/>
      <c r="J10" s="44"/>
      <c r="K10" s="45"/>
    </row>
    <row r="11" spans="1:11" ht="14.25" customHeight="1" x14ac:dyDescent="0.1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5"/>
    </row>
    <row r="12" spans="1:11" ht="14.25" customHeight="1" x14ac:dyDescent="0.15">
      <c r="A12" s="141" t="s">
        <v>49</v>
      </c>
      <c r="B12" s="141"/>
      <c r="C12" s="50" t="s">
        <v>50</v>
      </c>
      <c r="D12" s="52"/>
      <c r="E12" s="52"/>
      <c r="F12" s="50" t="s">
        <v>51</v>
      </c>
      <c r="G12" s="50" t="s">
        <v>28</v>
      </c>
      <c r="H12" s="50" t="s">
        <v>52</v>
      </c>
      <c r="I12" s="44"/>
      <c r="J12" s="44"/>
      <c r="K12" s="45"/>
    </row>
    <row r="13" spans="1:11" ht="14.25" customHeight="1" x14ac:dyDescent="0.15">
      <c r="A13" s="43"/>
      <c r="B13" s="44"/>
      <c r="C13" s="6">
        <v>6000</v>
      </c>
      <c r="D13" s="44"/>
      <c r="E13" s="44"/>
      <c r="F13" s="14">
        <f>_xlfn.FORECAST.LINEAR(C13,FC!I5:I8,FC!A5:A8)</f>
        <v>83.889660211617269</v>
      </c>
      <c r="G13" s="14">
        <f>_xlfn.FORECAST.LINEAR(C13,FC!M5:M8,FC!A5:A8)</f>
        <v>13.588412004352998</v>
      </c>
      <c r="H13" s="14">
        <f>'Dep 620'!N6</f>
        <v>294</v>
      </c>
      <c r="I13" s="44"/>
      <c r="J13" s="44"/>
      <c r="K13" s="45"/>
    </row>
    <row r="14" spans="1:11" ht="14.25" customHeight="1" x14ac:dyDescent="0.1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5"/>
    </row>
    <row r="15" spans="1:11" ht="14.25" customHeight="1" x14ac:dyDescent="0.15">
      <c r="A15" s="43"/>
      <c r="B15" s="44"/>
      <c r="C15" s="142" t="s">
        <v>53</v>
      </c>
      <c r="D15" s="142"/>
      <c r="E15" s="44"/>
      <c r="F15" s="142" t="s">
        <v>54</v>
      </c>
      <c r="G15" s="142"/>
      <c r="H15" s="44"/>
      <c r="I15" s="142" t="s">
        <v>55</v>
      </c>
      <c r="J15" s="142"/>
      <c r="K15" s="45"/>
    </row>
    <row r="16" spans="1:11" ht="14.25" customHeight="1" x14ac:dyDescent="0.15">
      <c r="A16" s="43"/>
      <c r="B16" s="44"/>
      <c r="C16" s="47" t="s">
        <v>56</v>
      </c>
      <c r="D16" s="47" t="s">
        <v>57</v>
      </c>
      <c r="E16" s="44"/>
      <c r="F16" s="47" t="s">
        <v>58</v>
      </c>
      <c r="G16" s="47" t="s">
        <v>59</v>
      </c>
      <c r="H16" s="44"/>
      <c r="I16" s="47" t="s">
        <v>60</v>
      </c>
      <c r="J16" s="47" t="s">
        <v>61</v>
      </c>
      <c r="K16" s="45"/>
    </row>
    <row r="17" spans="1:11" ht="14.25" customHeight="1" x14ac:dyDescent="0.15">
      <c r="A17" s="43"/>
      <c r="B17" s="44"/>
      <c r="C17" s="15">
        <f>'Dep 620'!G6</f>
        <v>233.89021248035226</v>
      </c>
      <c r="D17" s="15">
        <f>'Dep 620'!G7</f>
        <v>415.13565248035218</v>
      </c>
      <c r="E17" s="44"/>
      <c r="F17" s="15">
        <f>'Dep 620'!G8</f>
        <v>627.00735999999995</v>
      </c>
      <c r="G17" s="15">
        <f>'Dep 620'!N5</f>
        <v>352.18048000000005</v>
      </c>
      <c r="H17" s="44"/>
      <c r="I17" s="15">
        <f>'Dep 620'!N3</f>
        <v>122.39072896070459</v>
      </c>
      <c r="J17" s="15">
        <f>'Dep 620'!N4</f>
        <v>288.38272896070458</v>
      </c>
      <c r="K17" s="45"/>
    </row>
    <row r="18" spans="1:11" x14ac:dyDescent="0.1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5"/>
    </row>
    <row r="20" spans="1:1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2"/>
    </row>
    <row r="21" spans="1:11" x14ac:dyDescent="0.15">
      <c r="A21" s="139" t="s">
        <v>62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</row>
    <row r="22" spans="1:11" x14ac:dyDescent="0.15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5"/>
    </row>
    <row r="23" spans="1:11" x14ac:dyDescent="0.15">
      <c r="A23" s="46" t="s">
        <v>32</v>
      </c>
      <c r="B23" s="130" t="s">
        <v>33</v>
      </c>
      <c r="C23" s="44"/>
      <c r="D23" s="140" t="s">
        <v>63</v>
      </c>
      <c r="E23" s="140"/>
      <c r="F23" s="48">
        <v>1600</v>
      </c>
      <c r="G23" s="44"/>
      <c r="H23" s="44"/>
      <c r="I23" s="44"/>
      <c r="J23" s="44"/>
      <c r="K23" s="45"/>
    </row>
    <row r="24" spans="1:11" x14ac:dyDescent="0.15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5"/>
    </row>
    <row r="25" spans="1:11" x14ac:dyDescent="0.15">
      <c r="A25" s="141" t="s">
        <v>35</v>
      </c>
      <c r="B25" s="141"/>
      <c r="C25" s="49" t="s">
        <v>36</v>
      </c>
      <c r="D25" s="142" t="s">
        <v>37</v>
      </c>
      <c r="E25" s="142"/>
      <c r="F25" s="142"/>
      <c r="G25" s="50" t="s">
        <v>38</v>
      </c>
      <c r="H25" s="50" t="s">
        <v>39</v>
      </c>
      <c r="I25" s="50" t="s">
        <v>40</v>
      </c>
      <c r="J25" s="49" t="s">
        <v>41</v>
      </c>
      <c r="K25" s="45"/>
    </row>
    <row r="26" spans="1:11" ht="14" x14ac:dyDescent="0.15">
      <c r="A26" s="43"/>
      <c r="B26" s="44"/>
      <c r="C26" s="120" t="str">
        <f t="shared" ref="C26:J26" si="0">C7</f>
        <v>281103Z </v>
      </c>
      <c r="D26" s="51">
        <f t="shared" si="0"/>
        <v>210</v>
      </c>
      <c r="E26" s="51">
        <f t="shared" si="0"/>
        <v>10</v>
      </c>
      <c r="F26" s="6" t="str">
        <f t="shared" si="0"/>
        <v>-</v>
      </c>
      <c r="G26" s="6" t="str">
        <f t="shared" si="0"/>
        <v>CAVOK</v>
      </c>
      <c r="H26" s="6">
        <f t="shared" si="0"/>
        <v>23</v>
      </c>
      <c r="I26" s="6">
        <f t="shared" si="0"/>
        <v>10</v>
      </c>
      <c r="J26" s="6">
        <f t="shared" si="0"/>
        <v>1018</v>
      </c>
      <c r="K26" s="45"/>
    </row>
    <row r="27" spans="1:11" x14ac:dyDescent="0.1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5"/>
    </row>
    <row r="28" spans="1:11" x14ac:dyDescent="0.15">
      <c r="A28" s="141" t="s">
        <v>64</v>
      </c>
      <c r="B28" s="141"/>
      <c r="C28" s="50" t="s">
        <v>45</v>
      </c>
      <c r="D28" s="50" t="s">
        <v>46</v>
      </c>
      <c r="E28" s="50" t="s">
        <v>39</v>
      </c>
      <c r="F28" s="50" t="s">
        <v>47</v>
      </c>
      <c r="G28" s="50" t="s">
        <v>48</v>
      </c>
      <c r="H28" s="44"/>
      <c r="I28" s="44"/>
      <c r="J28" s="44"/>
      <c r="K28" s="45"/>
    </row>
    <row r="29" spans="1:11" x14ac:dyDescent="0.15">
      <c r="A29" s="43"/>
      <c r="B29" s="44"/>
      <c r="C29" s="14">
        <f>'Mass &amp; Balance Sheet'!B13</f>
        <v>504.18425712880554</v>
      </c>
      <c r="D29" s="6">
        <f>'Land 620'!G5</f>
        <v>672</v>
      </c>
      <c r="E29" s="6">
        <f>H26</f>
        <v>23</v>
      </c>
      <c r="F29" s="14">
        <f>ABS(E26*COS(RADIANS(D26)))</f>
        <v>8.6602540378443855</v>
      </c>
      <c r="G29" s="14">
        <f>ABS(E26*SIN(RADIANS(D26)))</f>
        <v>5.0000000000000009</v>
      </c>
      <c r="H29" s="44"/>
      <c r="I29" s="44"/>
      <c r="J29" s="44"/>
      <c r="K29" s="45"/>
    </row>
    <row r="30" spans="1:11" x14ac:dyDescent="0.1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5"/>
    </row>
    <row r="31" spans="1:11" x14ac:dyDescent="0.15">
      <c r="A31" s="141" t="s">
        <v>55</v>
      </c>
      <c r="B31" s="141"/>
      <c r="C31" s="50" t="s">
        <v>60</v>
      </c>
      <c r="D31" s="50" t="s">
        <v>61</v>
      </c>
      <c r="E31" s="50" t="s">
        <v>65</v>
      </c>
      <c r="F31" s="44"/>
      <c r="G31" s="44"/>
      <c r="H31" s="44"/>
      <c r="I31" s="44"/>
      <c r="J31" s="44"/>
      <c r="K31" s="45"/>
    </row>
    <row r="32" spans="1:11" x14ac:dyDescent="0.15">
      <c r="A32" s="43"/>
      <c r="B32" s="44"/>
      <c r="C32" s="15">
        <f>'Land 620'!G6</f>
        <v>124.59430834168717</v>
      </c>
      <c r="D32" s="15">
        <f>'Land 620'!G7</f>
        <v>289.34990397805075</v>
      </c>
      <c r="E32" s="15">
        <f>'Land 620'!G8</f>
        <v>351.87877333333336</v>
      </c>
      <c r="F32" s="44"/>
      <c r="G32" s="44"/>
      <c r="H32" s="44"/>
      <c r="I32" s="44"/>
      <c r="J32" s="44"/>
      <c r="K32" s="45"/>
    </row>
    <row r="33" spans="1:1024" ht="16.5" customHeight="1" x14ac:dyDescent="0.15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5"/>
    </row>
    <row r="34" spans="1:1024" ht="15.5" customHeight="1" thickBot="1" x14ac:dyDescent="0.2"/>
    <row r="35" spans="1:1024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2"/>
    </row>
    <row r="36" spans="1:1024" x14ac:dyDescent="0.15">
      <c r="A36" s="139" t="s">
        <v>66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</row>
    <row r="37" spans="1:1024" x14ac:dyDescent="0.1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5"/>
    </row>
    <row r="38" spans="1:1024" x14ac:dyDescent="0.15">
      <c r="A38" s="46" t="s">
        <v>32</v>
      </c>
      <c r="B38" s="6" t="s">
        <v>67</v>
      </c>
      <c r="C38" s="44" t="s">
        <v>68</v>
      </c>
      <c r="D38" s="140" t="s">
        <v>69</v>
      </c>
      <c r="E38" s="140"/>
      <c r="F38" s="48">
        <v>1630</v>
      </c>
      <c r="G38" s="44"/>
      <c r="H38" s="44"/>
      <c r="I38" s="44"/>
      <c r="J38" s="44"/>
      <c r="K38" s="45"/>
    </row>
    <row r="39" spans="1:1024" s="2" customFormat="1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5"/>
      <c r="AMJ39"/>
    </row>
    <row r="40" spans="1:1024" s="2" customFormat="1" x14ac:dyDescent="0.15">
      <c r="A40" s="141" t="s">
        <v>35</v>
      </c>
      <c r="B40" s="141"/>
      <c r="C40" s="49" t="s">
        <v>36</v>
      </c>
      <c r="D40" s="142" t="s">
        <v>37</v>
      </c>
      <c r="E40" s="142"/>
      <c r="F40" s="142"/>
      <c r="G40" s="50" t="s">
        <v>38</v>
      </c>
      <c r="H40" s="50" t="s">
        <v>39</v>
      </c>
      <c r="I40" s="50" t="s">
        <v>40</v>
      </c>
      <c r="J40" s="49" t="s">
        <v>41</v>
      </c>
      <c r="K40" s="45"/>
      <c r="AMJ40"/>
    </row>
    <row r="41" spans="1:1024" x14ac:dyDescent="0.15">
      <c r="A41" s="43"/>
      <c r="B41" s="44"/>
      <c r="C41" s="6" t="str">
        <f t="shared" ref="C41:J41" si="1">C7</f>
        <v>281103Z </v>
      </c>
      <c r="D41" s="51">
        <f t="shared" si="1"/>
        <v>210</v>
      </c>
      <c r="E41" s="6">
        <f t="shared" si="1"/>
        <v>10</v>
      </c>
      <c r="F41" s="6" t="str">
        <f t="shared" si="1"/>
        <v>-</v>
      </c>
      <c r="G41" s="6" t="str">
        <f t="shared" si="1"/>
        <v>CAVOK</v>
      </c>
      <c r="H41" s="6">
        <f t="shared" si="1"/>
        <v>23</v>
      </c>
      <c r="I41" s="6">
        <f t="shared" si="1"/>
        <v>10</v>
      </c>
      <c r="J41" s="6">
        <f t="shared" si="1"/>
        <v>1018</v>
      </c>
      <c r="K41" s="45"/>
    </row>
    <row r="42" spans="1:1024" x14ac:dyDescent="0.15">
      <c r="A42" s="43"/>
      <c r="B42" s="44"/>
      <c r="C42" s="44"/>
      <c r="D42" s="44"/>
      <c r="E42" s="44"/>
      <c r="F42" s="44"/>
      <c r="G42" s="44"/>
      <c r="H42" s="44"/>
      <c r="I42" s="44"/>
      <c r="J42" s="44"/>
      <c r="K42" s="45"/>
    </row>
    <row r="43" spans="1:1024" x14ac:dyDescent="0.15">
      <c r="A43" s="141" t="s">
        <v>64</v>
      </c>
      <c r="B43" s="141"/>
      <c r="C43" s="50" t="s">
        <v>45</v>
      </c>
      <c r="D43" s="50" t="s">
        <v>46</v>
      </c>
      <c r="E43" s="50" t="s">
        <v>39</v>
      </c>
      <c r="F43" s="50" t="s">
        <v>47</v>
      </c>
      <c r="G43" s="50" t="s">
        <v>48</v>
      </c>
      <c r="H43" s="44"/>
      <c r="I43" s="44"/>
      <c r="J43" s="44"/>
      <c r="K43" s="45"/>
    </row>
    <row r="44" spans="1:1024" x14ac:dyDescent="0.15">
      <c r="A44" s="43"/>
      <c r="B44" s="44"/>
      <c r="C44" s="14">
        <f>'Mass &amp; Balance Sheet'!B16</f>
        <v>499.77623600387699</v>
      </c>
      <c r="D44" s="56" t="str">
        <f>CONCATENATE('Alternate 620'!G5," / ",'Alternate 620'!K5)</f>
        <v>255 / 501</v>
      </c>
      <c r="E44" s="6">
        <f>H41</f>
        <v>23</v>
      </c>
      <c r="F44" s="14">
        <f>ABS(E41*COS(RADIANS(D41-10)))</f>
        <v>9.3969262078590852</v>
      </c>
      <c r="G44" s="14">
        <f>ABS(E41*SIN(RADIANS(D41-10)))</f>
        <v>3.4202014332566866</v>
      </c>
      <c r="H44" s="44"/>
      <c r="I44" s="44"/>
      <c r="J44" s="44"/>
      <c r="K44" s="45"/>
    </row>
    <row r="45" spans="1:1024" x14ac:dyDescent="0.15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5"/>
    </row>
    <row r="46" spans="1:1024" s="2" customFormat="1" x14ac:dyDescent="0.15">
      <c r="A46" s="141" t="s">
        <v>55</v>
      </c>
      <c r="B46" s="141"/>
      <c r="C46" s="142" t="s">
        <v>70</v>
      </c>
      <c r="D46" s="142"/>
      <c r="E46" s="142"/>
      <c r="F46" s="44"/>
      <c r="G46" s="142" t="s">
        <v>71</v>
      </c>
      <c r="H46" s="142"/>
      <c r="I46" s="142"/>
      <c r="J46" s="44"/>
      <c r="K46" s="45"/>
      <c r="AMJ46"/>
    </row>
    <row r="47" spans="1:1024" x14ac:dyDescent="0.15">
      <c r="A47" s="43"/>
      <c r="C47" s="47" t="s">
        <v>60</v>
      </c>
      <c r="D47" s="47" t="s">
        <v>61</v>
      </c>
      <c r="E47" s="47" t="s">
        <v>65</v>
      </c>
      <c r="F47" s="44"/>
      <c r="G47" s="47" t="s">
        <v>60</v>
      </c>
      <c r="H47" s="47" t="s">
        <v>61</v>
      </c>
      <c r="I47" s="47" t="s">
        <v>65</v>
      </c>
      <c r="J47" s="44"/>
      <c r="K47" s="45"/>
    </row>
    <row r="48" spans="1:1024" x14ac:dyDescent="0.15">
      <c r="A48" s="43"/>
      <c r="B48" s="44"/>
      <c r="C48" s="15">
        <f>'Alternate 620'!G6</f>
        <v>119.93876896070459</v>
      </c>
      <c r="D48" s="15">
        <f>'Alternate 620'!G7</f>
        <v>283.42876896070459</v>
      </c>
      <c r="E48" s="15">
        <f>'Alternate 620'!G8</f>
        <v>371.42919999999998</v>
      </c>
      <c r="F48" s="44"/>
      <c r="G48" s="15">
        <f>'Alternate 620'!K6</f>
        <v>119.93876896070459</v>
      </c>
      <c r="H48" s="15">
        <f>'Alternate 620'!K7</f>
        <v>119.93876896070459</v>
      </c>
      <c r="I48" s="15">
        <f>'Alternate 620'!K8</f>
        <v>371.42919999999998</v>
      </c>
      <c r="J48" s="44"/>
      <c r="K48" s="45"/>
    </row>
    <row r="49" spans="1:11" ht="9" customHeight="1" thickBot="1" x14ac:dyDescent="0.2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5"/>
    </row>
    <row r="50" spans="1:11" ht="15.5" customHeight="1" x14ac:dyDescent="0.15"/>
    <row r="57" spans="1:11" ht="9.5" customHeight="1" x14ac:dyDescent="0.15"/>
    <row r="61" spans="1:11" ht="15.5" customHeight="1" x14ac:dyDescent="0.15"/>
  </sheetData>
  <mergeCells count="23">
    <mergeCell ref="A46:B46"/>
    <mergeCell ref="C46:E46"/>
    <mergeCell ref="G46:I46"/>
    <mergeCell ref="A36:K36"/>
    <mergeCell ref="D38:E38"/>
    <mergeCell ref="A40:B40"/>
    <mergeCell ref="D40:F40"/>
    <mergeCell ref="A43:B43"/>
    <mergeCell ref="D23:E23"/>
    <mergeCell ref="A25:B25"/>
    <mergeCell ref="D25:F25"/>
    <mergeCell ref="A28:B28"/>
    <mergeCell ref="A31:B31"/>
    <mergeCell ref="A12:B12"/>
    <mergeCell ref="C15:D15"/>
    <mergeCell ref="F15:G15"/>
    <mergeCell ref="I15:J15"/>
    <mergeCell ref="A21:K21"/>
    <mergeCell ref="A2:K2"/>
    <mergeCell ref="D4:E4"/>
    <mergeCell ref="A6:B6"/>
    <mergeCell ref="D6:F6"/>
    <mergeCell ref="A9:B9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6"/>
  <sheetViews>
    <sheetView zoomScale="120" zoomScaleNormal="120" workbookViewId="0">
      <selection activeCell="I7" sqref="I7"/>
    </sheetView>
  </sheetViews>
  <sheetFormatPr baseColWidth="10" defaultColWidth="8.6640625" defaultRowHeight="13" x14ac:dyDescent="0.15"/>
  <cols>
    <col min="1" max="20" width="12.1640625" customWidth="1"/>
  </cols>
  <sheetData>
    <row r="1" spans="2:20" x14ac:dyDescent="0.15">
      <c r="I1" s="132"/>
      <c r="J1" s="132"/>
      <c r="K1" s="132" t="s">
        <v>72</v>
      </c>
      <c r="M1" s="132"/>
      <c r="N1" s="132"/>
      <c r="O1" s="132"/>
      <c r="P1" s="132"/>
      <c r="Q1" s="132"/>
      <c r="R1" s="132"/>
      <c r="S1" s="132"/>
      <c r="T1" s="132"/>
    </row>
    <row r="2" spans="2:20" x14ac:dyDescent="0.15">
      <c r="F2" t="s">
        <v>41</v>
      </c>
      <c r="G2" s="3">
        <f>Performance!J7</f>
        <v>1018</v>
      </c>
      <c r="H2" t="s">
        <v>73</v>
      </c>
    </row>
    <row r="3" spans="2:20" x14ac:dyDescent="0.15">
      <c r="B3" t="s">
        <v>74</v>
      </c>
      <c r="C3" s="57">
        <f>Performance!F10</f>
        <v>9.3969262078590852</v>
      </c>
      <c r="D3">
        <f>IF(C3="","",C3*-2.5)</f>
        <v>-23.492315519647711</v>
      </c>
      <c r="E3" t="s">
        <v>75</v>
      </c>
      <c r="F3" t="s">
        <v>76</v>
      </c>
      <c r="G3" s="3">
        <f>VLOOKUP(Performance!B4,Aerodromos!A1:B40,2,FALSE())</f>
        <v>807</v>
      </c>
      <c r="H3" t="s">
        <v>77</v>
      </c>
      <c r="I3" t="s">
        <v>74</v>
      </c>
      <c r="J3" s="57">
        <f>C3</f>
        <v>9.3969262078590852</v>
      </c>
      <c r="K3">
        <f>IF(J3="","",J3*-5)</f>
        <v>-46.984631039295422</v>
      </c>
      <c r="L3" t="s">
        <v>75</v>
      </c>
      <c r="M3" t="s">
        <v>60</v>
      </c>
      <c r="N3" s="58">
        <f>N11+SUM($K$3:$K$6)</f>
        <v>122.39072896070459</v>
      </c>
      <c r="O3" t="s">
        <v>75</v>
      </c>
    </row>
    <row r="4" spans="2:20" x14ac:dyDescent="0.15">
      <c r="B4" t="s">
        <v>78</v>
      </c>
      <c r="C4" s="59"/>
      <c r="D4" t="str">
        <f>IF(C4="","",C4*10)</f>
        <v/>
      </c>
      <c r="E4" t="s">
        <v>75</v>
      </c>
      <c r="F4" t="s">
        <v>79</v>
      </c>
      <c r="G4" s="3">
        <f>Performance!H7</f>
        <v>23</v>
      </c>
      <c r="H4" t="s">
        <v>80</v>
      </c>
      <c r="I4" t="s">
        <v>78</v>
      </c>
      <c r="J4" s="59"/>
      <c r="K4" t="str">
        <f>IF(J4="","",J4*10)</f>
        <v/>
      </c>
      <c r="L4" t="s">
        <v>75</v>
      </c>
      <c r="M4" t="s">
        <v>61</v>
      </c>
      <c r="N4" s="58">
        <f>N12+SUM($K$3:$K$6)</f>
        <v>288.38272896070458</v>
      </c>
      <c r="O4" t="s">
        <v>75</v>
      </c>
    </row>
    <row r="5" spans="2:20" x14ac:dyDescent="0.15">
      <c r="B5" t="s">
        <v>81</v>
      </c>
      <c r="C5" s="59" t="s">
        <v>82</v>
      </c>
      <c r="D5" s="58">
        <f>IF(C5="","",G11*-0.06)</f>
        <v>-16.428671999999999</v>
      </c>
      <c r="E5" t="s">
        <v>75</v>
      </c>
      <c r="F5" t="s">
        <v>83</v>
      </c>
      <c r="G5">
        <f>IF(G3="","",G3+(1013-G2)*27)</f>
        <v>672</v>
      </c>
      <c r="H5" t="s">
        <v>77</v>
      </c>
      <c r="I5" t="s">
        <v>81</v>
      </c>
      <c r="J5" s="59" t="s">
        <v>82</v>
      </c>
      <c r="K5" s="58">
        <f>IF(J5="","",N11*-0.02)</f>
        <v>-3.4566400000000006</v>
      </c>
      <c r="L5" t="s">
        <v>75</v>
      </c>
      <c r="M5" t="s">
        <v>84</v>
      </c>
      <c r="N5" s="58">
        <f>N13</f>
        <v>352.18048000000005</v>
      </c>
      <c r="O5" t="s">
        <v>85</v>
      </c>
    </row>
    <row r="6" spans="2:20" x14ac:dyDescent="0.15">
      <c r="B6" t="s">
        <v>86</v>
      </c>
      <c r="C6" s="59">
        <v>0</v>
      </c>
      <c r="D6" s="58">
        <f>IF(C6="","",C6*G11*0.05)</f>
        <v>0</v>
      </c>
      <c r="E6" t="s">
        <v>75</v>
      </c>
      <c r="F6" t="s">
        <v>56</v>
      </c>
      <c r="G6" s="58">
        <f>G11+SUM(D3:D6)</f>
        <v>233.89021248035226</v>
      </c>
      <c r="H6" t="s">
        <v>75</v>
      </c>
      <c r="I6" t="s">
        <v>86</v>
      </c>
      <c r="J6" s="59"/>
      <c r="K6" s="58" t="str">
        <f>IF(J6="","",J6*N11*0.025)</f>
        <v/>
      </c>
      <c r="L6" t="s">
        <v>75</v>
      </c>
      <c r="M6" t="s">
        <v>87</v>
      </c>
      <c r="N6" s="58">
        <f>N14</f>
        <v>294</v>
      </c>
      <c r="O6" t="s">
        <v>85</v>
      </c>
    </row>
    <row r="7" spans="2:20" x14ac:dyDescent="0.15">
      <c r="F7" t="s">
        <v>57</v>
      </c>
      <c r="G7" s="58">
        <f>G12+SUM(D3:D6)</f>
        <v>415.13565248035218</v>
      </c>
      <c r="H7" t="s">
        <v>75</v>
      </c>
    </row>
    <row r="8" spans="2:20" x14ac:dyDescent="0.15">
      <c r="F8" t="s">
        <v>88</v>
      </c>
      <c r="G8" s="58">
        <f>G13</f>
        <v>627.00735999999995</v>
      </c>
      <c r="H8" t="s">
        <v>85</v>
      </c>
    </row>
    <row r="10" spans="2:20" x14ac:dyDescent="0.15">
      <c r="B10" s="6"/>
      <c r="C10" s="6">
        <v>-25</v>
      </c>
      <c r="D10" s="6">
        <v>0</v>
      </c>
      <c r="E10" s="60">
        <v>25</v>
      </c>
      <c r="F10" s="6">
        <v>50</v>
      </c>
      <c r="G10" s="6">
        <f>G4</f>
        <v>23</v>
      </c>
      <c r="I10" s="6"/>
      <c r="J10" s="6">
        <v>-25</v>
      </c>
      <c r="K10" s="6">
        <v>0</v>
      </c>
      <c r="L10" s="6">
        <v>25</v>
      </c>
      <c r="M10" s="6">
        <v>50</v>
      </c>
      <c r="N10" s="6">
        <f>G4</f>
        <v>23</v>
      </c>
    </row>
    <row r="11" spans="2:20" x14ac:dyDescent="0.15">
      <c r="B11" s="61" t="s">
        <v>56</v>
      </c>
      <c r="C11" s="6">
        <f>FORECAST($G$5, INDEX(C18:C28,MATCH($G$5,$B$18:$B$28,1)):INDEX(C18:C28,MATCH($G$5,$B$18:$B$28,1)+1), INDEX($B$18:$B$28,MATCH($G$5,$B$18:$B$28,1)):INDEX($B$18:$B$28,MATCH($G$5,$B$18:$B$28,1)+1))</f>
        <v>164.08</v>
      </c>
      <c r="D11" s="6">
        <f>FORECAST($G$5, INDEX(D18:D28,MATCH($G$5,$B$18:$B$28,1)):INDEX(D18:D28,MATCH($G$5,$B$18:$B$28,1)+1), INDEX($B$18:$B$28,MATCH($G$5,$B$18:$B$28,1)):INDEX($B$18:$B$28,MATCH($G$5,$B$18:$B$28,1)+1))</f>
        <v>216.44</v>
      </c>
      <c r="E11" s="60">
        <f>FORECAST($G$5, INDEX(E18:E28,MATCH($G$5,$B$18:$B$28,1)):INDEX(E18:E28,MATCH($G$5,$B$18:$B$28,1)+1), INDEX($B$18:$B$28,MATCH($G$5,$B$18:$B$28,1)):INDEX($B$18:$B$28,MATCH($G$5,$B$18:$B$28,1)+1))</f>
        <v>278.8</v>
      </c>
      <c r="F11" s="6">
        <f>FORECAST($G$5, INDEX(F18:F28,MATCH($G$5,$B$18:$B$28,1)):INDEX(F18:F28,MATCH($G$5,$B$18:$B$28,1)+1), INDEX($B$18:$B$28,MATCH($G$5,$B$18:$B$28,1)):INDEX($B$18:$B$28,MATCH($G$5,$B$18:$B$28,1)+1))</f>
        <v>353.17599999999999</v>
      </c>
      <c r="G11" s="6">
        <f>FORECAST($G$4, INDEX(C11:F11,MATCH($G$4,$C$10:$F$10,1)):INDEX(C11:F11,MATCH($G$4,$C$10:$F$10,1)+1), INDEX($C$10:$F$10,MATCH($G$4,$C$10:$F$10,1)):INDEX($C$10:$F$10,MATCH($G$4,$C$10:$F$10,1)+1))</f>
        <v>273.81119999999999</v>
      </c>
      <c r="I11" s="6" t="s">
        <v>60</v>
      </c>
      <c r="J11" s="6">
        <f>FORECAST($G$5, INDEX(J18:J28,MATCH($G$5,$B$18:$B$28,1)):INDEX(J18:J28,MATCH($G$5,$B$18:$B$28,1)+1), INDEX($B$18:$B$28,MATCH($G$5,$B$18:$B$28,1)):INDEX($B$18:$B$28,MATCH($G$5,$B$18:$B$28,1)+1))</f>
        <v>144.36000000000001</v>
      </c>
      <c r="K11" s="6">
        <f>FORECAST($G$5, INDEX(K18:K28,MATCH($G$5,$B$18:$B$28,1)):INDEX(K18:K28,MATCH($G$5,$B$18:$B$28,1)+1), INDEX($B$18:$B$28,MATCH($G$5,$B$18:$B$28,1)):INDEX($B$18:$B$28,MATCH($G$5,$B$18:$B$28,1)+1))</f>
        <v>159.03200000000001</v>
      </c>
      <c r="L11" s="6">
        <f>FORECAST($G$5, INDEX(L18:L28,MATCH($G$5,$B$18:$B$28,1)):INDEX(L18:L28,MATCH($G$5,$B$18:$B$28,1)+1), INDEX($B$18:$B$28,MATCH($G$5,$B$18:$B$28,1)):INDEX($B$18:$B$28,MATCH($G$5,$B$18:$B$28,1)+1))</f>
        <v>174.03200000000001</v>
      </c>
      <c r="M11" s="6">
        <f>FORECAST($G$5, INDEX(M18:M28,MATCH($G$5,$B$18:$B$28,1)):INDEX(M18:M28,MATCH($G$5,$B$18:$B$28,1)+1), INDEX($B$18:$B$28,MATCH($G$5,$B$18:$B$28,1)):INDEX($B$18:$B$28,MATCH($G$5,$B$18:$B$28,1)+1))</f>
        <v>188.70400000000001</v>
      </c>
      <c r="N11" s="6">
        <f>FORECAST($G$4, INDEX(J11:M11,MATCH($G$4,$C$10:$F$10,1)):INDEX(J11:M11,MATCH($G$4,$C$10:$F$10,1)+1), INDEX($C$10:$F$10,MATCH($G$4,$C$10:$F$10,1)):INDEX($C$10:$F$10,MATCH($G$4,$C$10:$F$10,1)+1))</f>
        <v>172.83200000000002</v>
      </c>
    </row>
    <row r="12" spans="2:20" x14ac:dyDescent="0.15">
      <c r="B12" s="61" t="s">
        <v>57</v>
      </c>
      <c r="C12" s="6">
        <f>FORECAST($G$5, INDEX(C32:C42,MATCH($G$5,$B$32:$B$42,1)):INDEX(C32:C42,MATCH($G$5,$B$32:$B$42,1)+1), INDEX($B$32:$B$42,MATCH($G$5,$B$32:$B$42,1)):INDEX($B$32:$B$42,MATCH($G$5,$B$32:$B$42,1)+1))</f>
        <v>268.8</v>
      </c>
      <c r="D12" s="6">
        <f>FORECAST($G$5, INDEX(D32:D42,MATCH($G$5,$B$32:$B$42,1)):INDEX(D32:D42,MATCH($G$5,$B$32:$B$42,1)+1), INDEX($B$32:$B$42,MATCH($G$5,$B$32:$B$42,1)):INDEX($B$32:$B$42,MATCH($G$5,$B$32:$B$42,1)+1))</f>
        <v>357.17599999999999</v>
      </c>
      <c r="E12" s="60">
        <f>FORECAST($G$5, INDEX(E32:E42,MATCH($G$5,$B$32:$B$42,1)):INDEX(E32:E42,MATCH($G$5,$B$32:$B$42,1)+1), INDEX($B$32:$B$42,MATCH($G$5,$B$32:$B$42,1)):INDEX($B$32:$B$42,MATCH($G$5,$B$32:$B$42,1)+1))</f>
        <v>463.56799999999998</v>
      </c>
      <c r="F12" s="6">
        <f>FORECAST($G$5, INDEX(F32:F42,MATCH($G$5,$B$32:$B$42,1)):INDEX(F32:F42,MATCH($G$5,$B$32:$B$42,1)+1), INDEX($B$32:$B$42,MATCH($G$5,$B$32:$B$42,1)):INDEX($B$32:$B$42,MATCH($G$5,$B$32:$B$42,1)+1))</f>
        <v>591.30399999999997</v>
      </c>
      <c r="G12" s="6">
        <f>FORECAST($G$4, INDEX(C12:F12,MATCH($G$4,$C$10:$F$10,1)):INDEX(C12:F12,MATCH($G$4,$C$10:$F$10,1)+1), INDEX($C$10:$F$10,MATCH($G$4,$C$10:$F$10,1)):INDEX($C$10:$F$10,MATCH($G$4,$C$10:$F$10,1)+1))</f>
        <v>455.0566399999999</v>
      </c>
      <c r="I12" s="6" t="s">
        <v>61</v>
      </c>
      <c r="J12" s="6">
        <f>FORECAST($G$5, INDEX(J32:J42,MATCH($G$5,$B$32:$B$42,1)):INDEX(J32:J42,MATCH($G$5,$B$32:$B$42,1)+1), INDEX($B$32:$B$42,MATCH($G$5,$B$32:$B$42,1)):INDEX($B$32:$B$42,MATCH($G$5,$B$32:$B$42,1)+1))</f>
        <v>284.392</v>
      </c>
      <c r="K12" s="6">
        <f>FORECAST($G$5, INDEX(K32:K42,MATCH($G$5,$B$32:$B$42,1)):INDEX(K32:K42,MATCH($G$5,$B$32:$B$42,1)+1), INDEX($B$32:$B$42,MATCH($G$5,$B$32:$B$42,1)):INDEX($B$32:$B$42,MATCH($G$5,$B$32:$B$42,1)+1))</f>
        <v>313.06400000000002</v>
      </c>
      <c r="L12" s="6">
        <f>FORECAST($G$5, INDEX(L32:L42,MATCH($G$5,$B$32:$B$42,1)):INDEX(L32:L42,MATCH($G$5,$B$32:$B$42,1)+1), INDEX($B$32:$B$42,MATCH($G$5,$B$32:$B$42,1)):INDEX($B$32:$B$42,MATCH($G$5,$B$32:$B$42,1)+1))</f>
        <v>341.06400000000002</v>
      </c>
      <c r="M12" s="6">
        <f>FORECAST($G$5, INDEX(M32:M42,MATCH($G$5,$B$32:$B$42,1)):INDEX(M32:M42,MATCH($G$5,$B$32:$B$42,1)+1), INDEX($B$32:$B$42,MATCH($G$5,$B$32:$B$42,1)):INDEX($B$32:$B$42,MATCH($G$5,$B$32:$B$42,1)+1))</f>
        <v>369.73599999999999</v>
      </c>
      <c r="N12" s="6">
        <f>FORECAST($G$4, INDEX(J12:M12,MATCH($G$4,$C$10:$F$10,1)):INDEX(J12:M12,MATCH($G$4,$C$10:$F$10,1)+1), INDEX($C$10:$F$10,MATCH($G$4,$C$10:$F$10,1)):INDEX($C$10:$F$10,MATCH($G$4,$C$10:$F$10,1)+1))</f>
        <v>338.82400000000001</v>
      </c>
    </row>
    <row r="13" spans="2:20" x14ac:dyDescent="0.15">
      <c r="B13" s="61" t="s">
        <v>88</v>
      </c>
      <c r="C13" s="6">
        <f>FORECAST($G$5, INDEX(C46:C53,MATCH($G$5,$B$46:$B$53,1)):INDEX(C46:C53,MATCH($G$5,$B$46:$B$53,1)+1), INDEX($B$46:$B$53,MATCH($G$5,$B$46:$B$53,1)):INDEX($B$46:$B$53,MATCH($G$5,$B$46:$B$53,1)+1))</f>
        <v>1055.52</v>
      </c>
      <c r="D13" s="6">
        <f>FORECAST($G$5, INDEX(D46:D53,MATCH($G$5,$B$46:$B$53,1)):INDEX(D46:D53,MATCH($G$5,$B$46:$B$53,1)+1), INDEX($B$46:$B$53,MATCH($G$5,$B$46:$B$53,1)):INDEX($B$46:$B$53,MATCH($G$5,$B$46:$B$53,1)+1))</f>
        <v>820.2</v>
      </c>
      <c r="E13" s="60">
        <f>FORECAST($G$5, INDEX(E46:E53,MATCH($G$5,$B$46:$B$53,1)):INDEX(E46:E53,MATCH($G$5,$B$46:$B$53,1)+1), INDEX($B$46:$B$53,MATCH($G$5,$B$46:$B$53,1)):INDEX($B$46:$B$53,MATCH($G$5,$B$46:$B$53,1)+1))</f>
        <v>610.20799999999997</v>
      </c>
      <c r="F13" s="6">
        <f>FORECAST($G$5, INDEX(F46:F53,MATCH($G$5,$B$46:$B$53,1)):INDEX(F46:F53,MATCH($G$5,$B$46:$B$53,1)+1), INDEX($B$46:$B$53,MATCH($G$5,$B$46:$B$53,1)):INDEX($B$46:$B$53,MATCH($G$5,$B$46:$B$53,1)+1))</f>
        <v>421.21600000000001</v>
      </c>
      <c r="G13" s="6">
        <f>FORECAST($G$4, INDEX(C13:F13,MATCH($G$4,$C$10:$F$10,1)):INDEX(C13:F13,MATCH($G$4,$C$10:$F$10,1)+1), INDEX($C$10:$F$10,MATCH($G$4,$C$10:$F$10,1)):INDEX($C$10:$F$10,MATCH($G$4,$C$10:$F$10,1)+1))</f>
        <v>627.00735999999995</v>
      </c>
      <c r="I13" s="6" t="s">
        <v>84</v>
      </c>
      <c r="J13" s="6">
        <f>FORECAST($G$5, INDEX(J46:J53,MATCH($G$5,$I$46:$I$53,1)):INDEX(J46:J53,MATCH($G$5,$I$46:$I$53,1)+1), INDEX($I$46:$I$53,MATCH($G$5,$I$46:$I$53,1)):INDEX($I$46:$I$53,MATCH($G$5,$I$46:$I$53,1)+1))</f>
        <v>584.072</v>
      </c>
      <c r="K13" s="6">
        <f>FORECAST($G$5, INDEX(K46:K53,MATCH($G$5,$I$46:$I$53,1)):INDEX(K46:K53,MATCH($G$5,$I$46:$I$53,1)+1), INDEX($I$46:$I$53,MATCH($G$5,$I$46:$I$53,1)):INDEX($I$46:$I$53,MATCH($G$5,$I$46:$I$53,1)+1))</f>
        <v>456.74400000000003</v>
      </c>
      <c r="L13" s="6">
        <f>FORECAST($G$5, INDEX(L46:L53,MATCH($G$5,$I$46:$I$53,1)):INDEX(L46:L53,MATCH($G$5,$I$46:$I$53,1)+1), INDEX($I$46:$I$53,MATCH($G$5,$I$46:$I$53,1)):INDEX($I$46:$I$53,MATCH($G$5,$I$46:$I$53,1)+1))</f>
        <v>343.08800000000002</v>
      </c>
      <c r="M13" s="6">
        <f>FORECAST($G$5, INDEX(M46:M53,MATCH($G$5,$I$46:$I$53,1)):INDEX(M46:M53,MATCH($G$5,$I$46:$I$53,1)+1), INDEX($I$46:$I$53,MATCH($G$5,$I$46:$I$53,1)):INDEX($I$46:$I$53,MATCH($G$5,$I$46:$I$53,1)+1))</f>
        <v>240.08799999999999</v>
      </c>
      <c r="N13" s="6">
        <f>FORECAST($G$4, INDEX(J13:M13,MATCH($G$4,$C$10:$F$10,1)):INDEX(J13:M13,MATCH($G$4,$C$10:$F$10,1)+1), INDEX($C$10:$F$10,MATCH($G$4,$C$10:$F$10,1)):INDEX($C$10:$F$10,MATCH($G$4,$C$10:$F$10,1)+1))</f>
        <v>352.18048000000005</v>
      </c>
    </row>
    <row r="14" spans="2:20" x14ac:dyDescent="0.15">
      <c r="I14" s="6" t="s">
        <v>89</v>
      </c>
      <c r="J14" s="6">
        <f>FORECAST(Performance!$C$13, INDEX(J59:J66,MATCH(Performance!$C$13,$I$59:$I$66,1)):INDEX(J59:J66,MATCH(Performance!$C$13,$I$59:$I$66,1)+1), INDEX($I$59:$I$66,MATCH(Performance!$C$13,$I$59:$I$66,1)):INDEX($I$59:$I$66,MATCH(Performance!$C$13,$I$59:$I$66,1)+1))</f>
        <v>702</v>
      </c>
      <c r="K14" s="6">
        <f>FORECAST(Performance!$C$13, INDEX(K59:K66,MATCH(Performance!$C$13,$I$59:$I$66,1)):INDEX(K59:K66,MATCH(Performance!$C$13,$I$59:$I$66,1)+1), INDEX($I$59:$I$66,MATCH(Performance!$C$13,$I$59:$I$66,1)):INDEX($I$59:$I$66,MATCH(Performance!$C$13,$I$59:$I$66,1)+1))</f>
        <v>478</v>
      </c>
      <c r="L14" s="6">
        <f>FORECAST(Performance!$C$13, INDEX(L59:L66,MATCH(Performance!$C$13,$I$59:$I$66,1)):INDEX(L59:L66,MATCH(Performance!$C$13,$I$59:$I$66,1)+1), INDEX($I$59:$I$66,MATCH(Performance!$C$13,$I$59:$I$66,1)):INDEX($I$59:$I$66,MATCH(Performance!$C$13,$I$59:$I$66,1)+1))</f>
        <v>278</v>
      </c>
      <c r="M14" s="6">
        <f>FORECAST(Performance!$C$13, INDEX(M59:M66,MATCH(Performance!$C$13,$I$59:$I$66,1)):INDEX(M59:M66,MATCH(Performance!$C$13,$I$59:$I$66,1)+1), INDEX($I$59:$I$66,MATCH(Performance!$C$13,$I$59:$I$66,1)):INDEX($I$59:$I$66,MATCH(Performance!$C$13,$I$59:$I$66,1)+1))</f>
        <v>96.999999999999943</v>
      </c>
      <c r="N14" s="6">
        <f>FORECAST($G$4, INDEX(J14:M14,MATCH($G$4,$C$10:$F$10,1)):INDEX(J14:M14,MATCH($G$4,$C$10:$F$10,1)+1), INDEX($C$10:$F$10,MATCH($G$4,$C$10:$F$10,1)):INDEX($C$10:$F$10,MATCH($G$4,$C$10:$F$10,1)+1))</f>
        <v>294</v>
      </c>
    </row>
    <row r="16" spans="2:20" x14ac:dyDescent="0.15">
      <c r="B16" s="143" t="s">
        <v>90</v>
      </c>
      <c r="C16" s="143"/>
      <c r="D16" s="143"/>
      <c r="E16" s="143"/>
      <c r="F16" s="143"/>
      <c r="I16" s="62" t="s">
        <v>90</v>
      </c>
      <c r="J16" s="62"/>
      <c r="K16" s="62"/>
      <c r="L16" s="62"/>
      <c r="M16" s="62"/>
    </row>
    <row r="17" spans="2:13" x14ac:dyDescent="0.15">
      <c r="B17" s="6"/>
      <c r="C17" s="6">
        <v>-25</v>
      </c>
      <c r="D17" s="6">
        <v>0</v>
      </c>
      <c r="E17" s="6">
        <v>25</v>
      </c>
      <c r="F17" s="6">
        <v>50</v>
      </c>
      <c r="I17" s="6" t="s">
        <v>25</v>
      </c>
      <c r="J17" s="6">
        <v>-25</v>
      </c>
      <c r="K17" s="6">
        <v>0</v>
      </c>
      <c r="L17" s="6">
        <v>25</v>
      </c>
      <c r="M17" s="6">
        <v>50</v>
      </c>
    </row>
    <row r="18" spans="2:13" x14ac:dyDescent="0.15">
      <c r="B18" s="61">
        <v>0</v>
      </c>
      <c r="C18" s="6">
        <v>154</v>
      </c>
      <c r="D18" s="6">
        <v>203</v>
      </c>
      <c r="E18" s="6">
        <v>262</v>
      </c>
      <c r="F18" s="6">
        <v>331</v>
      </c>
      <c r="I18" s="61">
        <v>0</v>
      </c>
      <c r="J18" s="6">
        <v>141</v>
      </c>
      <c r="K18" s="6">
        <v>155</v>
      </c>
      <c r="L18" s="6">
        <v>170</v>
      </c>
      <c r="M18" s="6">
        <v>184</v>
      </c>
    </row>
    <row r="19" spans="2:13" x14ac:dyDescent="0.15">
      <c r="B19" s="61">
        <v>1000</v>
      </c>
      <c r="C19" s="6">
        <v>169</v>
      </c>
      <c r="D19" s="6">
        <v>223</v>
      </c>
      <c r="E19" s="6">
        <v>287</v>
      </c>
      <c r="F19" s="6">
        <v>364</v>
      </c>
      <c r="I19" s="61">
        <v>1000</v>
      </c>
      <c r="J19" s="6">
        <v>146</v>
      </c>
      <c r="K19" s="6">
        <v>161</v>
      </c>
      <c r="L19" s="6">
        <v>176</v>
      </c>
      <c r="M19" s="6">
        <v>191</v>
      </c>
    </row>
    <row r="20" spans="2:13" x14ac:dyDescent="0.15">
      <c r="B20" s="61">
        <v>2000</v>
      </c>
      <c r="C20" s="6">
        <v>186</v>
      </c>
      <c r="D20" s="6">
        <v>245</v>
      </c>
      <c r="E20" s="6">
        <v>316</v>
      </c>
      <c r="F20" s="6">
        <v>401</v>
      </c>
      <c r="I20" s="61">
        <v>2000</v>
      </c>
      <c r="J20" s="6">
        <v>152</v>
      </c>
      <c r="K20" s="6">
        <v>167</v>
      </c>
      <c r="L20" s="6">
        <v>183</v>
      </c>
      <c r="M20" s="6">
        <v>198</v>
      </c>
    </row>
    <row r="21" spans="2:13" x14ac:dyDescent="0.15">
      <c r="B21" s="61">
        <v>3000</v>
      </c>
      <c r="C21" s="6">
        <v>204</v>
      </c>
      <c r="D21" s="6">
        <v>269</v>
      </c>
      <c r="E21" s="6">
        <v>348</v>
      </c>
      <c r="F21" s="6">
        <v>442</v>
      </c>
      <c r="I21" s="61">
        <v>3000</v>
      </c>
      <c r="J21" s="6">
        <v>158</v>
      </c>
      <c r="K21" s="6">
        <v>173</v>
      </c>
      <c r="L21" s="6">
        <v>189</v>
      </c>
      <c r="M21" s="6">
        <v>205</v>
      </c>
    </row>
    <row r="22" spans="2:13" x14ac:dyDescent="0.15">
      <c r="B22" s="61">
        <v>4000</v>
      </c>
      <c r="C22" s="6">
        <v>225</v>
      </c>
      <c r="D22" s="6">
        <v>296</v>
      </c>
      <c r="E22" s="6">
        <v>383</v>
      </c>
      <c r="F22" s="6">
        <v>487</v>
      </c>
      <c r="I22" s="61">
        <v>4000</v>
      </c>
      <c r="J22" s="6">
        <v>164</v>
      </c>
      <c r="K22" s="6">
        <v>180</v>
      </c>
      <c r="L22" s="6">
        <v>196</v>
      </c>
      <c r="M22" s="6">
        <v>213</v>
      </c>
    </row>
    <row r="23" spans="2:13" x14ac:dyDescent="0.15">
      <c r="B23" s="61">
        <v>5000</v>
      </c>
      <c r="C23" s="6">
        <v>247</v>
      </c>
      <c r="D23" s="6">
        <v>327</v>
      </c>
      <c r="E23" s="6">
        <v>423</v>
      </c>
      <c r="F23" s="6">
        <v>538</v>
      </c>
      <c r="I23" s="61">
        <v>5000</v>
      </c>
      <c r="J23" s="6">
        <v>170</v>
      </c>
      <c r="K23" s="6">
        <v>187</v>
      </c>
      <c r="L23" s="6">
        <v>204</v>
      </c>
      <c r="M23" s="6">
        <v>221</v>
      </c>
    </row>
    <row r="24" spans="2:13" x14ac:dyDescent="0.15">
      <c r="B24" s="61">
        <v>6000</v>
      </c>
      <c r="C24" s="6">
        <v>272</v>
      </c>
      <c r="D24" s="6">
        <v>360</v>
      </c>
      <c r="E24" s="6">
        <v>466</v>
      </c>
      <c r="F24" s="6">
        <v>594</v>
      </c>
      <c r="I24" s="61">
        <v>6000</v>
      </c>
      <c r="J24" s="6">
        <v>176</v>
      </c>
      <c r="K24" s="6">
        <v>194</v>
      </c>
      <c r="L24" s="6">
        <v>212</v>
      </c>
      <c r="M24" s="6">
        <v>230</v>
      </c>
    </row>
    <row r="25" spans="2:13" x14ac:dyDescent="0.15">
      <c r="B25" s="61">
        <v>7000</v>
      </c>
      <c r="C25" s="6">
        <v>300</v>
      </c>
      <c r="D25" s="6">
        <v>397</v>
      </c>
      <c r="E25" s="6">
        <v>515</v>
      </c>
      <c r="F25" s="6">
        <v>657</v>
      </c>
      <c r="I25" s="61">
        <v>7000</v>
      </c>
      <c r="J25" s="6">
        <v>183</v>
      </c>
      <c r="K25" s="6">
        <v>201</v>
      </c>
      <c r="L25" s="6">
        <v>220</v>
      </c>
      <c r="M25" s="6">
        <v>238</v>
      </c>
    </row>
    <row r="26" spans="2:13" x14ac:dyDescent="0.15">
      <c r="B26" s="61">
        <v>8000</v>
      </c>
      <c r="C26" s="6">
        <v>331</v>
      </c>
      <c r="D26" s="6">
        <v>439</v>
      </c>
      <c r="E26" s="6">
        <v>570</v>
      </c>
      <c r="F26" s="6">
        <v>727</v>
      </c>
      <c r="I26" s="61">
        <v>8000</v>
      </c>
      <c r="J26" s="6">
        <v>190</v>
      </c>
      <c r="K26" s="6">
        <v>209</v>
      </c>
      <c r="L26" s="6">
        <v>228</v>
      </c>
      <c r="M26" s="6">
        <v>248</v>
      </c>
    </row>
    <row r="27" spans="2:13" x14ac:dyDescent="0.15">
      <c r="B27" s="61">
        <v>9000</v>
      </c>
      <c r="C27" s="6">
        <v>366</v>
      </c>
      <c r="D27" s="6">
        <v>486</v>
      </c>
      <c r="E27" s="6">
        <v>631</v>
      </c>
      <c r="F27" s="6">
        <v>806</v>
      </c>
      <c r="I27" s="61">
        <v>9000</v>
      </c>
      <c r="J27" s="6">
        <v>198</v>
      </c>
      <c r="K27" s="6">
        <v>217</v>
      </c>
      <c r="L27" s="6">
        <v>237</v>
      </c>
      <c r="M27" s="6">
        <v>257</v>
      </c>
    </row>
    <row r="28" spans="2:13" x14ac:dyDescent="0.15">
      <c r="B28" s="61">
        <v>10000</v>
      </c>
      <c r="C28" s="6">
        <v>405</v>
      </c>
      <c r="D28" s="6">
        <v>538</v>
      </c>
      <c r="E28" s="6">
        <v>700</v>
      </c>
      <c r="F28" s="6">
        <v>895</v>
      </c>
      <c r="I28" s="61">
        <v>10000</v>
      </c>
      <c r="J28" s="6">
        <v>205</v>
      </c>
      <c r="K28" s="6">
        <v>226</v>
      </c>
      <c r="L28" s="6">
        <v>247</v>
      </c>
      <c r="M28" s="6">
        <v>267</v>
      </c>
    </row>
    <row r="30" spans="2:13" x14ac:dyDescent="0.15">
      <c r="B30" s="143" t="s">
        <v>91</v>
      </c>
      <c r="C30" s="143"/>
      <c r="D30" s="143"/>
      <c r="E30" s="143"/>
      <c r="F30" s="143"/>
      <c r="I30" s="62" t="s">
        <v>91</v>
      </c>
      <c r="J30" s="62"/>
      <c r="K30" s="62"/>
      <c r="L30" s="62"/>
      <c r="M30" s="62"/>
    </row>
    <row r="31" spans="2:13" x14ac:dyDescent="0.15">
      <c r="B31" s="6" t="s">
        <v>25</v>
      </c>
      <c r="C31" s="6">
        <v>-25</v>
      </c>
      <c r="D31" s="6">
        <v>0</v>
      </c>
      <c r="E31" s="6">
        <v>25</v>
      </c>
      <c r="F31" s="6">
        <v>50</v>
      </c>
      <c r="I31" s="6" t="s">
        <v>25</v>
      </c>
      <c r="J31" s="6">
        <v>-25</v>
      </c>
      <c r="K31" s="6">
        <v>0</v>
      </c>
      <c r="L31" s="6">
        <v>25</v>
      </c>
      <c r="M31" s="6">
        <v>50</v>
      </c>
    </row>
    <row r="32" spans="2:13" x14ac:dyDescent="0.15">
      <c r="B32" s="61">
        <v>0</v>
      </c>
      <c r="C32" s="6">
        <v>252</v>
      </c>
      <c r="D32" s="6">
        <v>335</v>
      </c>
      <c r="E32" s="6">
        <v>434</v>
      </c>
      <c r="F32" s="6">
        <v>553</v>
      </c>
      <c r="I32" s="61">
        <v>0</v>
      </c>
      <c r="J32" s="6">
        <v>277</v>
      </c>
      <c r="K32" s="6">
        <v>305</v>
      </c>
      <c r="L32" s="6">
        <v>333</v>
      </c>
      <c r="M32" s="6">
        <v>361</v>
      </c>
    </row>
    <row r="33" spans="2:13" x14ac:dyDescent="0.15">
      <c r="B33" s="61">
        <v>1000</v>
      </c>
      <c r="C33" s="6">
        <v>277</v>
      </c>
      <c r="D33" s="6">
        <v>368</v>
      </c>
      <c r="E33" s="6">
        <v>478</v>
      </c>
      <c r="F33" s="6">
        <v>610</v>
      </c>
      <c r="I33" s="61">
        <v>1000</v>
      </c>
      <c r="J33" s="6">
        <v>288</v>
      </c>
      <c r="K33" s="6">
        <v>317</v>
      </c>
      <c r="L33" s="6">
        <v>345</v>
      </c>
      <c r="M33" s="6">
        <v>374</v>
      </c>
    </row>
    <row r="34" spans="2:13" x14ac:dyDescent="0.15">
      <c r="B34" s="61">
        <v>2000</v>
      </c>
      <c r="C34" s="6">
        <v>305</v>
      </c>
      <c r="D34" s="6">
        <v>405</v>
      </c>
      <c r="E34" s="6">
        <v>526</v>
      </c>
      <c r="F34" s="6">
        <v>672</v>
      </c>
      <c r="I34" s="61">
        <v>2000</v>
      </c>
      <c r="J34" s="6">
        <v>298</v>
      </c>
      <c r="K34" s="6">
        <v>328</v>
      </c>
      <c r="L34" s="6">
        <v>358</v>
      </c>
      <c r="M34" s="6">
        <v>388</v>
      </c>
    </row>
    <row r="35" spans="2:13" x14ac:dyDescent="0.15">
      <c r="B35" s="61">
        <v>3000</v>
      </c>
      <c r="C35" s="6">
        <v>336</v>
      </c>
      <c r="D35" s="6">
        <v>446</v>
      </c>
      <c r="E35" s="6">
        <v>580</v>
      </c>
      <c r="F35" s="6">
        <v>742</v>
      </c>
      <c r="I35" s="61">
        <v>3000</v>
      </c>
      <c r="J35" s="6">
        <v>309</v>
      </c>
      <c r="K35" s="6">
        <v>341</v>
      </c>
      <c r="L35" s="6">
        <v>372</v>
      </c>
      <c r="M35" s="6">
        <v>403</v>
      </c>
    </row>
    <row r="36" spans="2:13" x14ac:dyDescent="0.15">
      <c r="B36" s="61">
        <v>4000</v>
      </c>
      <c r="C36" s="6">
        <v>370</v>
      </c>
      <c r="D36" s="6">
        <v>492</v>
      </c>
      <c r="E36" s="6">
        <v>641</v>
      </c>
      <c r="F36" s="6">
        <v>820</v>
      </c>
      <c r="I36" s="61">
        <v>4000</v>
      </c>
      <c r="J36" s="6">
        <v>321</v>
      </c>
      <c r="K36" s="6">
        <v>353</v>
      </c>
      <c r="L36" s="6">
        <v>386</v>
      </c>
      <c r="M36" s="6">
        <v>418</v>
      </c>
    </row>
    <row r="37" spans="2:13" x14ac:dyDescent="0.15">
      <c r="B37" s="61">
        <v>5000</v>
      </c>
      <c r="C37" s="6">
        <v>408</v>
      </c>
      <c r="D37" s="6">
        <v>543</v>
      </c>
      <c r="E37" s="6">
        <v>708</v>
      </c>
      <c r="F37" s="6">
        <v>907</v>
      </c>
      <c r="I37" s="61">
        <v>5000</v>
      </c>
      <c r="J37" s="6">
        <v>333</v>
      </c>
      <c r="K37" s="6">
        <v>367</v>
      </c>
      <c r="L37" s="6">
        <v>400</v>
      </c>
      <c r="M37" s="6">
        <v>434</v>
      </c>
    </row>
    <row r="38" spans="2:13" x14ac:dyDescent="0.15">
      <c r="B38" s="61">
        <v>6000</v>
      </c>
      <c r="C38" s="6">
        <v>450</v>
      </c>
      <c r="D38" s="6">
        <v>600</v>
      </c>
      <c r="E38" s="6">
        <v>783</v>
      </c>
      <c r="F38" s="6">
        <v>1005</v>
      </c>
      <c r="I38" s="61">
        <v>6000</v>
      </c>
      <c r="J38" s="6">
        <v>346</v>
      </c>
      <c r="K38" s="6">
        <v>381</v>
      </c>
      <c r="L38" s="6">
        <v>416</v>
      </c>
      <c r="M38" s="6">
        <v>451</v>
      </c>
    </row>
    <row r="39" spans="2:13" x14ac:dyDescent="0.15">
      <c r="B39" s="61">
        <v>7000</v>
      </c>
      <c r="C39" s="6">
        <v>498</v>
      </c>
      <c r="D39" s="6">
        <v>664</v>
      </c>
      <c r="E39" s="6">
        <v>867</v>
      </c>
      <c r="F39" s="6">
        <v>1114</v>
      </c>
      <c r="I39" s="61">
        <v>7000</v>
      </c>
      <c r="J39" s="6">
        <v>359</v>
      </c>
      <c r="K39" s="6">
        <v>396</v>
      </c>
      <c r="L39" s="6">
        <v>432</v>
      </c>
      <c r="M39" s="6">
        <v>468</v>
      </c>
    </row>
    <row r="40" spans="2:13" x14ac:dyDescent="0.15">
      <c r="B40" s="61">
        <v>8000</v>
      </c>
      <c r="C40" s="6">
        <v>551</v>
      </c>
      <c r="D40" s="6">
        <v>735</v>
      </c>
      <c r="E40" s="6">
        <v>962</v>
      </c>
      <c r="F40" s="6">
        <v>1236</v>
      </c>
      <c r="I40" s="61">
        <v>8000</v>
      </c>
      <c r="J40" s="6">
        <v>373</v>
      </c>
      <c r="K40" s="6">
        <v>411</v>
      </c>
      <c r="L40" s="6">
        <v>449</v>
      </c>
      <c r="M40" s="6">
        <v>486</v>
      </c>
    </row>
    <row r="41" spans="2:13" x14ac:dyDescent="0.15">
      <c r="B41" s="61">
        <v>9000</v>
      </c>
      <c r="C41" s="6">
        <v>610</v>
      </c>
      <c r="D41" s="6">
        <v>815</v>
      </c>
      <c r="E41" s="6">
        <v>1068</v>
      </c>
      <c r="F41" s="6">
        <v>1374</v>
      </c>
      <c r="I41" s="61">
        <v>9000</v>
      </c>
      <c r="J41" s="6">
        <v>388</v>
      </c>
      <c r="K41" s="6">
        <v>427</v>
      </c>
      <c r="L41" s="6">
        <v>466</v>
      </c>
      <c r="M41" s="6">
        <v>505</v>
      </c>
    </row>
    <row r="42" spans="2:13" x14ac:dyDescent="0.15">
      <c r="B42" s="61">
        <v>10000</v>
      </c>
      <c r="C42" s="6">
        <v>676</v>
      </c>
      <c r="D42" s="6">
        <v>905</v>
      </c>
      <c r="E42" s="6">
        <v>1186</v>
      </c>
      <c r="F42" s="6">
        <v>1529</v>
      </c>
      <c r="I42" s="61">
        <v>10000</v>
      </c>
      <c r="J42" s="6">
        <v>403</v>
      </c>
      <c r="K42" s="6">
        <v>444</v>
      </c>
      <c r="L42" s="6">
        <v>484</v>
      </c>
      <c r="M42" s="6">
        <v>525</v>
      </c>
    </row>
    <row r="44" spans="2:13" x14ac:dyDescent="0.15">
      <c r="B44" s="143" t="s">
        <v>88</v>
      </c>
      <c r="C44" s="143"/>
      <c r="D44" s="143"/>
      <c r="E44" s="143"/>
      <c r="F44" s="143"/>
      <c r="I44" s="62" t="s">
        <v>92</v>
      </c>
      <c r="J44" s="62"/>
      <c r="K44" s="62"/>
      <c r="L44" s="62"/>
      <c r="M44" s="62"/>
    </row>
    <row r="45" spans="2:13" x14ac:dyDescent="0.15">
      <c r="B45" s="6" t="s">
        <v>93</v>
      </c>
      <c r="C45" s="6">
        <v>-25</v>
      </c>
      <c r="D45" s="6">
        <v>0</v>
      </c>
      <c r="E45" s="6">
        <v>25</v>
      </c>
      <c r="F45" s="6">
        <v>50</v>
      </c>
      <c r="I45" s="6" t="s">
        <v>93</v>
      </c>
      <c r="J45" s="6">
        <v>-25</v>
      </c>
      <c r="K45" s="6">
        <v>0</v>
      </c>
      <c r="L45" s="6">
        <v>25</v>
      </c>
      <c r="M45" s="6">
        <v>50</v>
      </c>
    </row>
    <row r="46" spans="2:13" x14ac:dyDescent="0.15">
      <c r="B46" s="6">
        <v>0</v>
      </c>
      <c r="C46" s="6">
        <v>1116</v>
      </c>
      <c r="D46" s="6">
        <v>879</v>
      </c>
      <c r="E46" s="6">
        <v>668</v>
      </c>
      <c r="F46" s="6">
        <v>478</v>
      </c>
      <c r="I46" s="61">
        <v>0</v>
      </c>
      <c r="J46" s="6">
        <v>617</v>
      </c>
      <c r="K46" s="6">
        <v>489</v>
      </c>
      <c r="L46" s="6">
        <v>374</v>
      </c>
      <c r="M46" s="6">
        <v>271</v>
      </c>
    </row>
    <row r="47" spans="2:13" x14ac:dyDescent="0.15">
      <c r="B47" s="6">
        <v>2000</v>
      </c>
      <c r="C47" s="6">
        <v>936</v>
      </c>
      <c r="D47" s="6">
        <v>704</v>
      </c>
      <c r="E47" s="6">
        <v>496</v>
      </c>
      <c r="F47" s="6">
        <v>309</v>
      </c>
      <c r="I47" s="61">
        <v>1000</v>
      </c>
      <c r="J47" s="6">
        <v>568</v>
      </c>
      <c r="K47" s="6">
        <v>441</v>
      </c>
      <c r="L47" s="6">
        <v>328</v>
      </c>
      <c r="M47" s="6">
        <v>225</v>
      </c>
    </row>
    <row r="48" spans="2:13" x14ac:dyDescent="0.15">
      <c r="B48" s="6">
        <v>4000</v>
      </c>
      <c r="C48" s="6">
        <v>757</v>
      </c>
      <c r="D48" s="6">
        <v>529</v>
      </c>
      <c r="E48" s="6">
        <v>325</v>
      </c>
      <c r="F48" s="6">
        <v>141</v>
      </c>
      <c r="I48" s="61">
        <v>2000</v>
      </c>
      <c r="J48" s="6">
        <v>519</v>
      </c>
      <c r="K48" s="6">
        <v>393</v>
      </c>
      <c r="L48" s="6">
        <v>281</v>
      </c>
      <c r="M48" s="6">
        <v>180</v>
      </c>
    </row>
    <row r="49" spans="2:14" x14ac:dyDescent="0.15">
      <c r="B49" s="6">
        <v>6000</v>
      </c>
      <c r="C49" s="6">
        <v>578</v>
      </c>
      <c r="D49" s="6">
        <v>354</v>
      </c>
      <c r="E49" s="6">
        <v>154</v>
      </c>
      <c r="F49" s="6">
        <v>-27</v>
      </c>
      <c r="I49" s="61">
        <v>3000</v>
      </c>
      <c r="J49" s="6">
        <v>471</v>
      </c>
      <c r="K49" s="6">
        <v>346</v>
      </c>
      <c r="L49" s="6">
        <v>234</v>
      </c>
      <c r="M49" s="6">
        <v>134</v>
      </c>
    </row>
    <row r="50" spans="2:14" x14ac:dyDescent="0.15">
      <c r="B50" s="6">
        <v>8000</v>
      </c>
      <c r="C50" s="6">
        <v>400</v>
      </c>
      <c r="D50" s="6">
        <v>180</v>
      </c>
      <c r="E50" s="6">
        <v>-17</v>
      </c>
      <c r="F50" s="6">
        <v>-194</v>
      </c>
      <c r="I50" s="61">
        <v>4000</v>
      </c>
      <c r="J50" s="6">
        <v>422</v>
      </c>
      <c r="K50" s="6">
        <v>299</v>
      </c>
      <c r="L50" s="6">
        <v>188</v>
      </c>
      <c r="M50" s="6">
        <v>88</v>
      </c>
    </row>
    <row r="51" spans="2:14" x14ac:dyDescent="0.15">
      <c r="B51" s="6">
        <v>10000</v>
      </c>
      <c r="C51" s="6">
        <v>223</v>
      </c>
      <c r="D51" s="6">
        <v>7</v>
      </c>
      <c r="E51" s="6">
        <v>-187</v>
      </c>
      <c r="F51" s="6">
        <v>-361</v>
      </c>
      <c r="I51" s="61">
        <v>5000</v>
      </c>
      <c r="J51" s="6">
        <v>374</v>
      </c>
      <c r="K51" s="6">
        <v>251</v>
      </c>
      <c r="L51" s="6">
        <v>142</v>
      </c>
      <c r="M51" s="6">
        <v>43</v>
      </c>
    </row>
    <row r="52" spans="2:14" x14ac:dyDescent="0.15">
      <c r="B52" s="6">
        <v>12000</v>
      </c>
      <c r="C52" s="6">
        <v>46</v>
      </c>
      <c r="D52" s="6">
        <v>-166</v>
      </c>
      <c r="E52" s="6">
        <v>-356</v>
      </c>
      <c r="F52" s="6">
        <v>-527</v>
      </c>
      <c r="I52" s="61">
        <v>6000</v>
      </c>
      <c r="J52" s="6">
        <v>326</v>
      </c>
      <c r="K52" s="6">
        <v>204</v>
      </c>
      <c r="L52" s="6">
        <v>95</v>
      </c>
      <c r="M52" s="6">
        <v>-3</v>
      </c>
    </row>
    <row r="53" spans="2:14" x14ac:dyDescent="0.15">
      <c r="B53" s="6">
        <v>14000</v>
      </c>
      <c r="C53" s="6">
        <v>-130</v>
      </c>
      <c r="D53" s="6">
        <v>-338</v>
      </c>
      <c r="E53" s="6">
        <v>-525</v>
      </c>
      <c r="F53" s="6">
        <v>-693</v>
      </c>
      <c r="I53" s="61">
        <v>7000</v>
      </c>
      <c r="J53" s="6">
        <v>277</v>
      </c>
      <c r="K53" s="6">
        <v>157</v>
      </c>
      <c r="L53" s="6">
        <v>49</v>
      </c>
      <c r="M53" s="6">
        <v>-48</v>
      </c>
    </row>
    <row r="55" spans="2:14" x14ac:dyDescent="0.15">
      <c r="I55" s="63"/>
      <c r="J55" s="63"/>
      <c r="K55" s="63" t="s">
        <v>94</v>
      </c>
      <c r="L55" s="63"/>
      <c r="M55" s="63"/>
      <c r="N55" s="63"/>
    </row>
    <row r="57" spans="2:14" x14ac:dyDescent="0.15">
      <c r="I57" s="62" t="s">
        <v>88</v>
      </c>
      <c r="J57" s="62"/>
      <c r="K57" s="62"/>
      <c r="L57" s="62"/>
      <c r="M57" s="62"/>
    </row>
    <row r="58" spans="2:14" x14ac:dyDescent="0.15">
      <c r="I58" s="6" t="s">
        <v>25</v>
      </c>
      <c r="J58" s="6">
        <v>-25</v>
      </c>
      <c r="K58" s="6">
        <v>0</v>
      </c>
      <c r="L58" s="6">
        <v>25</v>
      </c>
      <c r="M58" s="6">
        <v>50</v>
      </c>
    </row>
    <row r="59" spans="2:14" x14ac:dyDescent="0.15">
      <c r="I59" s="61">
        <v>0</v>
      </c>
      <c r="J59" s="6">
        <v>1240</v>
      </c>
      <c r="K59" s="6">
        <v>1003</v>
      </c>
      <c r="L59" s="6">
        <v>792</v>
      </c>
      <c r="M59" s="6">
        <v>602</v>
      </c>
    </row>
    <row r="60" spans="2:14" x14ac:dyDescent="0.15">
      <c r="I60" s="61">
        <v>2000</v>
      </c>
      <c r="J60" s="6">
        <v>1060</v>
      </c>
      <c r="K60" s="6">
        <v>828</v>
      </c>
      <c r="L60" s="6">
        <v>620</v>
      </c>
      <c r="M60" s="6">
        <v>433</v>
      </c>
    </row>
    <row r="61" spans="2:14" x14ac:dyDescent="0.15">
      <c r="I61" s="61">
        <v>4000</v>
      </c>
      <c r="J61" s="6">
        <v>881</v>
      </c>
      <c r="K61" s="6">
        <v>653</v>
      </c>
      <c r="L61" s="6">
        <v>449</v>
      </c>
      <c r="M61" s="6">
        <v>265</v>
      </c>
    </row>
    <row r="62" spans="2:14" x14ac:dyDescent="0.15">
      <c r="I62" s="61">
        <v>6000</v>
      </c>
      <c r="J62" s="6">
        <v>702</v>
      </c>
      <c r="K62" s="6">
        <v>478</v>
      </c>
      <c r="L62" s="6">
        <v>278</v>
      </c>
      <c r="M62" s="6">
        <v>97</v>
      </c>
    </row>
    <row r="63" spans="2:14" x14ac:dyDescent="0.15">
      <c r="I63" s="61">
        <v>8000</v>
      </c>
      <c r="J63" s="6">
        <v>524</v>
      </c>
      <c r="K63" s="6">
        <v>304</v>
      </c>
      <c r="L63" s="6">
        <v>107</v>
      </c>
      <c r="M63" s="6">
        <v>-70</v>
      </c>
    </row>
    <row r="64" spans="2:14" x14ac:dyDescent="0.15">
      <c r="I64" s="61">
        <v>10000</v>
      </c>
      <c r="J64" s="6">
        <v>347</v>
      </c>
      <c r="K64" s="6">
        <v>131</v>
      </c>
      <c r="L64" s="6">
        <v>-63</v>
      </c>
      <c r="M64" s="6">
        <v>-237</v>
      </c>
    </row>
    <row r="65" spans="9:13" x14ac:dyDescent="0.15">
      <c r="I65" s="61">
        <v>12000</v>
      </c>
      <c r="J65" s="6">
        <v>170</v>
      </c>
      <c r="K65" s="6">
        <v>-42</v>
      </c>
      <c r="L65" s="6">
        <v>-232</v>
      </c>
      <c r="M65" s="6">
        <v>-403</v>
      </c>
    </row>
    <row r="66" spans="9:13" x14ac:dyDescent="0.15">
      <c r="I66" s="61">
        <v>14000</v>
      </c>
      <c r="J66" s="6">
        <v>-6</v>
      </c>
      <c r="K66" s="6">
        <v>-214</v>
      </c>
      <c r="L66" s="6">
        <v>-401</v>
      </c>
      <c r="M66" s="6">
        <v>-569</v>
      </c>
    </row>
  </sheetData>
  <mergeCells count="3">
    <mergeCell ref="B16:F16"/>
    <mergeCell ref="B30:F30"/>
    <mergeCell ref="B44:F44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3"/>
  <sheetViews>
    <sheetView zoomScale="120" zoomScaleNormal="120" workbookViewId="0">
      <selection activeCell="E25" sqref="E25"/>
    </sheetView>
  </sheetViews>
  <sheetFormatPr baseColWidth="10" defaultColWidth="8.6640625" defaultRowHeight="13" x14ac:dyDescent="0.15"/>
  <cols>
    <col min="1" max="8" width="12.1640625" customWidth="1"/>
    <col min="9" max="9" width="12.5" customWidth="1"/>
  </cols>
  <sheetData>
    <row r="2" spans="2:8" x14ac:dyDescent="0.15">
      <c r="F2" t="s">
        <v>41</v>
      </c>
      <c r="G2" s="3">
        <f>Performance!J7</f>
        <v>1018</v>
      </c>
      <c r="H2" t="s">
        <v>73</v>
      </c>
    </row>
    <row r="3" spans="2:8" x14ac:dyDescent="0.15">
      <c r="B3" t="s">
        <v>74</v>
      </c>
      <c r="C3" s="64">
        <f>Performance!F29</f>
        <v>8.6602540378443855</v>
      </c>
      <c r="D3">
        <f>IF(C3="","",C3*-5)</f>
        <v>-43.301270189221924</v>
      </c>
      <c r="E3" t="s">
        <v>75</v>
      </c>
      <c r="F3" t="s">
        <v>76</v>
      </c>
      <c r="G3" s="3">
        <f>VLOOKUP(Performance!B23,Aerodromos!A1:B40,2,FALSE())</f>
        <v>807</v>
      </c>
      <c r="H3" t="s">
        <v>77</v>
      </c>
    </row>
    <row r="4" spans="2:8" x14ac:dyDescent="0.15">
      <c r="B4" t="s">
        <v>78</v>
      </c>
      <c r="C4" s="59"/>
      <c r="D4" t="str">
        <f>IF(C4="","",C4*10)</f>
        <v/>
      </c>
      <c r="E4" t="s">
        <v>75</v>
      </c>
      <c r="F4" t="s">
        <v>79</v>
      </c>
      <c r="G4" s="3">
        <f>Performance!H7</f>
        <v>23</v>
      </c>
      <c r="H4" t="s">
        <v>80</v>
      </c>
    </row>
    <row r="5" spans="2:8" x14ac:dyDescent="0.15">
      <c r="B5" t="s">
        <v>81</v>
      </c>
      <c r="C5" s="59" t="s">
        <v>82</v>
      </c>
      <c r="D5" s="58">
        <f>IF(C5="","",G11*-0.02)</f>
        <v>-3.4264403781818182</v>
      </c>
      <c r="E5" t="s">
        <v>75</v>
      </c>
      <c r="F5" t="s">
        <v>83</v>
      </c>
      <c r="G5">
        <f>IF(G3="","",G3+(1013-G2)*27)</f>
        <v>672</v>
      </c>
      <c r="H5" t="s">
        <v>77</v>
      </c>
    </row>
    <row r="6" spans="2:8" x14ac:dyDescent="0.15">
      <c r="B6" t="s">
        <v>86</v>
      </c>
      <c r="C6" s="59">
        <v>0</v>
      </c>
      <c r="D6" s="58">
        <f>IF(C6="","",C6*G11*0.025)</f>
        <v>0</v>
      </c>
      <c r="E6" t="s">
        <v>75</v>
      </c>
      <c r="F6" t="s">
        <v>90</v>
      </c>
      <c r="G6" s="58">
        <f>G11+SUM(D3:D6)</f>
        <v>124.59430834168717</v>
      </c>
      <c r="H6" t="s">
        <v>75</v>
      </c>
    </row>
    <row r="7" spans="2:8" x14ac:dyDescent="0.15">
      <c r="F7" t="s">
        <v>91</v>
      </c>
      <c r="G7" s="58">
        <f>G12+SUM(D3:D6)</f>
        <v>289.34990397805075</v>
      </c>
      <c r="H7" t="s">
        <v>75</v>
      </c>
    </row>
    <row r="8" spans="2:8" x14ac:dyDescent="0.15">
      <c r="F8" t="s">
        <v>84</v>
      </c>
      <c r="G8" s="58">
        <f>G13</f>
        <v>351.87877333333336</v>
      </c>
      <c r="H8" t="s">
        <v>85</v>
      </c>
    </row>
    <row r="10" spans="2:8" x14ac:dyDescent="0.15">
      <c r="B10" s="6"/>
      <c r="C10" s="6">
        <v>-25</v>
      </c>
      <c r="D10" s="6">
        <v>0</v>
      </c>
      <c r="E10" s="60">
        <v>25</v>
      </c>
      <c r="F10" s="6">
        <v>50</v>
      </c>
      <c r="G10" s="6">
        <f>G4</f>
        <v>23</v>
      </c>
    </row>
    <row r="11" spans="2:8" x14ac:dyDescent="0.15">
      <c r="B11" s="61" t="s">
        <v>56</v>
      </c>
      <c r="C11" s="125">
        <f>_xlfn.FORECAST.LINEAR($G$5,C18:C28,B18:B28)</f>
        <v>143.4826181818182</v>
      </c>
      <c r="D11" s="125">
        <f>_xlfn.FORECAST.LINEAR($G$5,D18:D28,B18:B28)</f>
        <v>157.68909090909091</v>
      </c>
      <c r="E11" s="125">
        <f>_xlfn.FORECAST.LINEAR($G$5,E18:E28,B18:B28)</f>
        <v>172.5074909090909</v>
      </c>
      <c r="F11" s="125">
        <f>_xlfn.FORECAST.LINEAR($G$5,F18:F28,B18:B28)</f>
        <v>187.02603636363634</v>
      </c>
      <c r="G11" s="125">
        <f>FORECAST($G$4, INDEX(C11:F11,MATCH($G$4,$C$10:$F$10,1)):INDEX(C11:F11,MATCH($G$4,$C$10:$F$10,1)+1), INDEX($C$10:$F$10,MATCH($G$4,$C$10:$F$10,1)):INDEX($C$10:$F$10,MATCH($G$4,$C$10:$F$10,1)+1))</f>
        <v>171.3220189090909</v>
      </c>
    </row>
    <row r="12" spans="2:8" x14ac:dyDescent="0.15">
      <c r="B12" s="61" t="s">
        <v>57</v>
      </c>
      <c r="C12" s="125">
        <f>_xlfn.FORECAST.LINEAR($G$5,C32:C42,$B$32:$B$42)</f>
        <v>281.61236363636363</v>
      </c>
      <c r="D12" s="125">
        <f t="shared" ref="D12:F12" si="0">_xlfn.FORECAST.LINEAR($G$5,D32:D42,$B$32:$B$42)</f>
        <v>310.11621818181817</v>
      </c>
      <c r="E12" s="125">
        <f t="shared" si="0"/>
        <v>338.33512727272728</v>
      </c>
      <c r="F12" s="125">
        <f t="shared" si="0"/>
        <v>366.68429090909098</v>
      </c>
      <c r="G12" s="125">
        <f>FORECAST($G$4, INDEX(C12:F12,MATCH($G$4,$C$10:$F$10,1)):INDEX(C12:F12,MATCH($G$4,$C$10:$F$10,1)+1), INDEX($C$10:$F$10,MATCH($G$4,$C$10:$F$10,1)):INDEX($C$10:$F$10,MATCH($G$4,$C$10:$F$10,1)+1))</f>
        <v>336.07761454545448</v>
      </c>
    </row>
    <row r="13" spans="2:8" x14ac:dyDescent="0.15">
      <c r="B13" s="61" t="s">
        <v>84</v>
      </c>
      <c r="C13" s="125">
        <f>_xlfn.FORECAST.LINEAR($G$5,C46:C53,$B$46:$B$53)</f>
        <v>583.90800000000002</v>
      </c>
      <c r="D13" s="125">
        <f t="shared" ref="D13:F13" si="1">_xlfn.FORECAST.LINEAR($G$5,D46:D53,$B$46:$B$53)</f>
        <v>456.56066666666669</v>
      </c>
      <c r="E13" s="125">
        <f t="shared" si="1"/>
        <v>342.77600000000001</v>
      </c>
      <c r="F13" s="125">
        <f t="shared" si="1"/>
        <v>240.19333333333338</v>
      </c>
      <c r="G13" s="125">
        <f>FORECAST($G$4, INDEX(C13:F13,MATCH($G$4,$C$10:$F$10,1)):INDEX(C13:F13,MATCH($G$4,$C$10:$F$10,1)+1), INDEX($C$10:$F$10,MATCH($G$4,$C$10:$F$10,1)):INDEX($C$10:$F$10,MATCH($G$4,$C$10:$F$10,1)+1))</f>
        <v>351.87877333333336</v>
      </c>
    </row>
    <row r="16" spans="2:8" x14ac:dyDescent="0.15">
      <c r="B16" s="144" t="s">
        <v>90</v>
      </c>
      <c r="C16" s="145"/>
      <c r="D16" s="145"/>
      <c r="E16" s="145"/>
      <c r="F16" s="146"/>
    </row>
    <row r="17" spans="2:6" x14ac:dyDescent="0.15">
      <c r="B17" s="6" t="s">
        <v>25</v>
      </c>
      <c r="C17" s="6">
        <v>-25</v>
      </c>
      <c r="D17" s="6">
        <v>0</v>
      </c>
      <c r="E17" s="6">
        <v>25</v>
      </c>
      <c r="F17" s="6">
        <v>50</v>
      </c>
    </row>
    <row r="18" spans="2:6" x14ac:dyDescent="0.15">
      <c r="B18" s="61">
        <v>0</v>
      </c>
      <c r="C18" s="6">
        <v>141</v>
      </c>
      <c r="D18" s="6">
        <v>155</v>
      </c>
      <c r="E18" s="6">
        <v>170</v>
      </c>
      <c r="F18" s="6">
        <v>184</v>
      </c>
    </row>
    <row r="19" spans="2:6" x14ac:dyDescent="0.15">
      <c r="B19" s="61">
        <v>1000</v>
      </c>
      <c r="C19" s="6">
        <v>146</v>
      </c>
      <c r="D19" s="6">
        <v>161</v>
      </c>
      <c r="E19" s="6">
        <v>176</v>
      </c>
      <c r="F19" s="6">
        <v>191</v>
      </c>
    </row>
    <row r="20" spans="2:6" x14ac:dyDescent="0.15">
      <c r="B20" s="61">
        <v>2000</v>
      </c>
      <c r="C20" s="6">
        <v>152</v>
      </c>
      <c r="D20" s="6">
        <v>167</v>
      </c>
      <c r="E20" s="6">
        <v>183</v>
      </c>
      <c r="F20" s="6">
        <v>198</v>
      </c>
    </row>
    <row r="21" spans="2:6" x14ac:dyDescent="0.15">
      <c r="B21" s="61">
        <v>3000</v>
      </c>
      <c r="C21" s="6">
        <v>158</v>
      </c>
      <c r="D21" s="6">
        <v>173</v>
      </c>
      <c r="E21" s="6">
        <v>189</v>
      </c>
      <c r="F21" s="6">
        <v>205</v>
      </c>
    </row>
    <row r="22" spans="2:6" x14ac:dyDescent="0.15">
      <c r="B22" s="61">
        <v>4000</v>
      </c>
      <c r="C22" s="6">
        <v>164</v>
      </c>
      <c r="D22" s="6">
        <v>180</v>
      </c>
      <c r="E22" s="6">
        <v>196</v>
      </c>
      <c r="F22" s="6">
        <v>213</v>
      </c>
    </row>
    <row r="23" spans="2:6" x14ac:dyDescent="0.15">
      <c r="B23" s="61">
        <v>5000</v>
      </c>
      <c r="C23" s="6">
        <v>170</v>
      </c>
      <c r="D23" s="6">
        <v>187</v>
      </c>
      <c r="E23" s="6">
        <v>204</v>
      </c>
      <c r="F23" s="6">
        <v>221</v>
      </c>
    </row>
    <row r="24" spans="2:6" x14ac:dyDescent="0.15">
      <c r="B24" s="61">
        <v>6000</v>
      </c>
      <c r="C24" s="6">
        <v>176</v>
      </c>
      <c r="D24" s="6">
        <v>194</v>
      </c>
      <c r="E24" s="6">
        <v>212</v>
      </c>
      <c r="F24" s="6">
        <v>230</v>
      </c>
    </row>
    <row r="25" spans="2:6" x14ac:dyDescent="0.15">
      <c r="B25" s="61">
        <v>7000</v>
      </c>
      <c r="C25" s="6">
        <v>183</v>
      </c>
      <c r="D25" s="6">
        <v>201</v>
      </c>
      <c r="E25" s="6">
        <v>220</v>
      </c>
      <c r="F25" s="6">
        <v>238</v>
      </c>
    </row>
    <row r="26" spans="2:6" x14ac:dyDescent="0.15">
      <c r="B26" s="61">
        <v>8000</v>
      </c>
      <c r="C26" s="6">
        <v>190</v>
      </c>
      <c r="D26" s="6">
        <v>209</v>
      </c>
      <c r="E26" s="6">
        <v>228</v>
      </c>
      <c r="F26" s="6">
        <v>248</v>
      </c>
    </row>
    <row r="27" spans="2:6" x14ac:dyDescent="0.15">
      <c r="B27" s="61">
        <v>9000</v>
      </c>
      <c r="C27" s="6">
        <v>198</v>
      </c>
      <c r="D27" s="6">
        <v>217</v>
      </c>
      <c r="E27" s="6">
        <v>237</v>
      </c>
      <c r="F27" s="6">
        <v>257</v>
      </c>
    </row>
    <row r="28" spans="2:6" x14ac:dyDescent="0.15">
      <c r="B28" s="61">
        <v>10000</v>
      </c>
      <c r="C28" s="6">
        <v>205</v>
      </c>
      <c r="D28" s="6">
        <v>226</v>
      </c>
      <c r="E28" s="6">
        <v>247</v>
      </c>
      <c r="F28" s="6">
        <v>267</v>
      </c>
    </row>
    <row r="30" spans="2:6" x14ac:dyDescent="0.15">
      <c r="B30" s="143" t="s">
        <v>91</v>
      </c>
      <c r="C30" s="143"/>
      <c r="D30" s="143"/>
      <c r="E30" s="143"/>
      <c r="F30" s="143"/>
    </row>
    <row r="31" spans="2:6" x14ac:dyDescent="0.15">
      <c r="B31" s="6" t="s">
        <v>25</v>
      </c>
      <c r="C31" s="6">
        <v>-25</v>
      </c>
      <c r="D31" s="6">
        <v>0</v>
      </c>
      <c r="E31" s="6">
        <v>25</v>
      </c>
      <c r="F31" s="6">
        <v>50</v>
      </c>
    </row>
    <row r="32" spans="2:6" x14ac:dyDescent="0.15">
      <c r="B32" s="61">
        <v>0</v>
      </c>
      <c r="C32" s="6">
        <v>277</v>
      </c>
      <c r="D32" s="6">
        <v>305</v>
      </c>
      <c r="E32" s="6">
        <v>333</v>
      </c>
      <c r="F32" s="6">
        <v>361</v>
      </c>
    </row>
    <row r="33" spans="2:6" x14ac:dyDescent="0.15">
      <c r="B33" s="61">
        <v>1000</v>
      </c>
      <c r="C33" s="6">
        <v>288</v>
      </c>
      <c r="D33" s="6">
        <v>317</v>
      </c>
      <c r="E33" s="6">
        <v>345</v>
      </c>
      <c r="F33" s="6">
        <v>374</v>
      </c>
    </row>
    <row r="34" spans="2:6" x14ac:dyDescent="0.15">
      <c r="B34" s="61">
        <v>2000</v>
      </c>
      <c r="C34" s="6">
        <v>298</v>
      </c>
      <c r="D34" s="6">
        <v>328</v>
      </c>
      <c r="E34" s="6">
        <v>358</v>
      </c>
      <c r="F34" s="6">
        <v>388</v>
      </c>
    </row>
    <row r="35" spans="2:6" x14ac:dyDescent="0.15">
      <c r="B35" s="61">
        <v>3000</v>
      </c>
      <c r="C35" s="6">
        <v>309</v>
      </c>
      <c r="D35" s="6">
        <v>341</v>
      </c>
      <c r="E35" s="6">
        <v>372</v>
      </c>
      <c r="F35" s="6">
        <v>403</v>
      </c>
    </row>
    <row r="36" spans="2:6" x14ac:dyDescent="0.15">
      <c r="B36" s="61">
        <v>4000</v>
      </c>
      <c r="C36" s="6">
        <v>321</v>
      </c>
      <c r="D36" s="6">
        <v>353</v>
      </c>
      <c r="E36" s="6">
        <v>386</v>
      </c>
      <c r="F36" s="6">
        <v>418</v>
      </c>
    </row>
    <row r="37" spans="2:6" x14ac:dyDescent="0.15">
      <c r="B37" s="61">
        <v>5000</v>
      </c>
      <c r="C37" s="6">
        <v>333</v>
      </c>
      <c r="D37" s="6">
        <v>367</v>
      </c>
      <c r="E37" s="6">
        <v>400</v>
      </c>
      <c r="F37" s="6">
        <v>434</v>
      </c>
    </row>
    <row r="38" spans="2:6" x14ac:dyDescent="0.15">
      <c r="B38" s="61">
        <v>6000</v>
      </c>
      <c r="C38" s="6">
        <v>346</v>
      </c>
      <c r="D38" s="6">
        <v>381</v>
      </c>
      <c r="E38" s="6">
        <v>416</v>
      </c>
      <c r="F38" s="6">
        <v>451</v>
      </c>
    </row>
    <row r="39" spans="2:6" x14ac:dyDescent="0.15">
      <c r="B39" s="61">
        <v>7000</v>
      </c>
      <c r="C39" s="6">
        <v>359</v>
      </c>
      <c r="D39" s="6">
        <v>396</v>
      </c>
      <c r="E39" s="6">
        <v>432</v>
      </c>
      <c r="F39" s="6">
        <v>468</v>
      </c>
    </row>
    <row r="40" spans="2:6" x14ac:dyDescent="0.15">
      <c r="B40" s="61">
        <v>8000</v>
      </c>
      <c r="C40" s="6">
        <v>373</v>
      </c>
      <c r="D40" s="6">
        <v>411</v>
      </c>
      <c r="E40" s="6">
        <v>449</v>
      </c>
      <c r="F40" s="6">
        <v>486</v>
      </c>
    </row>
    <row r="41" spans="2:6" x14ac:dyDescent="0.15">
      <c r="B41" s="61">
        <v>9000</v>
      </c>
      <c r="C41" s="6">
        <v>388</v>
      </c>
      <c r="D41" s="6">
        <v>427</v>
      </c>
      <c r="E41" s="6">
        <v>466</v>
      </c>
      <c r="F41" s="6">
        <v>505</v>
      </c>
    </row>
    <row r="42" spans="2:6" x14ac:dyDescent="0.15">
      <c r="B42" s="61">
        <v>10000</v>
      </c>
      <c r="C42" s="6">
        <v>403</v>
      </c>
      <c r="D42" s="6">
        <v>444</v>
      </c>
      <c r="E42" s="6">
        <v>484</v>
      </c>
      <c r="F42" s="6">
        <v>525</v>
      </c>
    </row>
    <row r="44" spans="2:6" x14ac:dyDescent="0.15">
      <c r="B44" s="143" t="s">
        <v>92</v>
      </c>
      <c r="C44" s="143"/>
      <c r="D44" s="143"/>
      <c r="E44" s="143"/>
      <c r="F44" s="143"/>
    </row>
    <row r="45" spans="2:6" x14ac:dyDescent="0.15">
      <c r="B45" s="6" t="s">
        <v>93</v>
      </c>
      <c r="C45" s="6">
        <v>-25</v>
      </c>
      <c r="D45" s="6">
        <v>0</v>
      </c>
      <c r="E45" s="6">
        <v>25</v>
      </c>
      <c r="F45" s="6">
        <v>50</v>
      </c>
    </row>
    <row r="46" spans="2:6" x14ac:dyDescent="0.15">
      <c r="B46" s="61">
        <v>0</v>
      </c>
      <c r="C46" s="6">
        <v>617</v>
      </c>
      <c r="D46" s="6">
        <v>489</v>
      </c>
      <c r="E46" s="6">
        <v>374</v>
      </c>
      <c r="F46" s="6">
        <v>271</v>
      </c>
    </row>
    <row r="47" spans="2:6" x14ac:dyDescent="0.15">
      <c r="B47" s="61">
        <v>1000</v>
      </c>
      <c r="C47" s="6">
        <v>568</v>
      </c>
      <c r="D47" s="6">
        <v>441</v>
      </c>
      <c r="E47" s="6">
        <v>328</v>
      </c>
      <c r="F47" s="6">
        <v>225</v>
      </c>
    </row>
    <row r="48" spans="2:6" x14ac:dyDescent="0.15">
      <c r="B48" s="61">
        <v>2000</v>
      </c>
      <c r="C48" s="6">
        <v>519</v>
      </c>
      <c r="D48" s="6">
        <v>393</v>
      </c>
      <c r="E48" s="6">
        <v>281</v>
      </c>
      <c r="F48" s="6">
        <v>180</v>
      </c>
    </row>
    <row r="49" spans="2:6" x14ac:dyDescent="0.15">
      <c r="B49" s="61">
        <v>3000</v>
      </c>
      <c r="C49" s="6">
        <v>471</v>
      </c>
      <c r="D49" s="6">
        <v>346</v>
      </c>
      <c r="E49" s="6">
        <v>234</v>
      </c>
      <c r="F49" s="6">
        <v>134</v>
      </c>
    </row>
    <row r="50" spans="2:6" x14ac:dyDescent="0.15">
      <c r="B50" s="61">
        <v>4000</v>
      </c>
      <c r="C50" s="6">
        <v>422</v>
      </c>
      <c r="D50" s="6">
        <v>299</v>
      </c>
      <c r="E50" s="6">
        <v>188</v>
      </c>
      <c r="F50" s="6">
        <v>88</v>
      </c>
    </row>
    <row r="51" spans="2:6" x14ac:dyDescent="0.15">
      <c r="B51" s="61">
        <v>5000</v>
      </c>
      <c r="C51" s="6">
        <v>374</v>
      </c>
      <c r="D51" s="6">
        <v>251</v>
      </c>
      <c r="E51" s="6">
        <v>142</v>
      </c>
      <c r="F51" s="6">
        <v>43</v>
      </c>
    </row>
    <row r="52" spans="2:6" x14ac:dyDescent="0.15">
      <c r="B52" s="61">
        <v>6000</v>
      </c>
      <c r="C52" s="6">
        <v>326</v>
      </c>
      <c r="D52" s="6">
        <v>204</v>
      </c>
      <c r="E52" s="6">
        <v>95</v>
      </c>
      <c r="F52" s="6">
        <v>-3</v>
      </c>
    </row>
    <row r="53" spans="2:6" x14ac:dyDescent="0.15">
      <c r="B53" s="61">
        <v>7000</v>
      </c>
      <c r="C53" s="6">
        <v>277</v>
      </c>
      <c r="D53" s="6">
        <v>157</v>
      </c>
      <c r="E53" s="6">
        <v>49</v>
      </c>
      <c r="F53" s="6">
        <v>-48</v>
      </c>
    </row>
  </sheetData>
  <mergeCells count="3">
    <mergeCell ref="B16:F16"/>
    <mergeCell ref="B30:F30"/>
    <mergeCell ref="B44:F44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53"/>
  <sheetViews>
    <sheetView zoomScale="120" zoomScaleNormal="120" workbookViewId="0">
      <selection activeCell="G3" sqref="G3"/>
    </sheetView>
  </sheetViews>
  <sheetFormatPr baseColWidth="10" defaultColWidth="8.6640625" defaultRowHeight="13" x14ac:dyDescent="0.15"/>
  <cols>
    <col min="1" max="8" width="12.1640625" customWidth="1"/>
    <col min="9" max="9" width="12.5" customWidth="1"/>
    <col min="10" max="12" width="12.1640625" customWidth="1"/>
  </cols>
  <sheetData>
    <row r="1" spans="2:12" x14ac:dyDescent="0.15">
      <c r="F1" s="138" t="str">
        <f>Performance!B38</f>
        <v>LPSO</v>
      </c>
      <c r="G1" s="138"/>
      <c r="H1" s="138"/>
      <c r="J1" s="138" t="str">
        <f>Performance!C38</f>
        <v>LPBJ</v>
      </c>
      <c r="K1" s="138"/>
      <c r="L1" s="138"/>
    </row>
    <row r="2" spans="2:12" x14ac:dyDescent="0.15">
      <c r="C2">
        <v>0</v>
      </c>
      <c r="F2" t="s">
        <v>41</v>
      </c>
      <c r="G2" s="3">
        <f>Performance!J41</f>
        <v>1018</v>
      </c>
      <c r="H2" t="s">
        <v>73</v>
      </c>
      <c r="J2" t="s">
        <v>41</v>
      </c>
      <c r="K2" s="3">
        <f>Performance!J41</f>
        <v>1018</v>
      </c>
      <c r="L2" t="s">
        <v>73</v>
      </c>
    </row>
    <row r="3" spans="2:12" x14ac:dyDescent="0.15">
      <c r="B3" t="s">
        <v>74</v>
      </c>
      <c r="C3" s="64">
        <f>Performance!F44</f>
        <v>9.3969262078590852</v>
      </c>
      <c r="D3">
        <f>IF(C3="","",C3*-5)</f>
        <v>-46.984631039295422</v>
      </c>
      <c r="E3" t="s">
        <v>75</v>
      </c>
      <c r="F3" t="s">
        <v>76</v>
      </c>
      <c r="G3" s="3">
        <f>VLOOKUP(F1,Aerodromos!A1:B40,2,FALSE())</f>
        <v>390</v>
      </c>
      <c r="H3" t="s">
        <v>77</v>
      </c>
      <c r="J3" t="s">
        <v>95</v>
      </c>
      <c r="K3" s="3">
        <f>VLOOKUP(J1,Aerodromos!A1:B40,2,FALSE())</f>
        <v>636</v>
      </c>
      <c r="L3" t="s">
        <v>77</v>
      </c>
    </row>
    <row r="4" spans="2:12" x14ac:dyDescent="0.15">
      <c r="B4" t="s">
        <v>78</v>
      </c>
      <c r="C4" s="59"/>
      <c r="D4" t="str">
        <f>IF(C4="","",C4*10)</f>
        <v/>
      </c>
      <c r="E4" t="s">
        <v>75</v>
      </c>
      <c r="F4" t="s">
        <v>79</v>
      </c>
      <c r="G4" s="3">
        <f>Performance!H41</f>
        <v>23</v>
      </c>
      <c r="H4" t="s">
        <v>80</v>
      </c>
      <c r="J4" t="s">
        <v>79</v>
      </c>
      <c r="K4" s="3">
        <f>G4</f>
        <v>23</v>
      </c>
      <c r="L4" t="s">
        <v>80</v>
      </c>
    </row>
    <row r="5" spans="2:12" x14ac:dyDescent="0.15">
      <c r="B5" t="s">
        <v>81</v>
      </c>
      <c r="C5" s="59" t="s">
        <v>82</v>
      </c>
      <c r="D5" s="58">
        <f>IF(C5="","",G11*-0.02)</f>
        <v>-3.4066000000000005</v>
      </c>
      <c r="E5" t="s">
        <v>75</v>
      </c>
      <c r="F5" t="s">
        <v>83</v>
      </c>
      <c r="G5">
        <f>IF(G3="","",G3+(1013-G2)*27)</f>
        <v>255</v>
      </c>
      <c r="H5" t="s">
        <v>77</v>
      </c>
      <c r="J5" t="s">
        <v>83</v>
      </c>
      <c r="K5">
        <f>IF(K3="","",K3+(1013-K2)*27)</f>
        <v>501</v>
      </c>
      <c r="L5" t="s">
        <v>77</v>
      </c>
    </row>
    <row r="6" spans="2:12" x14ac:dyDescent="0.15">
      <c r="B6" t="s">
        <v>86</v>
      </c>
      <c r="C6" s="59">
        <v>0</v>
      </c>
      <c r="D6" s="58">
        <f>IF(C6="","",C6*G11*0.025)</f>
        <v>0</v>
      </c>
      <c r="E6" t="s">
        <v>75</v>
      </c>
      <c r="F6" t="s">
        <v>90</v>
      </c>
      <c r="G6" s="58">
        <f>G11+SUM(D3:D6)</f>
        <v>119.93876896070459</v>
      </c>
      <c r="H6" t="s">
        <v>75</v>
      </c>
      <c r="J6" t="s">
        <v>90</v>
      </c>
      <c r="K6" s="58">
        <f>G11+SUM(D3:D6)</f>
        <v>119.93876896070459</v>
      </c>
      <c r="L6" t="s">
        <v>75</v>
      </c>
    </row>
    <row r="7" spans="2:12" x14ac:dyDescent="0.15">
      <c r="F7" t="s">
        <v>91</v>
      </c>
      <c r="G7" s="58">
        <f>G12+SUM(D3:D6)</f>
        <v>283.42876896070459</v>
      </c>
      <c r="H7" t="s">
        <v>75</v>
      </c>
      <c r="J7" t="s">
        <v>91</v>
      </c>
      <c r="K7" s="58">
        <f>G11+SUM(D3:D6)</f>
        <v>119.93876896070459</v>
      </c>
      <c r="L7" t="s">
        <v>75</v>
      </c>
    </row>
    <row r="8" spans="2:12" x14ac:dyDescent="0.15">
      <c r="F8" t="s">
        <v>84</v>
      </c>
      <c r="G8" s="58">
        <f>G13</f>
        <v>371.42919999999998</v>
      </c>
      <c r="H8" t="s">
        <v>85</v>
      </c>
      <c r="J8" t="s">
        <v>84</v>
      </c>
      <c r="K8" s="58">
        <f>G13</f>
        <v>371.42919999999998</v>
      </c>
      <c r="L8" t="s">
        <v>85</v>
      </c>
    </row>
    <row r="10" spans="2:12" x14ac:dyDescent="0.15">
      <c r="B10" s="6"/>
      <c r="C10" s="6">
        <v>-25</v>
      </c>
      <c r="D10" s="6">
        <v>0</v>
      </c>
      <c r="E10" s="60">
        <v>25</v>
      </c>
      <c r="F10" s="6">
        <v>50</v>
      </c>
      <c r="G10" s="6">
        <f>G4</f>
        <v>23</v>
      </c>
    </row>
    <row r="11" spans="2:12" x14ac:dyDescent="0.15">
      <c r="B11" s="61" t="s">
        <v>56</v>
      </c>
      <c r="C11" s="6">
        <f>FORECAST($G$5, INDEX(C18:C28,MATCH($G$5,$B$18:$B$28,1)):INDEX(C18:C28,MATCH($G$5,$B$18:$B$28,1)+1), INDEX($B$18:$B$28,MATCH($G$5,$B$18:$B$28,1)):INDEX($B$18:$B$28,MATCH($G$5,$B$18:$B$28,1)+1))</f>
        <v>142.27500000000001</v>
      </c>
      <c r="D11" s="6">
        <f>FORECAST($G$5, INDEX(D18:D28,MATCH($G$5,$B$18:$B$28,1)):INDEX(D18:D28,MATCH($G$5,$B$18:$B$28,1)+1), INDEX($B$18:$B$28,MATCH($G$5,$B$18:$B$28,1)):INDEX($B$18:$B$28,MATCH($G$5,$B$18:$B$28,1)+1))</f>
        <v>156.53</v>
      </c>
      <c r="E11" s="60">
        <f>FORECAST($G$5, INDEX(E18:E28,MATCH($G$5,$B$18:$B$28,1)):INDEX(E18:E28,MATCH($G$5,$B$18:$B$28,1)+1), INDEX($B$18:$B$28,MATCH($G$5,$B$18:$B$28,1)):INDEX($B$18:$B$28,MATCH($G$5,$B$18:$B$28,1)+1))</f>
        <v>171.53</v>
      </c>
      <c r="F11" s="6">
        <f>FORECAST($G$5, INDEX(F18:F28,MATCH($G$5,$B$18:$B$28,1)):INDEX(F18:F28,MATCH($G$5,$B$18:$B$28,1)+1), INDEX($B$18:$B$28,MATCH($G$5,$B$18:$B$28,1)):INDEX($B$18:$B$28,MATCH($G$5,$B$18:$B$28,1)+1))</f>
        <v>185.785</v>
      </c>
      <c r="G11" s="6">
        <f>FORECAST($G$4, INDEX(C11:F11,MATCH($G$4,$C$10:$F$10,1)):INDEX(C11:F11,MATCH($G$4,$C$10:$F$10,1)+1), INDEX($C$10:$F$10,MATCH($G$4,$C$10:$F$10,1)):INDEX($C$10:$F$10,MATCH($G$4,$C$10:$F$10,1)+1))</f>
        <v>170.33</v>
      </c>
    </row>
    <row r="12" spans="2:12" x14ac:dyDescent="0.15">
      <c r="B12" s="61" t="s">
        <v>57</v>
      </c>
      <c r="C12" s="6">
        <f>FORECAST($G$5, INDEX(C32:C42,MATCH($G$5,$B$32:$B$42,1)):INDEX(C32:C42,MATCH($G$5,$B$32:$B$42,1)+1), INDEX($B$32:$B$42,MATCH($G$5,$B$32:$B$42,1)):INDEX($B$32:$B$42,MATCH($G$5,$B$32:$B$42,1)+1))</f>
        <v>279.80500000000001</v>
      </c>
      <c r="D12" s="6">
        <f>FORECAST($G$5, INDEX(D32:D42,MATCH($G$5,$B$32:$B$42,1)):INDEX(D32:D42,MATCH($G$5,$B$32:$B$42,1)+1), INDEX($B$32:$B$42,MATCH($G$5,$B$32:$B$42,1)):INDEX($B$32:$B$42,MATCH($G$5,$B$32:$B$42,1)+1))</f>
        <v>308.06</v>
      </c>
      <c r="E12" s="60">
        <f>FORECAST($G$5, INDEX(E32:E42,MATCH($G$5,$B$32:$B$42,1)):INDEX(E32:E42,MATCH($G$5,$B$32:$B$42,1)+1), INDEX($B$32:$B$42,MATCH($G$5,$B$32:$B$42,1)):INDEX($B$32:$B$42,MATCH($G$5,$B$32:$B$42,1)+1))</f>
        <v>336.06</v>
      </c>
      <c r="F12" s="6">
        <f>FORECAST($G$5, INDEX(F32:F42,MATCH($G$5,$B$32:$B$42,1)):INDEX(F32:F42,MATCH($G$5,$B$32:$B$42,1)+1), INDEX($B$32:$B$42,MATCH($G$5,$B$32:$B$42,1)):INDEX($B$32:$B$42,MATCH($G$5,$B$32:$B$42,1)+1))</f>
        <v>364.315</v>
      </c>
      <c r="G12" s="6">
        <f>FORECAST($G$4, INDEX(C12:F12,MATCH($G$4,$C$10:$F$10,1)):INDEX(C12:F12,MATCH($G$4,$C$10:$F$10,1)+1), INDEX($C$10:$F$10,MATCH($G$4,$C$10:$F$10,1)):INDEX($C$10:$F$10,MATCH($G$4,$C$10:$F$10,1)+1))</f>
        <v>333.82</v>
      </c>
    </row>
    <row r="13" spans="2:12" x14ac:dyDescent="0.15">
      <c r="B13" s="61" t="s">
        <v>84</v>
      </c>
      <c r="C13" s="6">
        <f>FORECAST($G$5, INDEX(C46:C53,MATCH($G$5,$B$46:$B$53,1)):INDEX(C46:C53,MATCH($G$5,$B$46:$B$53,1)+1), INDEX($B$46:$B$53,MATCH($G$5,$B$46:$B$53,1)):INDEX($B$46:$B$53,MATCH($G$5,$B$46:$B$53,1)+1))</f>
        <v>604.505</v>
      </c>
      <c r="D13" s="6">
        <f>FORECAST($G$5, INDEX(D46:D53,MATCH($G$5,$B$46:$B$53,1)):INDEX(D46:D53,MATCH($G$5,$B$46:$B$53,1)+1), INDEX($B$46:$B$53,MATCH($G$5,$B$46:$B$53,1)):INDEX($B$46:$B$53,MATCH($G$5,$B$46:$B$53,1)+1))</f>
        <v>476.76</v>
      </c>
      <c r="E13" s="60">
        <f>FORECAST($G$5, INDEX(E46:E53,MATCH($G$5,$B$46:$B$53,1)):INDEX(E46:E53,MATCH($G$5,$B$46:$B$53,1)+1), INDEX($B$46:$B$53,MATCH($G$5,$B$46:$B$53,1)):INDEX($B$46:$B$53,MATCH($G$5,$B$46:$B$53,1)+1))</f>
        <v>362.27</v>
      </c>
      <c r="F13" s="6">
        <f>FORECAST($G$5, INDEX(F46:F53,MATCH($G$5,$B$46:$B$53,1)):INDEX(F46:F53,MATCH($G$5,$B$46:$B$53,1)+1), INDEX($B$46:$B$53,MATCH($G$5,$B$46:$B$53,1)):INDEX($B$46:$B$53,MATCH($G$5,$B$46:$B$53,1)+1))</f>
        <v>259.27</v>
      </c>
      <c r="G13" s="6">
        <f>FORECAST($G$4, INDEX(C13:F13,MATCH($G$4,$C$10:$F$10,1)):INDEX(C13:F13,MATCH($G$4,$C$10:$F$10,1)+1), INDEX($C$10:$F$10,MATCH($G$4,$C$10:$F$10,1)):INDEX($C$10:$F$10,MATCH($G$4,$C$10:$F$10,1)+1))</f>
        <v>371.42919999999998</v>
      </c>
    </row>
    <row r="16" spans="2:12" x14ac:dyDescent="0.15">
      <c r="B16" s="143" t="s">
        <v>90</v>
      </c>
      <c r="C16" s="143"/>
      <c r="D16" s="143"/>
      <c r="E16" s="143"/>
      <c r="F16" s="143"/>
    </row>
    <row r="17" spans="2:6" x14ac:dyDescent="0.15">
      <c r="B17" s="6" t="s">
        <v>25</v>
      </c>
      <c r="C17" s="6">
        <v>-25</v>
      </c>
      <c r="D17" s="6">
        <v>0</v>
      </c>
      <c r="E17" s="6">
        <v>25</v>
      </c>
      <c r="F17" s="6">
        <v>50</v>
      </c>
    </row>
    <row r="18" spans="2:6" x14ac:dyDescent="0.15">
      <c r="B18" s="61">
        <v>0</v>
      </c>
      <c r="C18" s="6">
        <v>141</v>
      </c>
      <c r="D18" s="6">
        <v>155</v>
      </c>
      <c r="E18" s="6">
        <v>170</v>
      </c>
      <c r="F18" s="6">
        <v>184</v>
      </c>
    </row>
    <row r="19" spans="2:6" x14ac:dyDescent="0.15">
      <c r="B19" s="61">
        <v>1000</v>
      </c>
      <c r="C19" s="6">
        <v>146</v>
      </c>
      <c r="D19" s="6">
        <v>161</v>
      </c>
      <c r="E19" s="6">
        <v>176</v>
      </c>
      <c r="F19" s="6">
        <v>191</v>
      </c>
    </row>
    <row r="20" spans="2:6" x14ac:dyDescent="0.15">
      <c r="B20" s="61">
        <v>2000</v>
      </c>
      <c r="C20" s="6">
        <v>152</v>
      </c>
      <c r="D20" s="6">
        <v>167</v>
      </c>
      <c r="E20" s="6">
        <v>183</v>
      </c>
      <c r="F20" s="6">
        <v>198</v>
      </c>
    </row>
    <row r="21" spans="2:6" x14ac:dyDescent="0.15">
      <c r="B21" s="61">
        <v>3000</v>
      </c>
      <c r="C21" s="6">
        <v>158</v>
      </c>
      <c r="D21" s="6">
        <v>173</v>
      </c>
      <c r="E21" s="6">
        <v>189</v>
      </c>
      <c r="F21" s="6">
        <v>205</v>
      </c>
    </row>
    <row r="22" spans="2:6" x14ac:dyDescent="0.15">
      <c r="B22" s="61">
        <v>4000</v>
      </c>
      <c r="C22" s="6">
        <v>164</v>
      </c>
      <c r="D22" s="6">
        <v>180</v>
      </c>
      <c r="E22" s="6">
        <v>196</v>
      </c>
      <c r="F22" s="6">
        <v>213</v>
      </c>
    </row>
    <row r="23" spans="2:6" x14ac:dyDescent="0.15">
      <c r="B23" s="61">
        <v>5000</v>
      </c>
      <c r="C23" s="6">
        <v>170</v>
      </c>
      <c r="D23" s="6">
        <v>187</v>
      </c>
      <c r="E23" s="6">
        <v>204</v>
      </c>
      <c r="F23" s="6">
        <v>221</v>
      </c>
    </row>
    <row r="24" spans="2:6" x14ac:dyDescent="0.15">
      <c r="B24" s="61">
        <v>6000</v>
      </c>
      <c r="C24" s="6">
        <v>176</v>
      </c>
      <c r="D24" s="6">
        <v>194</v>
      </c>
      <c r="E24" s="6">
        <v>212</v>
      </c>
      <c r="F24" s="6">
        <v>230</v>
      </c>
    </row>
    <row r="25" spans="2:6" x14ac:dyDescent="0.15">
      <c r="B25" s="61">
        <v>7000</v>
      </c>
      <c r="C25" s="6">
        <v>183</v>
      </c>
      <c r="D25" s="6">
        <v>201</v>
      </c>
      <c r="E25" s="6">
        <v>220</v>
      </c>
      <c r="F25" s="6">
        <v>238</v>
      </c>
    </row>
    <row r="26" spans="2:6" x14ac:dyDescent="0.15">
      <c r="B26" s="61">
        <v>8000</v>
      </c>
      <c r="C26" s="6">
        <v>190</v>
      </c>
      <c r="D26" s="6">
        <v>209</v>
      </c>
      <c r="E26" s="6">
        <v>228</v>
      </c>
      <c r="F26" s="6">
        <v>248</v>
      </c>
    </row>
    <row r="27" spans="2:6" x14ac:dyDescent="0.15">
      <c r="B27" s="61">
        <v>9000</v>
      </c>
      <c r="C27" s="6">
        <v>198</v>
      </c>
      <c r="D27" s="6">
        <v>217</v>
      </c>
      <c r="E27" s="6">
        <v>237</v>
      </c>
      <c r="F27" s="6">
        <v>257</v>
      </c>
    </row>
    <row r="28" spans="2:6" x14ac:dyDescent="0.15">
      <c r="B28" s="61">
        <v>10000</v>
      </c>
      <c r="C28" s="6">
        <v>205</v>
      </c>
      <c r="D28" s="6">
        <v>226</v>
      </c>
      <c r="E28" s="6">
        <v>247</v>
      </c>
      <c r="F28" s="6">
        <v>267</v>
      </c>
    </row>
    <row r="30" spans="2:6" x14ac:dyDescent="0.15">
      <c r="B30" s="143" t="s">
        <v>91</v>
      </c>
      <c r="C30" s="143"/>
      <c r="D30" s="143"/>
      <c r="E30" s="143"/>
      <c r="F30" s="143"/>
    </row>
    <row r="31" spans="2:6" x14ac:dyDescent="0.15">
      <c r="B31" s="6" t="s">
        <v>25</v>
      </c>
      <c r="C31" s="6">
        <v>-25</v>
      </c>
      <c r="D31" s="6">
        <v>0</v>
      </c>
      <c r="E31" s="6">
        <v>25</v>
      </c>
      <c r="F31" s="6">
        <v>50</v>
      </c>
    </row>
    <row r="32" spans="2:6" x14ac:dyDescent="0.15">
      <c r="B32" s="61">
        <v>0</v>
      </c>
      <c r="C32" s="6">
        <v>277</v>
      </c>
      <c r="D32" s="6">
        <v>305</v>
      </c>
      <c r="E32" s="6">
        <v>333</v>
      </c>
      <c r="F32" s="6">
        <v>361</v>
      </c>
    </row>
    <row r="33" spans="2:6" x14ac:dyDescent="0.15">
      <c r="B33" s="61">
        <v>1000</v>
      </c>
      <c r="C33" s="6">
        <v>288</v>
      </c>
      <c r="D33" s="6">
        <v>317</v>
      </c>
      <c r="E33" s="6">
        <v>345</v>
      </c>
      <c r="F33" s="6">
        <v>374</v>
      </c>
    </row>
    <row r="34" spans="2:6" x14ac:dyDescent="0.15">
      <c r="B34" s="61">
        <v>2000</v>
      </c>
      <c r="C34" s="6">
        <v>298</v>
      </c>
      <c r="D34" s="6">
        <v>328</v>
      </c>
      <c r="E34" s="6">
        <v>358</v>
      </c>
      <c r="F34" s="6">
        <v>388</v>
      </c>
    </row>
    <row r="35" spans="2:6" x14ac:dyDescent="0.15">
      <c r="B35" s="61">
        <v>3000</v>
      </c>
      <c r="C35" s="6">
        <v>309</v>
      </c>
      <c r="D35" s="6">
        <v>341</v>
      </c>
      <c r="E35" s="6">
        <v>372</v>
      </c>
      <c r="F35" s="6">
        <v>403</v>
      </c>
    </row>
    <row r="36" spans="2:6" x14ac:dyDescent="0.15">
      <c r="B36" s="61">
        <v>4000</v>
      </c>
      <c r="C36" s="6">
        <v>321</v>
      </c>
      <c r="D36" s="6">
        <v>353</v>
      </c>
      <c r="E36" s="6">
        <v>386</v>
      </c>
      <c r="F36" s="6">
        <v>418</v>
      </c>
    </row>
    <row r="37" spans="2:6" x14ac:dyDescent="0.15">
      <c r="B37" s="61">
        <v>5000</v>
      </c>
      <c r="C37" s="6">
        <v>333</v>
      </c>
      <c r="D37" s="6">
        <v>367</v>
      </c>
      <c r="E37" s="6">
        <v>400</v>
      </c>
      <c r="F37" s="6">
        <v>434</v>
      </c>
    </row>
    <row r="38" spans="2:6" x14ac:dyDescent="0.15">
      <c r="B38" s="61">
        <v>6000</v>
      </c>
      <c r="C38" s="6">
        <v>346</v>
      </c>
      <c r="D38" s="6">
        <v>381</v>
      </c>
      <c r="E38" s="6">
        <v>416</v>
      </c>
      <c r="F38" s="6">
        <v>451</v>
      </c>
    </row>
    <row r="39" spans="2:6" x14ac:dyDescent="0.15">
      <c r="B39" s="61">
        <v>7000</v>
      </c>
      <c r="C39" s="6">
        <v>359</v>
      </c>
      <c r="D39" s="6">
        <v>396</v>
      </c>
      <c r="E39" s="6">
        <v>432</v>
      </c>
      <c r="F39" s="6">
        <v>468</v>
      </c>
    </row>
    <row r="40" spans="2:6" x14ac:dyDescent="0.15">
      <c r="B40" s="61">
        <v>8000</v>
      </c>
      <c r="C40" s="6">
        <v>373</v>
      </c>
      <c r="D40" s="6">
        <v>411</v>
      </c>
      <c r="E40" s="6">
        <v>449</v>
      </c>
      <c r="F40" s="6">
        <v>486</v>
      </c>
    </row>
    <row r="41" spans="2:6" x14ac:dyDescent="0.15">
      <c r="B41" s="61">
        <v>9000</v>
      </c>
      <c r="C41" s="6">
        <v>388</v>
      </c>
      <c r="D41" s="6">
        <v>427</v>
      </c>
      <c r="E41" s="6">
        <v>466</v>
      </c>
      <c r="F41" s="6">
        <v>505</v>
      </c>
    </row>
    <row r="42" spans="2:6" x14ac:dyDescent="0.15">
      <c r="B42" s="61">
        <v>10000</v>
      </c>
      <c r="C42" s="6">
        <v>403</v>
      </c>
      <c r="D42" s="6">
        <v>444</v>
      </c>
      <c r="E42" s="6">
        <v>484</v>
      </c>
      <c r="F42" s="6">
        <v>525</v>
      </c>
    </row>
    <row r="44" spans="2:6" x14ac:dyDescent="0.15">
      <c r="B44" s="143" t="s">
        <v>92</v>
      </c>
      <c r="C44" s="143"/>
      <c r="D44" s="143"/>
      <c r="E44" s="143"/>
      <c r="F44" s="143"/>
    </row>
    <row r="45" spans="2:6" x14ac:dyDescent="0.15">
      <c r="B45" s="6" t="s">
        <v>93</v>
      </c>
      <c r="C45" s="6">
        <v>-25</v>
      </c>
      <c r="D45" s="6">
        <v>0</v>
      </c>
      <c r="E45" s="6">
        <v>25</v>
      </c>
      <c r="F45" s="6">
        <v>50</v>
      </c>
    </row>
    <row r="46" spans="2:6" x14ac:dyDescent="0.15">
      <c r="B46" s="61">
        <v>0</v>
      </c>
      <c r="C46" s="6">
        <v>617</v>
      </c>
      <c r="D46" s="6">
        <v>489</v>
      </c>
      <c r="E46" s="6">
        <v>374</v>
      </c>
      <c r="F46" s="6">
        <v>271</v>
      </c>
    </row>
    <row r="47" spans="2:6" x14ac:dyDescent="0.15">
      <c r="B47" s="61">
        <v>1000</v>
      </c>
      <c r="C47" s="6">
        <v>568</v>
      </c>
      <c r="D47" s="6">
        <v>441</v>
      </c>
      <c r="E47" s="6">
        <v>328</v>
      </c>
      <c r="F47" s="6">
        <v>225</v>
      </c>
    </row>
    <row r="48" spans="2:6" x14ac:dyDescent="0.15">
      <c r="B48" s="61">
        <v>2000</v>
      </c>
      <c r="C48" s="6">
        <v>519</v>
      </c>
      <c r="D48" s="6">
        <v>393</v>
      </c>
      <c r="E48" s="6">
        <v>281</v>
      </c>
      <c r="F48" s="6">
        <v>180</v>
      </c>
    </row>
    <row r="49" spans="2:6" x14ac:dyDescent="0.15">
      <c r="B49" s="61">
        <v>3000</v>
      </c>
      <c r="C49" s="6">
        <v>471</v>
      </c>
      <c r="D49" s="6">
        <v>346</v>
      </c>
      <c r="E49" s="6">
        <v>234</v>
      </c>
      <c r="F49" s="6">
        <v>134</v>
      </c>
    </row>
    <row r="50" spans="2:6" x14ac:dyDescent="0.15">
      <c r="B50" s="61">
        <v>4000</v>
      </c>
      <c r="C50" s="6">
        <v>422</v>
      </c>
      <c r="D50" s="6">
        <v>299</v>
      </c>
      <c r="E50" s="6">
        <v>188</v>
      </c>
      <c r="F50" s="6">
        <v>88</v>
      </c>
    </row>
    <row r="51" spans="2:6" x14ac:dyDescent="0.15">
      <c r="B51" s="61">
        <v>5000</v>
      </c>
      <c r="C51" s="6">
        <v>374</v>
      </c>
      <c r="D51" s="6">
        <v>251</v>
      </c>
      <c r="E51" s="6">
        <v>142</v>
      </c>
      <c r="F51" s="6">
        <v>43</v>
      </c>
    </row>
    <row r="52" spans="2:6" x14ac:dyDescent="0.15">
      <c r="B52" s="61">
        <v>6000</v>
      </c>
      <c r="C52" s="6">
        <v>326</v>
      </c>
      <c r="D52" s="6">
        <v>204</v>
      </c>
      <c r="E52" s="6">
        <v>95</v>
      </c>
      <c r="F52" s="6">
        <v>-3</v>
      </c>
    </row>
    <row r="53" spans="2:6" x14ac:dyDescent="0.15">
      <c r="B53" s="61">
        <v>7000</v>
      </c>
      <c r="C53" s="6">
        <v>277</v>
      </c>
      <c r="D53" s="6">
        <v>157</v>
      </c>
      <c r="E53" s="6">
        <v>49</v>
      </c>
      <c r="F53" s="6">
        <v>-48</v>
      </c>
    </row>
  </sheetData>
  <mergeCells count="5">
    <mergeCell ref="F1:H1"/>
    <mergeCell ref="J1:L1"/>
    <mergeCell ref="B16:F16"/>
    <mergeCell ref="B30:F30"/>
    <mergeCell ref="B44:F44"/>
  </mergeCells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zoomScale="120" zoomScaleNormal="120" workbookViewId="0">
      <selection activeCell="C8" sqref="C8"/>
    </sheetView>
  </sheetViews>
  <sheetFormatPr baseColWidth="10" defaultColWidth="8.6640625" defaultRowHeight="13" x14ac:dyDescent="0.15"/>
  <cols>
    <col min="1" max="2" width="12.1640625" customWidth="1"/>
    <col min="3" max="3" width="13.5" customWidth="1"/>
  </cols>
  <sheetData>
    <row r="1" spans="1:3" x14ac:dyDescent="0.15">
      <c r="A1" t="s">
        <v>111</v>
      </c>
    </row>
    <row r="2" spans="1:3" x14ac:dyDescent="0.15">
      <c r="B2" t="s">
        <v>112</v>
      </c>
      <c r="C2" t="s">
        <v>113</v>
      </c>
    </row>
    <row r="3" spans="1:3" x14ac:dyDescent="0.15">
      <c r="A3" t="s">
        <v>114</v>
      </c>
      <c r="C3">
        <v>2</v>
      </c>
    </row>
    <row r="4" spans="1:3" x14ac:dyDescent="0.15">
      <c r="A4" t="s">
        <v>115</v>
      </c>
      <c r="B4">
        <v>2</v>
      </c>
      <c r="C4" s="39">
        <f>Performance!$G$13*B4</f>
        <v>27.176824008705996</v>
      </c>
    </row>
    <row r="5" spans="1:3" x14ac:dyDescent="0.15">
      <c r="A5" t="s">
        <v>116</v>
      </c>
      <c r="B5">
        <v>0.6</v>
      </c>
      <c r="C5" s="39">
        <f>Performance!$G$13*B5</f>
        <v>8.1530472026117984</v>
      </c>
    </row>
    <row r="6" spans="1:3" x14ac:dyDescent="0.15">
      <c r="A6" t="s">
        <v>117</v>
      </c>
      <c r="B6">
        <v>1</v>
      </c>
      <c r="C6" s="39">
        <f>Performance!$G$13*B6</f>
        <v>13.588412004352998</v>
      </c>
    </row>
    <row r="8" spans="1:3" x14ac:dyDescent="0.15">
      <c r="A8" t="s">
        <v>118</v>
      </c>
      <c r="B8">
        <f>SUM(B3:B7)</f>
        <v>3.6</v>
      </c>
      <c r="C8" s="39">
        <f>SUM(C3:C7)</f>
        <v>50.91828321567079</v>
      </c>
    </row>
    <row r="15" spans="1:3" x14ac:dyDescent="0.15">
      <c r="B15" t="s">
        <v>112</v>
      </c>
    </row>
    <row r="16" spans="1:3" x14ac:dyDescent="0.15">
      <c r="A16" t="s">
        <v>119</v>
      </c>
    </row>
    <row r="17" spans="1:2" x14ac:dyDescent="0.15">
      <c r="A17" t="s">
        <v>116</v>
      </c>
    </row>
    <row r="18" spans="1:2" x14ac:dyDescent="0.15">
      <c r="A18" t="s">
        <v>120</v>
      </c>
      <c r="B18" t="s">
        <v>121</v>
      </c>
    </row>
  </sheetData>
  <pageMargins left="0" right="0" top="0.39374999999999999" bottom="0.39374999999999999" header="0.511811023622047" footer="0.511811023622047"/>
  <pageSetup paperSize="75" pageOrder="overThenDown" orientation="landscape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31"/>
  <sheetViews>
    <sheetView zoomScale="120" zoomScaleNormal="120" workbookViewId="0">
      <selection activeCell="T6" sqref="T6"/>
    </sheetView>
  </sheetViews>
  <sheetFormatPr baseColWidth="10" defaultColWidth="8.6640625" defaultRowHeight="13" x14ac:dyDescent="0.15"/>
  <cols>
    <col min="1" max="2" width="13.1640625" customWidth="1"/>
    <col min="3" max="3" width="5.1640625" customWidth="1"/>
    <col min="4" max="4" width="4.5" customWidth="1"/>
    <col min="5" max="5" width="3.33203125" customWidth="1"/>
    <col min="6" max="6" width="5.5" customWidth="1"/>
    <col min="7" max="10" width="6.1640625" customWidth="1"/>
    <col min="11" max="11" width="13.1640625" customWidth="1"/>
    <col min="12" max="12" width="5.1640625" customWidth="1"/>
    <col min="13" max="13" width="6.1640625" customWidth="1"/>
    <col min="14" max="15" width="5.5" customWidth="1"/>
    <col min="16" max="16" width="6.6640625" customWidth="1"/>
    <col min="17" max="17" width="6.1640625" customWidth="1"/>
    <col min="18" max="19" width="5.5" customWidth="1"/>
    <col min="20" max="21" width="6.6640625" customWidth="1"/>
  </cols>
  <sheetData>
    <row r="1" spans="1:30" ht="12.75" customHeight="1" x14ac:dyDescent="0.15">
      <c r="A1" s="147" t="s">
        <v>122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30" ht="12.75" customHeight="1" x14ac:dyDescent="0.15">
      <c r="A2" s="65" t="s">
        <v>123</v>
      </c>
      <c r="B2" s="66" t="s">
        <v>124</v>
      </c>
      <c r="C2" s="66" t="s">
        <v>125</v>
      </c>
      <c r="D2" s="148" t="s">
        <v>37</v>
      </c>
      <c r="E2" s="148"/>
      <c r="F2" s="66" t="s">
        <v>51</v>
      </c>
      <c r="G2" s="66" t="s">
        <v>126</v>
      </c>
      <c r="H2" s="66" t="s">
        <v>127</v>
      </c>
      <c r="I2" s="66" t="s">
        <v>128</v>
      </c>
      <c r="J2" s="66" t="s">
        <v>129</v>
      </c>
      <c r="K2" s="66" t="s">
        <v>124</v>
      </c>
      <c r="L2" s="66" t="s">
        <v>125</v>
      </c>
      <c r="M2" s="66" t="s">
        <v>129</v>
      </c>
      <c r="N2" s="66" t="s">
        <v>130</v>
      </c>
      <c r="O2" s="66" t="s">
        <v>131</v>
      </c>
      <c r="P2" s="66" t="s">
        <v>132</v>
      </c>
      <c r="Q2" s="66" t="s">
        <v>133</v>
      </c>
      <c r="R2" s="149" t="s">
        <v>134</v>
      </c>
      <c r="S2" s="66" t="s">
        <v>135</v>
      </c>
      <c r="T2" s="66" t="s">
        <v>136</v>
      </c>
      <c r="U2" s="150" t="s">
        <v>137</v>
      </c>
      <c r="W2">
        <v>2</v>
      </c>
      <c r="X2">
        <v>4</v>
      </c>
      <c r="Y2">
        <v>6</v>
      </c>
      <c r="Z2">
        <v>8</v>
      </c>
      <c r="AA2">
        <v>10</v>
      </c>
      <c r="AB2">
        <v>12</v>
      </c>
      <c r="AC2">
        <v>14</v>
      </c>
      <c r="AD2">
        <v>16</v>
      </c>
    </row>
    <row r="3" spans="1:30" ht="14" x14ac:dyDescent="0.15">
      <c r="A3" s="67" t="s">
        <v>190</v>
      </c>
      <c r="B3" s="68" t="s">
        <v>191</v>
      </c>
      <c r="C3" s="69">
        <v>5500</v>
      </c>
      <c r="D3" s="70">
        <v>230</v>
      </c>
      <c r="E3" s="71">
        <v>11</v>
      </c>
      <c r="F3" s="69">
        <v>70</v>
      </c>
      <c r="G3" s="70">
        <v>115</v>
      </c>
      <c r="H3" s="70">
        <f t="shared" ref="H3:H16" si="0">IF(G3="","",G3+2)</f>
        <v>117</v>
      </c>
      <c r="I3" s="70">
        <v>119</v>
      </c>
      <c r="J3" s="70">
        <f t="shared" ref="J3:J16" si="1">IF(I3="","",I3+2)</f>
        <v>121</v>
      </c>
      <c r="K3" s="72" t="str">
        <f t="shared" ref="K3:L16" si="2">IF(B3="","",B3)</f>
        <v>REGUENGOS</v>
      </c>
      <c r="L3" s="69">
        <f t="shared" si="2"/>
        <v>5500</v>
      </c>
      <c r="M3" s="70">
        <f t="shared" ref="M3:M16" si="3">IF(J3="","",J3)</f>
        <v>121</v>
      </c>
      <c r="N3" s="69">
        <v>74</v>
      </c>
      <c r="O3" s="69">
        <v>14</v>
      </c>
      <c r="P3" s="73">
        <f t="shared" ref="P3:P16" si="4">IF(N3="","",O3/N3*60)</f>
        <v>11.351351351351353</v>
      </c>
      <c r="Q3" s="74"/>
      <c r="R3" s="149"/>
      <c r="S3" s="75"/>
      <c r="T3" s="76">
        <f>IF(P3="","",Performance!$G$13/60*P3)</f>
        <v>2.570780649472189</v>
      </c>
      <c r="U3" s="150"/>
      <c r="W3" s="77">
        <f t="shared" ref="W3:W12" si="5">O3/P3*$W$2</f>
        <v>2.4666666666666663</v>
      </c>
      <c r="X3" s="77">
        <f t="shared" ref="X3:X16" si="6">$W3*X$2/2</f>
        <v>4.9333333333333327</v>
      </c>
      <c r="Y3" s="77">
        <f t="shared" ref="Y3:AD3" si="7">$W3*Y2/2</f>
        <v>7.3999999999999986</v>
      </c>
      <c r="Z3" s="77">
        <f t="shared" si="7"/>
        <v>9.8666666666666654</v>
      </c>
      <c r="AA3" s="77">
        <f t="shared" si="7"/>
        <v>12.333333333333332</v>
      </c>
      <c r="AB3" s="77">
        <f t="shared" si="7"/>
        <v>14.799999999999997</v>
      </c>
      <c r="AC3" s="77">
        <f t="shared" si="7"/>
        <v>17.266666666666666</v>
      </c>
      <c r="AD3" s="77">
        <f t="shared" si="7"/>
        <v>19.733333333333331</v>
      </c>
    </row>
    <row r="4" spans="1:30" ht="15" thickTop="1" x14ac:dyDescent="0.15">
      <c r="A4" s="78" t="str">
        <f t="shared" ref="A4:A16" si="8">IF(B4="","",B3)</f>
        <v>REGUENGOS</v>
      </c>
      <c r="B4" s="79" t="s">
        <v>192</v>
      </c>
      <c r="C4" s="80"/>
      <c r="D4" s="81">
        <v>230</v>
      </c>
      <c r="E4" s="82">
        <v>16</v>
      </c>
      <c r="F4" s="80">
        <v>84</v>
      </c>
      <c r="G4" s="81">
        <v>105</v>
      </c>
      <c r="H4" s="81">
        <f t="shared" si="0"/>
        <v>107</v>
      </c>
      <c r="I4" s="81">
        <v>115</v>
      </c>
      <c r="J4" s="81">
        <f t="shared" si="1"/>
        <v>117</v>
      </c>
      <c r="K4" s="83" t="str">
        <f t="shared" si="2"/>
        <v>MOURÃO</v>
      </c>
      <c r="L4" s="80" t="str">
        <f t="shared" si="2"/>
        <v/>
      </c>
      <c r="M4" s="81">
        <f t="shared" si="3"/>
        <v>117</v>
      </c>
      <c r="N4" s="80">
        <v>92</v>
      </c>
      <c r="O4" s="80">
        <v>10</v>
      </c>
      <c r="P4" s="84">
        <f t="shared" si="4"/>
        <v>6.5217391304347823</v>
      </c>
      <c r="Q4" s="85"/>
      <c r="R4" s="86"/>
      <c r="S4" s="87"/>
      <c r="T4" s="77">
        <f>IF(P4="","",Performance!$G$13/60*P4)</f>
        <v>1.477001304820978</v>
      </c>
      <c r="U4" s="76">
        <f>IF(T4="","",$U$22-SUM($T$3:T4))</f>
        <v>35.266254760155043</v>
      </c>
      <c r="W4" s="77">
        <f t="shared" si="5"/>
        <v>3.0666666666666669</v>
      </c>
      <c r="X4" s="77">
        <f t="shared" si="6"/>
        <v>6.1333333333333337</v>
      </c>
      <c r="Y4" s="77">
        <f t="shared" ref="Y4:AD16" si="9">$W4*Y$2/2</f>
        <v>9.2000000000000011</v>
      </c>
      <c r="Z4" s="77">
        <f t="shared" si="9"/>
        <v>12.266666666666667</v>
      </c>
      <c r="AA4" s="77">
        <f t="shared" si="9"/>
        <v>15.333333333333334</v>
      </c>
      <c r="AB4" s="77">
        <f t="shared" si="9"/>
        <v>18.400000000000002</v>
      </c>
      <c r="AC4" s="77">
        <f t="shared" si="9"/>
        <v>21.466666666666669</v>
      </c>
      <c r="AD4" s="77">
        <f t="shared" si="9"/>
        <v>24.533333333333335</v>
      </c>
    </row>
    <row r="5" spans="1:30" ht="14" x14ac:dyDescent="0.15">
      <c r="A5" s="78" t="str">
        <f t="shared" si="8"/>
        <v>MOURÃO</v>
      </c>
      <c r="B5" s="79" t="s">
        <v>193</v>
      </c>
      <c r="C5" s="80"/>
      <c r="D5" s="81">
        <v>230</v>
      </c>
      <c r="E5" s="82">
        <v>16</v>
      </c>
      <c r="F5" s="80">
        <v>84</v>
      </c>
      <c r="G5" s="81">
        <v>223</v>
      </c>
      <c r="H5" s="81">
        <f t="shared" si="0"/>
        <v>225</v>
      </c>
      <c r="I5" s="81">
        <v>224</v>
      </c>
      <c r="J5" s="81">
        <f t="shared" si="1"/>
        <v>226</v>
      </c>
      <c r="K5" s="83" t="str">
        <f t="shared" si="2"/>
        <v>ALQUEVA</v>
      </c>
      <c r="L5" s="80" t="str">
        <f t="shared" si="2"/>
        <v/>
      </c>
      <c r="M5" s="81">
        <f t="shared" si="3"/>
        <v>226</v>
      </c>
      <c r="N5" s="80">
        <v>68</v>
      </c>
      <c r="O5" s="80">
        <v>14</v>
      </c>
      <c r="P5" s="84">
        <f t="shared" si="4"/>
        <v>12.352941176470587</v>
      </c>
      <c r="Q5" s="87"/>
      <c r="R5" s="87"/>
      <c r="S5" s="87"/>
      <c r="T5" s="77">
        <f>IF(P5="","",Performance!$G$13/60*P5)</f>
        <v>2.7976142361903227</v>
      </c>
      <c r="U5" s="88">
        <f>IF(T5="","",$U$22-SUM($T$3:T5))</f>
        <v>32.468640523964716</v>
      </c>
      <c r="W5" s="77">
        <f t="shared" si="5"/>
        <v>2.2666666666666671</v>
      </c>
      <c r="X5" s="77">
        <f t="shared" si="6"/>
        <v>4.5333333333333341</v>
      </c>
      <c r="Y5" s="77">
        <f t="shared" si="9"/>
        <v>6.8000000000000007</v>
      </c>
      <c r="Z5" s="77">
        <f t="shared" si="9"/>
        <v>9.0666666666666682</v>
      </c>
      <c r="AA5" s="77">
        <f t="shared" si="9"/>
        <v>11.333333333333336</v>
      </c>
      <c r="AB5" s="77">
        <f t="shared" si="9"/>
        <v>13.600000000000001</v>
      </c>
      <c r="AC5" s="77">
        <f t="shared" si="9"/>
        <v>15.866666666666669</v>
      </c>
      <c r="AD5" s="77">
        <f t="shared" si="9"/>
        <v>18.133333333333336</v>
      </c>
    </row>
    <row r="6" spans="1:30" ht="14" x14ac:dyDescent="0.15">
      <c r="A6" s="78" t="str">
        <f t="shared" si="8"/>
        <v>ALQUEVA</v>
      </c>
      <c r="B6" s="79" t="s">
        <v>194</v>
      </c>
      <c r="C6" s="80">
        <v>6500</v>
      </c>
      <c r="D6" s="81">
        <v>230</v>
      </c>
      <c r="E6" s="82">
        <v>16</v>
      </c>
      <c r="F6" s="80">
        <v>84</v>
      </c>
      <c r="G6" s="81">
        <v>307</v>
      </c>
      <c r="H6" s="81">
        <f t="shared" si="0"/>
        <v>309</v>
      </c>
      <c r="I6" s="81">
        <v>296</v>
      </c>
      <c r="J6" s="81">
        <f t="shared" si="1"/>
        <v>298</v>
      </c>
      <c r="K6" s="83" t="str">
        <f t="shared" si="2"/>
        <v>PORTEL</v>
      </c>
      <c r="L6" s="80">
        <f t="shared" si="2"/>
        <v>6500</v>
      </c>
      <c r="M6" s="81">
        <f t="shared" si="3"/>
        <v>298</v>
      </c>
      <c r="N6" s="80">
        <v>79</v>
      </c>
      <c r="O6" s="80">
        <v>9</v>
      </c>
      <c r="P6" s="84">
        <f t="shared" si="4"/>
        <v>6.8354430379746836</v>
      </c>
      <c r="Q6" s="87"/>
      <c r="R6" s="87"/>
      <c r="S6" s="87"/>
      <c r="T6" s="77">
        <f>IF(P6="","",Performance!$G$13/60*P6)</f>
        <v>1.548046937204772</v>
      </c>
      <c r="U6" s="88">
        <f>IF(T6="","",$U$22-SUM($T$3:T6))</f>
        <v>30.920593586759946</v>
      </c>
      <c r="W6" s="77">
        <f t="shared" si="5"/>
        <v>2.6333333333333333</v>
      </c>
      <c r="X6" s="77">
        <f t="shared" si="6"/>
        <v>5.2666666666666666</v>
      </c>
      <c r="Y6" s="77">
        <f t="shared" si="9"/>
        <v>7.9</v>
      </c>
      <c r="Z6" s="77">
        <f t="shared" si="9"/>
        <v>10.533333333333333</v>
      </c>
      <c r="AA6" s="77">
        <f t="shared" si="9"/>
        <v>13.166666666666666</v>
      </c>
      <c r="AB6" s="77">
        <f t="shared" si="9"/>
        <v>15.8</v>
      </c>
      <c r="AC6" s="77">
        <f t="shared" si="9"/>
        <v>18.433333333333334</v>
      </c>
      <c r="AD6" s="77">
        <f t="shared" si="9"/>
        <v>21.066666666666666</v>
      </c>
    </row>
    <row r="7" spans="1:30" ht="14" x14ac:dyDescent="0.15">
      <c r="A7" s="78" t="str">
        <f t="shared" si="8"/>
        <v>PORTEL</v>
      </c>
      <c r="B7" s="79" t="s">
        <v>195</v>
      </c>
      <c r="C7" s="80"/>
      <c r="D7" s="81">
        <v>230</v>
      </c>
      <c r="E7" s="82">
        <v>16</v>
      </c>
      <c r="F7" s="80">
        <v>84</v>
      </c>
      <c r="G7" s="81">
        <v>276</v>
      </c>
      <c r="H7" s="81">
        <f t="shared" si="0"/>
        <v>278</v>
      </c>
      <c r="I7" s="81">
        <v>268</v>
      </c>
      <c r="J7" s="81">
        <f t="shared" si="1"/>
        <v>270</v>
      </c>
      <c r="K7" s="83" t="str">
        <f t="shared" si="2"/>
        <v>VIANA</v>
      </c>
      <c r="L7" s="80" t="str">
        <f t="shared" si="2"/>
        <v/>
      </c>
      <c r="M7" s="81">
        <f t="shared" si="3"/>
        <v>270</v>
      </c>
      <c r="N7" s="80">
        <v>72</v>
      </c>
      <c r="O7" s="80">
        <v>14</v>
      </c>
      <c r="P7" s="84">
        <f t="shared" si="4"/>
        <v>11.666666666666666</v>
      </c>
      <c r="Q7" s="87"/>
      <c r="R7" s="87"/>
      <c r="S7" s="87"/>
      <c r="T7" s="77">
        <f>IF(P7="","",Performance!$G$13/60*P7)</f>
        <v>2.6421912230686386</v>
      </c>
      <c r="U7" s="88">
        <f>IF(T7="","",$U$22-SUM($T$3:T7))</f>
        <v>28.278402363691306</v>
      </c>
      <c r="W7" s="77">
        <f t="shared" si="5"/>
        <v>2.4</v>
      </c>
      <c r="X7" s="77">
        <f t="shared" si="6"/>
        <v>4.8</v>
      </c>
      <c r="Y7" s="77">
        <f t="shared" si="9"/>
        <v>7.1999999999999993</v>
      </c>
      <c r="Z7" s="77">
        <f t="shared" si="9"/>
        <v>9.6</v>
      </c>
      <c r="AA7" s="77">
        <f t="shared" si="9"/>
        <v>12</v>
      </c>
      <c r="AB7" s="77">
        <f t="shared" si="9"/>
        <v>14.399999999999999</v>
      </c>
      <c r="AC7" s="77">
        <f t="shared" si="9"/>
        <v>16.8</v>
      </c>
      <c r="AD7" s="77">
        <f t="shared" si="9"/>
        <v>19.2</v>
      </c>
    </row>
    <row r="8" spans="1:30" ht="14" x14ac:dyDescent="0.15">
      <c r="A8" s="78" t="str">
        <f t="shared" si="8"/>
        <v>VIANA</v>
      </c>
      <c r="B8" s="79" t="s">
        <v>196</v>
      </c>
      <c r="C8" s="80"/>
      <c r="D8" s="81">
        <v>230</v>
      </c>
      <c r="E8" s="82">
        <v>16</v>
      </c>
      <c r="F8" s="80">
        <v>84</v>
      </c>
      <c r="G8" s="81">
        <v>256</v>
      </c>
      <c r="H8" s="81">
        <f t="shared" si="0"/>
        <v>258</v>
      </c>
      <c r="I8" s="81">
        <v>251</v>
      </c>
      <c r="J8" s="81">
        <f t="shared" si="1"/>
        <v>253</v>
      </c>
      <c r="K8" s="83" t="str">
        <f t="shared" si="2"/>
        <v>TORRÃO</v>
      </c>
      <c r="L8" s="80" t="str">
        <f t="shared" si="2"/>
        <v/>
      </c>
      <c r="M8" s="81">
        <f t="shared" si="3"/>
        <v>253</v>
      </c>
      <c r="N8" s="80">
        <v>70</v>
      </c>
      <c r="O8" s="80">
        <v>11</v>
      </c>
      <c r="P8" s="84">
        <f t="shared" si="4"/>
        <v>9.4285714285714288</v>
      </c>
      <c r="Q8" s="87"/>
      <c r="R8" s="87"/>
      <c r="S8" s="87"/>
      <c r="T8" s="77">
        <f>IF(P8="","",Performance!$G$13/60*P8)</f>
        <v>2.1353218863983283</v>
      </c>
      <c r="U8" s="88">
        <f>IF(T8="","",$U$22-SUM($T$3:T8))</f>
        <v>26.143080477292976</v>
      </c>
      <c r="W8" s="77">
        <f t="shared" si="5"/>
        <v>2.3333333333333335</v>
      </c>
      <c r="X8" s="77">
        <f t="shared" si="6"/>
        <v>4.666666666666667</v>
      </c>
      <c r="Y8" s="77">
        <f t="shared" si="9"/>
        <v>7</v>
      </c>
      <c r="Z8" s="77">
        <f t="shared" si="9"/>
        <v>9.3333333333333339</v>
      </c>
      <c r="AA8" s="77">
        <f t="shared" si="9"/>
        <v>11.666666666666668</v>
      </c>
      <c r="AB8" s="77">
        <f t="shared" si="9"/>
        <v>14</v>
      </c>
      <c r="AC8" s="77">
        <f t="shared" si="9"/>
        <v>16.333333333333336</v>
      </c>
      <c r="AD8" s="77">
        <f t="shared" si="9"/>
        <v>18.666666666666668</v>
      </c>
    </row>
    <row r="9" spans="1:30" ht="14" x14ac:dyDescent="0.15">
      <c r="A9" s="78" t="str">
        <f t="shared" si="8"/>
        <v>TORRÃO</v>
      </c>
      <c r="B9" s="79" t="s">
        <v>197</v>
      </c>
      <c r="C9" s="80"/>
      <c r="D9" s="81">
        <v>230</v>
      </c>
      <c r="E9" s="82">
        <v>16</v>
      </c>
      <c r="F9" s="80">
        <v>84</v>
      </c>
      <c r="G9" s="81">
        <v>289</v>
      </c>
      <c r="H9" s="81">
        <f t="shared" si="0"/>
        <v>291</v>
      </c>
      <c r="I9" s="81">
        <v>279</v>
      </c>
      <c r="J9" s="81">
        <f t="shared" si="1"/>
        <v>281</v>
      </c>
      <c r="K9" s="83" t="str">
        <f t="shared" si="2"/>
        <v>ALCÁCER</v>
      </c>
      <c r="L9" s="80" t="str">
        <f t="shared" si="2"/>
        <v/>
      </c>
      <c r="M9" s="81">
        <f t="shared" si="3"/>
        <v>281</v>
      </c>
      <c r="N9" s="80">
        <v>74</v>
      </c>
      <c r="O9" s="80">
        <v>14</v>
      </c>
      <c r="P9" s="84">
        <f t="shared" si="4"/>
        <v>11.351351351351353</v>
      </c>
      <c r="Q9" s="87"/>
      <c r="R9" s="87"/>
      <c r="S9" s="87"/>
      <c r="T9" s="77">
        <f>IF(P9="","",Performance!$G$13/60*P9)</f>
        <v>2.570780649472189</v>
      </c>
      <c r="U9" s="88">
        <f>IF(T9="","",$U$22-SUM($T$3:T9))</f>
        <v>23.572299827820789</v>
      </c>
      <c r="W9" s="77">
        <f t="shared" si="5"/>
        <v>2.4666666666666663</v>
      </c>
      <c r="X9" s="77">
        <f t="shared" si="6"/>
        <v>4.9333333333333327</v>
      </c>
      <c r="Y9" s="77">
        <f t="shared" si="9"/>
        <v>7.3999999999999986</v>
      </c>
      <c r="Z9" s="77">
        <f t="shared" si="9"/>
        <v>9.8666666666666654</v>
      </c>
      <c r="AA9" s="77">
        <f t="shared" si="9"/>
        <v>12.333333333333332</v>
      </c>
      <c r="AB9" s="77">
        <f t="shared" si="9"/>
        <v>14.799999999999997</v>
      </c>
      <c r="AC9" s="77">
        <f t="shared" si="9"/>
        <v>17.266666666666666</v>
      </c>
      <c r="AD9" s="77">
        <f t="shared" si="9"/>
        <v>19.733333333333331</v>
      </c>
    </row>
    <row r="10" spans="1:30" ht="14" x14ac:dyDescent="0.15">
      <c r="A10" s="78" t="str">
        <f t="shared" si="8"/>
        <v>ALCÁCER</v>
      </c>
      <c r="B10" s="79" t="s">
        <v>198</v>
      </c>
      <c r="C10" s="80"/>
      <c r="D10" s="81">
        <v>230</v>
      </c>
      <c r="E10" s="82">
        <v>16</v>
      </c>
      <c r="F10" s="80">
        <v>84</v>
      </c>
      <c r="G10" s="81">
        <v>54</v>
      </c>
      <c r="H10" s="81">
        <f t="shared" si="0"/>
        <v>56</v>
      </c>
      <c r="I10" s="81">
        <v>55</v>
      </c>
      <c r="J10" s="81">
        <f t="shared" si="1"/>
        <v>57</v>
      </c>
      <c r="K10" s="83" t="str">
        <f t="shared" ref="K10:K16" si="10">IF(B10="","",B10)</f>
        <v>S. CRIST.</v>
      </c>
      <c r="L10" s="80" t="str">
        <f t="shared" si="2"/>
        <v/>
      </c>
      <c r="M10" s="81">
        <f t="shared" si="3"/>
        <v>57</v>
      </c>
      <c r="N10" s="80">
        <v>100</v>
      </c>
      <c r="O10" s="80">
        <v>12</v>
      </c>
      <c r="P10" s="84">
        <f t="shared" si="4"/>
        <v>7.1999999999999993</v>
      </c>
      <c r="Q10" s="87"/>
      <c r="R10" s="87"/>
      <c r="S10" s="87"/>
      <c r="T10" s="77">
        <f>IF(P10="","",Performance!$G$13/60*P10)</f>
        <v>1.6306094405223597</v>
      </c>
      <c r="U10" s="88">
        <f>IF(T10="","",$U$22-SUM($T$3:T10))</f>
        <v>21.941690387298429</v>
      </c>
      <c r="W10" s="77">
        <f t="shared" si="5"/>
        <v>3.3333333333333335</v>
      </c>
      <c r="X10" s="77">
        <f t="shared" si="6"/>
        <v>6.666666666666667</v>
      </c>
      <c r="Y10" s="77">
        <f t="shared" si="9"/>
        <v>10</v>
      </c>
      <c r="Z10" s="77">
        <f t="shared" si="9"/>
        <v>13.333333333333334</v>
      </c>
      <c r="AA10" s="77">
        <f t="shared" si="9"/>
        <v>16.666666666666668</v>
      </c>
      <c r="AB10" s="77">
        <f t="shared" si="9"/>
        <v>20</v>
      </c>
      <c r="AC10" s="77">
        <f t="shared" si="9"/>
        <v>23.333333333333336</v>
      </c>
      <c r="AD10" s="77">
        <f t="shared" si="9"/>
        <v>26.666666666666668</v>
      </c>
    </row>
    <row r="11" spans="1:30" ht="14" x14ac:dyDescent="0.15">
      <c r="A11" s="78" t="str">
        <f t="shared" si="8"/>
        <v>S. CRIST.</v>
      </c>
      <c r="B11" s="79" t="s">
        <v>199</v>
      </c>
      <c r="C11" s="80"/>
      <c r="D11" s="81">
        <v>230</v>
      </c>
      <c r="E11" s="82">
        <v>16</v>
      </c>
      <c r="F11" s="80">
        <v>84</v>
      </c>
      <c r="G11" s="81">
        <v>80</v>
      </c>
      <c r="H11" s="81">
        <f t="shared" si="0"/>
        <v>82</v>
      </c>
      <c r="I11" s="81">
        <v>86</v>
      </c>
      <c r="J11" s="81">
        <f t="shared" si="1"/>
        <v>88</v>
      </c>
      <c r="K11" s="83" t="str">
        <f t="shared" si="10"/>
        <v>TOD</v>
      </c>
      <c r="L11" s="80" t="str">
        <f t="shared" si="2"/>
        <v/>
      </c>
      <c r="M11" s="81">
        <f t="shared" si="3"/>
        <v>88</v>
      </c>
      <c r="N11" s="80">
        <v>98</v>
      </c>
      <c r="O11" s="80">
        <v>5</v>
      </c>
      <c r="P11" s="84">
        <f t="shared" si="4"/>
        <v>3.0612244897959187</v>
      </c>
      <c r="Q11" s="87"/>
      <c r="R11" s="87"/>
      <c r="S11" s="87"/>
      <c r="T11" s="77">
        <f>IF(P11="","",Performance!$G$13/60*P11)</f>
        <v>0.69328632675270407</v>
      </c>
      <c r="U11" s="88">
        <f>IF(T11="","",$U$22-SUM($T$3:T11))</f>
        <v>21.248404060545724</v>
      </c>
      <c r="W11" s="77">
        <f t="shared" si="5"/>
        <v>3.2666666666666662</v>
      </c>
      <c r="X11" s="77">
        <f t="shared" si="6"/>
        <v>6.5333333333333323</v>
      </c>
      <c r="Y11" s="77">
        <f t="shared" si="9"/>
        <v>9.7999999999999989</v>
      </c>
      <c r="Z11" s="77">
        <f t="shared" si="9"/>
        <v>13.066666666666665</v>
      </c>
      <c r="AA11" s="77">
        <f t="shared" si="9"/>
        <v>16.333333333333332</v>
      </c>
      <c r="AB11" s="77">
        <f t="shared" si="9"/>
        <v>19.599999999999998</v>
      </c>
      <c r="AC11" s="77">
        <f t="shared" si="9"/>
        <v>22.866666666666664</v>
      </c>
      <c r="AD11" s="77">
        <f t="shared" si="9"/>
        <v>26.133333333333329</v>
      </c>
    </row>
    <row r="12" spans="1:30" ht="14" x14ac:dyDescent="0.15">
      <c r="A12" s="78" t="str">
        <f t="shared" si="8"/>
        <v>TOD</v>
      </c>
      <c r="B12" s="79" t="s">
        <v>138</v>
      </c>
      <c r="C12" s="80">
        <v>2300</v>
      </c>
      <c r="D12" s="81">
        <v>230</v>
      </c>
      <c r="E12" s="82">
        <v>11</v>
      </c>
      <c r="F12" s="80">
        <v>70</v>
      </c>
      <c r="G12" s="81">
        <v>80</v>
      </c>
      <c r="H12" s="81">
        <f t="shared" si="0"/>
        <v>82</v>
      </c>
      <c r="I12" s="81">
        <v>85</v>
      </c>
      <c r="J12" s="81">
        <f t="shared" si="1"/>
        <v>87</v>
      </c>
      <c r="K12" s="83" t="str">
        <f t="shared" si="10"/>
        <v>VALVE</v>
      </c>
      <c r="L12" s="80">
        <f t="shared" si="2"/>
        <v>2300</v>
      </c>
      <c r="M12" s="81">
        <f t="shared" si="3"/>
        <v>87</v>
      </c>
      <c r="N12" s="80">
        <v>79</v>
      </c>
      <c r="O12" s="80">
        <v>9</v>
      </c>
      <c r="P12" s="84">
        <f t="shared" si="4"/>
        <v>6.8354430379746836</v>
      </c>
      <c r="Q12" s="87"/>
      <c r="R12" s="87"/>
      <c r="S12" s="87"/>
      <c r="T12" s="77">
        <f>IF(P12="","",Performance!$G$13/60*P12)</f>
        <v>1.548046937204772</v>
      </c>
      <c r="U12" s="88">
        <f>IF(T12="","",$U$22-SUM($T$3:T12))</f>
        <v>19.70035712334095</v>
      </c>
      <c r="W12" s="77">
        <f t="shared" si="5"/>
        <v>2.6333333333333333</v>
      </c>
      <c r="X12" s="77">
        <f t="shared" si="6"/>
        <v>5.2666666666666666</v>
      </c>
      <c r="Y12" s="77">
        <f t="shared" si="9"/>
        <v>7.9</v>
      </c>
      <c r="Z12" s="77">
        <f t="shared" si="9"/>
        <v>10.533333333333333</v>
      </c>
      <c r="AA12" s="77">
        <f t="shared" si="9"/>
        <v>13.166666666666666</v>
      </c>
      <c r="AB12" s="77">
        <f t="shared" si="9"/>
        <v>15.8</v>
      </c>
      <c r="AC12" s="77">
        <f t="shared" si="9"/>
        <v>18.433333333333334</v>
      </c>
      <c r="AD12" s="77">
        <f t="shared" si="9"/>
        <v>21.066666666666666</v>
      </c>
    </row>
    <row r="13" spans="1:30" ht="14" x14ac:dyDescent="0.15">
      <c r="A13" s="78" t="str">
        <f t="shared" si="8"/>
        <v/>
      </c>
      <c r="B13" s="79"/>
      <c r="C13" s="80"/>
      <c r="D13" s="81"/>
      <c r="E13" s="82"/>
      <c r="F13" s="80"/>
      <c r="G13" s="81"/>
      <c r="H13" s="81" t="str">
        <f t="shared" si="0"/>
        <v/>
      </c>
      <c r="I13" s="81"/>
      <c r="J13" s="81" t="str">
        <f t="shared" si="1"/>
        <v/>
      </c>
      <c r="K13" s="83" t="str">
        <f t="shared" si="10"/>
        <v/>
      </c>
      <c r="L13" s="80" t="str">
        <f t="shared" si="2"/>
        <v/>
      </c>
      <c r="M13" s="81" t="str">
        <f t="shared" si="3"/>
        <v/>
      </c>
      <c r="N13" s="80"/>
      <c r="O13" s="80"/>
      <c r="P13" s="84" t="str">
        <f t="shared" si="4"/>
        <v/>
      </c>
      <c r="Q13" s="87"/>
      <c r="R13" s="87"/>
      <c r="S13" s="87"/>
      <c r="T13" s="77" t="str">
        <f>IF(P13="","",Performance!$G$13/60*P13)</f>
        <v/>
      </c>
      <c r="U13" s="88" t="str">
        <f>IF(T13="","",$U$22-SUM($T$3:T13))</f>
        <v/>
      </c>
      <c r="W13" s="77" t="e">
        <f>O13/P13*2</f>
        <v>#VALUE!</v>
      </c>
      <c r="X13" s="77" t="e">
        <f t="shared" si="6"/>
        <v>#VALUE!</v>
      </c>
      <c r="Y13" s="77" t="e">
        <f t="shared" si="9"/>
        <v>#VALUE!</v>
      </c>
      <c r="Z13" s="77" t="e">
        <f t="shared" si="9"/>
        <v>#VALUE!</v>
      </c>
      <c r="AA13" s="77" t="e">
        <f t="shared" si="9"/>
        <v>#VALUE!</v>
      </c>
      <c r="AB13" s="77" t="e">
        <f t="shared" si="9"/>
        <v>#VALUE!</v>
      </c>
      <c r="AC13" s="77" t="e">
        <f t="shared" si="9"/>
        <v>#VALUE!</v>
      </c>
      <c r="AD13" s="77" t="e">
        <f t="shared" si="9"/>
        <v>#VALUE!</v>
      </c>
    </row>
    <row r="14" spans="1:30" ht="14" x14ac:dyDescent="0.15">
      <c r="A14" s="78" t="str">
        <f t="shared" si="8"/>
        <v/>
      </c>
      <c r="B14" s="79"/>
      <c r="C14" s="80"/>
      <c r="D14" s="81"/>
      <c r="E14" s="82"/>
      <c r="F14" s="80"/>
      <c r="G14" s="81"/>
      <c r="H14" s="81" t="str">
        <f t="shared" si="0"/>
        <v/>
      </c>
      <c r="I14" s="81"/>
      <c r="J14" s="81" t="str">
        <f t="shared" si="1"/>
        <v/>
      </c>
      <c r="K14" s="83" t="str">
        <f t="shared" si="10"/>
        <v/>
      </c>
      <c r="L14" s="80" t="str">
        <f t="shared" si="2"/>
        <v/>
      </c>
      <c r="M14" s="81" t="str">
        <f t="shared" si="3"/>
        <v/>
      </c>
      <c r="N14" s="80"/>
      <c r="O14" s="80"/>
      <c r="P14" s="84" t="str">
        <f t="shared" si="4"/>
        <v/>
      </c>
      <c r="Q14" s="87"/>
      <c r="R14" s="87"/>
      <c r="S14" s="87"/>
      <c r="T14" s="77" t="str">
        <f>IF(P14="","",Performance!$G$13/60*P14)</f>
        <v/>
      </c>
      <c r="U14" s="88" t="str">
        <f>IF(T14="","",$U$22-SUM($T$3:T14))</f>
        <v/>
      </c>
      <c r="W14" s="77" t="e">
        <f>O14/P14*$W$2</f>
        <v>#VALUE!</v>
      </c>
      <c r="X14" s="77" t="e">
        <f t="shared" si="6"/>
        <v>#VALUE!</v>
      </c>
      <c r="Y14" s="77" t="e">
        <f t="shared" si="9"/>
        <v>#VALUE!</v>
      </c>
      <c r="Z14" s="77" t="e">
        <f t="shared" si="9"/>
        <v>#VALUE!</v>
      </c>
      <c r="AA14" s="77" t="e">
        <f t="shared" si="9"/>
        <v>#VALUE!</v>
      </c>
      <c r="AB14" s="77" t="e">
        <f t="shared" si="9"/>
        <v>#VALUE!</v>
      </c>
      <c r="AC14" s="77" t="e">
        <f t="shared" si="9"/>
        <v>#VALUE!</v>
      </c>
      <c r="AD14" s="77" t="e">
        <f t="shared" si="9"/>
        <v>#VALUE!</v>
      </c>
    </row>
    <row r="15" spans="1:30" ht="14" x14ac:dyDescent="0.15">
      <c r="A15" s="78" t="str">
        <f t="shared" si="8"/>
        <v/>
      </c>
      <c r="B15" s="79"/>
      <c r="C15" s="80"/>
      <c r="D15" s="81"/>
      <c r="E15" s="82"/>
      <c r="F15" s="80"/>
      <c r="G15" s="81"/>
      <c r="H15" s="81" t="str">
        <f t="shared" si="0"/>
        <v/>
      </c>
      <c r="I15" s="81"/>
      <c r="J15" s="81" t="str">
        <f t="shared" si="1"/>
        <v/>
      </c>
      <c r="K15" s="83" t="str">
        <f t="shared" si="10"/>
        <v/>
      </c>
      <c r="L15" s="80" t="str">
        <f t="shared" si="2"/>
        <v/>
      </c>
      <c r="M15" s="81" t="str">
        <f t="shared" si="3"/>
        <v/>
      </c>
      <c r="N15" s="80"/>
      <c r="O15" s="80"/>
      <c r="P15" s="84" t="str">
        <f t="shared" si="4"/>
        <v/>
      </c>
      <c r="Q15" s="87"/>
      <c r="R15" s="87"/>
      <c r="S15" s="87"/>
      <c r="T15" s="77" t="str">
        <f>IF(P15="","",Performance!$G$13/60*P15)</f>
        <v/>
      </c>
      <c r="U15" s="88" t="str">
        <f>IF(T15="","",$U$22-SUM($T$3:T15))</f>
        <v/>
      </c>
      <c r="W15" s="77" t="e">
        <f>O15/P15*$W$2</f>
        <v>#VALUE!</v>
      </c>
      <c r="X15" s="77" t="e">
        <f t="shared" si="6"/>
        <v>#VALUE!</v>
      </c>
      <c r="Y15" s="77" t="e">
        <f t="shared" si="9"/>
        <v>#VALUE!</v>
      </c>
      <c r="Z15" s="77" t="e">
        <f t="shared" si="9"/>
        <v>#VALUE!</v>
      </c>
      <c r="AA15" s="77" t="e">
        <f t="shared" si="9"/>
        <v>#VALUE!</v>
      </c>
      <c r="AB15" s="77" t="e">
        <f t="shared" si="9"/>
        <v>#VALUE!</v>
      </c>
      <c r="AC15" s="77" t="e">
        <f t="shared" si="9"/>
        <v>#VALUE!</v>
      </c>
      <c r="AD15" s="77" t="e">
        <f t="shared" si="9"/>
        <v>#VALUE!</v>
      </c>
    </row>
    <row r="16" spans="1:30" ht="15" thickBot="1" x14ac:dyDescent="0.2">
      <c r="A16" s="89" t="str">
        <f t="shared" si="8"/>
        <v/>
      </c>
      <c r="B16" s="90"/>
      <c r="C16" s="91"/>
      <c r="D16" s="92"/>
      <c r="E16" s="93"/>
      <c r="F16" s="91"/>
      <c r="G16" s="92"/>
      <c r="H16" s="92" t="str">
        <f t="shared" si="0"/>
        <v/>
      </c>
      <c r="I16" s="92"/>
      <c r="J16" s="92" t="str">
        <f t="shared" si="1"/>
        <v/>
      </c>
      <c r="K16" s="94" t="str">
        <f t="shared" si="10"/>
        <v/>
      </c>
      <c r="L16" s="91" t="str">
        <f t="shared" si="2"/>
        <v/>
      </c>
      <c r="M16" s="92" t="str">
        <f t="shared" si="3"/>
        <v/>
      </c>
      <c r="N16" s="91"/>
      <c r="O16" s="91"/>
      <c r="P16" s="95" t="str">
        <f t="shared" si="4"/>
        <v/>
      </c>
      <c r="Q16" s="96"/>
      <c r="R16" s="96"/>
      <c r="S16" s="96"/>
      <c r="T16" s="97" t="str">
        <f>IF(P16="","",Performance!$G$13/60*P16)</f>
        <v/>
      </c>
      <c r="U16" s="98" t="str">
        <f>IF(T16="","",$U$22-SUM($T$3:T16))</f>
        <v/>
      </c>
      <c r="W16" s="77" t="e">
        <f>O16/P16*2</f>
        <v>#VALUE!</v>
      </c>
      <c r="X16" s="77" t="e">
        <f t="shared" si="6"/>
        <v>#VALUE!</v>
      </c>
      <c r="Y16" s="77" t="e">
        <f t="shared" si="9"/>
        <v>#VALUE!</v>
      </c>
      <c r="Z16" s="77" t="e">
        <f t="shared" si="9"/>
        <v>#VALUE!</v>
      </c>
      <c r="AA16" s="77" t="e">
        <f t="shared" si="9"/>
        <v>#VALUE!</v>
      </c>
      <c r="AB16" s="77" t="e">
        <f t="shared" si="9"/>
        <v>#VALUE!</v>
      </c>
      <c r="AC16" s="77" t="e">
        <f t="shared" si="9"/>
        <v>#VALUE!</v>
      </c>
      <c r="AD16" s="77" t="e">
        <f t="shared" si="9"/>
        <v>#VALUE!</v>
      </c>
    </row>
    <row r="17" spans="1:22" ht="12.75" customHeight="1" thickTop="1" thickBot="1" x14ac:dyDescent="0.2">
      <c r="A17" s="147" t="s">
        <v>139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99">
        <f>SUM(O3:O16)</f>
        <v>112</v>
      </c>
      <c r="P17" s="100">
        <f>SUM(P3:P16)</f>
        <v>86.604731670591462</v>
      </c>
      <c r="Q17" s="101" t="s">
        <v>140</v>
      </c>
      <c r="R17" s="151" t="s">
        <v>141</v>
      </c>
      <c r="S17" s="151"/>
      <c r="T17" s="151"/>
      <c r="U17" s="102">
        <f>SUM(T3:T16)</f>
        <v>19.613679591107257</v>
      </c>
    </row>
    <row r="18" spans="1:22" ht="19.25" customHeight="1" x14ac:dyDescent="0.15">
      <c r="A18" s="65" t="s">
        <v>123</v>
      </c>
      <c r="B18" s="66" t="s">
        <v>124</v>
      </c>
      <c r="C18" s="66" t="s">
        <v>125</v>
      </c>
      <c r="D18" s="148" t="s">
        <v>37</v>
      </c>
      <c r="E18" s="148"/>
      <c r="F18" s="66" t="s">
        <v>126</v>
      </c>
      <c r="G18" s="66" t="s">
        <v>127</v>
      </c>
      <c r="H18" s="66" t="s">
        <v>51</v>
      </c>
      <c r="I18" s="66" t="s">
        <v>128</v>
      </c>
      <c r="J18" s="66" t="s">
        <v>129</v>
      </c>
      <c r="K18" s="66" t="s">
        <v>124</v>
      </c>
      <c r="L18" s="66" t="s">
        <v>125</v>
      </c>
      <c r="M18" s="66" t="s">
        <v>142</v>
      </c>
      <c r="N18" s="66" t="s">
        <v>130</v>
      </c>
      <c r="O18" s="66" t="s">
        <v>131</v>
      </c>
      <c r="P18" s="66" t="s">
        <v>132</v>
      </c>
      <c r="Q18" s="103" t="s">
        <v>143</v>
      </c>
      <c r="R18" s="151" t="s">
        <v>144</v>
      </c>
      <c r="S18" s="151"/>
      <c r="T18" s="151"/>
      <c r="U18" s="104">
        <f>MAX(Q19:Q21)</f>
        <v>6.1222515624008018</v>
      </c>
    </row>
    <row r="19" spans="1:22" ht="12.75" customHeight="1" x14ac:dyDescent="0.15">
      <c r="A19" s="67" t="s">
        <v>33</v>
      </c>
      <c r="B19" s="68" t="s">
        <v>68</v>
      </c>
      <c r="C19" s="69">
        <v>3000</v>
      </c>
      <c r="D19" s="70">
        <v>230</v>
      </c>
      <c r="E19" s="71">
        <v>11</v>
      </c>
      <c r="F19" s="70">
        <v>205</v>
      </c>
      <c r="G19" s="70">
        <v>209</v>
      </c>
      <c r="H19" s="69">
        <v>84</v>
      </c>
      <c r="I19" s="70">
        <v>203</v>
      </c>
      <c r="J19" s="105">
        <f>IF(I19="","",I19+2)</f>
        <v>205</v>
      </c>
      <c r="K19" s="72" t="str">
        <f t="shared" ref="K19:L21" si="11">IF(B19="","",B19)</f>
        <v>LPBJ</v>
      </c>
      <c r="L19" s="69">
        <f t="shared" si="11"/>
        <v>3000</v>
      </c>
      <c r="M19" s="70">
        <f>IF(J19="","",J19)</f>
        <v>205</v>
      </c>
      <c r="N19" s="69">
        <v>74</v>
      </c>
      <c r="O19" s="69">
        <v>29</v>
      </c>
      <c r="P19" s="84">
        <f>IF(N19="","",O19/N19*60)</f>
        <v>23.513513513513512</v>
      </c>
      <c r="Q19" s="88">
        <f>IF(O19="","",Performance!G13/60*P19)</f>
        <v>5.3251884881923912</v>
      </c>
      <c r="R19" s="151" t="s">
        <v>145</v>
      </c>
      <c r="S19" s="151"/>
      <c r="T19" s="151"/>
      <c r="U19" s="104">
        <v>2</v>
      </c>
    </row>
    <row r="20" spans="1:22" ht="12.75" customHeight="1" x14ac:dyDescent="0.15">
      <c r="A20" s="78" t="s">
        <v>33</v>
      </c>
      <c r="B20" s="79" t="s">
        <v>67</v>
      </c>
      <c r="C20" s="80">
        <v>3000</v>
      </c>
      <c r="D20" s="81">
        <v>230</v>
      </c>
      <c r="E20" s="82">
        <v>11</v>
      </c>
      <c r="F20" s="81">
        <v>349</v>
      </c>
      <c r="G20" s="81">
        <f>IF(F20="","",F20+2)</f>
        <v>351</v>
      </c>
      <c r="H20" s="80">
        <v>84</v>
      </c>
      <c r="I20" s="81">
        <v>342</v>
      </c>
      <c r="J20" s="106">
        <f>IF(I20="","",I20+2)</f>
        <v>344</v>
      </c>
      <c r="K20" s="83" t="str">
        <f t="shared" si="11"/>
        <v>LPSO</v>
      </c>
      <c r="L20" s="80">
        <f t="shared" si="11"/>
        <v>3000</v>
      </c>
      <c r="M20" s="81">
        <f>IF(J20="","",J20)</f>
        <v>344</v>
      </c>
      <c r="N20" s="80">
        <v>91</v>
      </c>
      <c r="O20" s="80">
        <v>41</v>
      </c>
      <c r="P20" s="107">
        <f>IF(N20="","",O20/N20*60)</f>
        <v>27.032967032967033</v>
      </c>
      <c r="Q20" s="88">
        <f>IF(O20="","",Performance!G13/60*P20)</f>
        <v>6.1222515624008018</v>
      </c>
      <c r="R20" s="151" t="s">
        <v>146</v>
      </c>
      <c r="S20" s="151"/>
      <c r="T20" s="151"/>
      <c r="U20" s="104">
        <f>SUM(U17:U19)*0.05</f>
        <v>1.3867965576754031</v>
      </c>
    </row>
    <row r="21" spans="1:22" ht="12.75" customHeight="1" x14ac:dyDescent="0.15">
      <c r="A21" s="89"/>
      <c r="B21" s="90"/>
      <c r="C21" s="91"/>
      <c r="D21" s="92"/>
      <c r="E21" s="91"/>
      <c r="F21" s="92"/>
      <c r="G21" s="92" t="str">
        <f>IF(F21="","",F21+2)</f>
        <v/>
      </c>
      <c r="H21" s="91"/>
      <c r="I21" s="92"/>
      <c r="J21" s="108" t="str">
        <f>IF(I21="","",I21+2)</f>
        <v/>
      </c>
      <c r="K21" s="94" t="str">
        <f t="shared" si="11"/>
        <v/>
      </c>
      <c r="L21" s="91" t="str">
        <f t="shared" si="11"/>
        <v/>
      </c>
      <c r="M21" s="92" t="str">
        <f>IF(J21="","",J21)</f>
        <v/>
      </c>
      <c r="N21" s="91"/>
      <c r="O21" s="91"/>
      <c r="P21" s="109" t="str">
        <f>IF(N21="","",O21/N21*60)</f>
        <v/>
      </c>
      <c r="Q21" s="110" t="str">
        <f>IF(O21="","",14/60*P21)</f>
        <v/>
      </c>
      <c r="R21" s="151" t="s">
        <v>147</v>
      </c>
      <c r="S21" s="151"/>
      <c r="T21" s="151"/>
      <c r="U21" s="104">
        <f>Performance!G13*0.75</f>
        <v>10.191309003264749</v>
      </c>
    </row>
    <row r="22" spans="1:22" ht="12.75" customHeight="1" x14ac:dyDescent="0.15">
      <c r="R22" s="152" t="s">
        <v>148</v>
      </c>
      <c r="S22" s="152"/>
      <c r="T22" s="152"/>
      <c r="U22" s="111">
        <f>IF(U17="","",SUM(U17:U21))</f>
        <v>39.314036714448207</v>
      </c>
    </row>
    <row r="23" spans="1:22" x14ac:dyDescent="0.15">
      <c r="S23" s="44"/>
    </row>
    <row r="24" spans="1:22" ht="14.25" customHeight="1" x14ac:dyDescent="0.15">
      <c r="A24" s="153" t="s">
        <v>149</v>
      </c>
      <c r="B24" s="153"/>
      <c r="C24" s="153"/>
      <c r="D24" s="153"/>
      <c r="E24" s="153"/>
      <c r="F24" s="153"/>
      <c r="G24" s="153"/>
      <c r="H24" s="153"/>
      <c r="I24" s="153"/>
      <c r="K24" s="154" t="s">
        <v>150</v>
      </c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12"/>
    </row>
    <row r="25" spans="1:22" ht="12.75" customHeight="1" x14ac:dyDescent="0.15">
      <c r="A25" s="155"/>
      <c r="B25" s="155"/>
      <c r="C25" s="155"/>
      <c r="D25" s="155"/>
      <c r="E25" s="155"/>
      <c r="F25" s="155"/>
      <c r="G25" s="155"/>
      <c r="H25" s="155"/>
      <c r="I25" s="155"/>
      <c r="K25" s="113" t="s">
        <v>151</v>
      </c>
      <c r="L25" s="156" t="s">
        <v>152</v>
      </c>
      <c r="M25" s="156"/>
      <c r="N25" s="156" t="s">
        <v>153</v>
      </c>
      <c r="O25" s="156"/>
      <c r="P25" s="156" t="s">
        <v>154</v>
      </c>
      <c r="Q25" s="156"/>
      <c r="R25" s="156" t="s">
        <v>155</v>
      </c>
      <c r="S25" s="156"/>
      <c r="T25" s="157" t="s">
        <v>156</v>
      </c>
      <c r="U25" s="157"/>
    </row>
    <row r="26" spans="1:22" x14ac:dyDescent="0.15">
      <c r="A26" s="155"/>
      <c r="B26" s="155"/>
      <c r="C26" s="155"/>
      <c r="D26" s="155"/>
      <c r="E26" s="155"/>
      <c r="F26" s="155"/>
      <c r="G26" s="155"/>
      <c r="H26" s="155"/>
      <c r="I26" s="155"/>
      <c r="K26" s="114"/>
      <c r="L26" s="158"/>
      <c r="M26" s="158"/>
      <c r="N26" s="158"/>
      <c r="O26" s="158"/>
      <c r="P26" s="159"/>
      <c r="Q26" s="159"/>
      <c r="R26" s="159"/>
      <c r="S26" s="159"/>
      <c r="T26" s="160"/>
      <c r="U26" s="160"/>
    </row>
    <row r="27" spans="1:22" x14ac:dyDescent="0.15">
      <c r="A27" s="155"/>
      <c r="B27" s="155"/>
      <c r="C27" s="155"/>
      <c r="D27" s="155"/>
      <c r="E27" s="155"/>
      <c r="F27" s="155"/>
      <c r="G27" s="155"/>
      <c r="H27" s="155"/>
      <c r="I27" s="155"/>
      <c r="K27" s="115"/>
      <c r="L27" s="161"/>
      <c r="M27" s="161"/>
      <c r="N27" s="161"/>
      <c r="O27" s="161"/>
      <c r="P27" s="159"/>
      <c r="Q27" s="159"/>
      <c r="R27" s="159"/>
      <c r="S27" s="159"/>
      <c r="T27" s="162"/>
      <c r="U27" s="162"/>
    </row>
    <row r="28" spans="1:22" x14ac:dyDescent="0.15">
      <c r="A28" s="155"/>
      <c r="B28" s="155"/>
      <c r="C28" s="155"/>
      <c r="D28" s="155"/>
      <c r="E28" s="155"/>
      <c r="F28" s="155"/>
      <c r="G28" s="155"/>
      <c r="H28" s="155"/>
      <c r="I28" s="155"/>
      <c r="K28" s="115"/>
      <c r="L28" s="161"/>
      <c r="M28" s="161"/>
      <c r="N28" s="161"/>
      <c r="O28" s="161"/>
      <c r="P28" s="159"/>
      <c r="Q28" s="159"/>
      <c r="R28" s="159"/>
      <c r="S28" s="159"/>
      <c r="T28" s="162"/>
      <c r="U28" s="162"/>
    </row>
    <row r="29" spans="1:22" x14ac:dyDescent="0.15">
      <c r="A29" s="155"/>
      <c r="B29" s="155"/>
      <c r="C29" s="155"/>
      <c r="D29" s="155"/>
      <c r="E29" s="155"/>
      <c r="F29" s="155"/>
      <c r="G29" s="155"/>
      <c r="H29" s="155"/>
      <c r="I29" s="155"/>
      <c r="K29" s="115"/>
      <c r="L29" s="161"/>
      <c r="M29" s="161"/>
      <c r="N29" s="161"/>
      <c r="O29" s="161"/>
      <c r="P29" s="159"/>
      <c r="Q29" s="159"/>
      <c r="R29" s="159"/>
      <c r="S29" s="159"/>
      <c r="T29" s="162"/>
      <c r="U29" s="162"/>
    </row>
    <row r="30" spans="1:22" x14ac:dyDescent="0.15">
      <c r="A30" s="155"/>
      <c r="B30" s="155"/>
      <c r="C30" s="155"/>
      <c r="D30" s="155"/>
      <c r="E30" s="155"/>
      <c r="F30" s="155"/>
      <c r="G30" s="155"/>
      <c r="H30" s="155"/>
      <c r="I30" s="155"/>
      <c r="K30" s="115"/>
      <c r="L30" s="161"/>
      <c r="M30" s="161"/>
      <c r="N30" s="161"/>
      <c r="O30" s="161"/>
      <c r="P30" s="159"/>
      <c r="Q30" s="159"/>
      <c r="R30" s="159"/>
      <c r="S30" s="159"/>
      <c r="T30" s="162"/>
      <c r="U30" s="162"/>
    </row>
    <row r="31" spans="1:22" x14ac:dyDescent="0.15">
      <c r="A31" s="155"/>
      <c r="B31" s="155"/>
      <c r="C31" s="155"/>
      <c r="D31" s="155"/>
      <c r="E31" s="155"/>
      <c r="F31" s="155"/>
      <c r="G31" s="155"/>
      <c r="H31" s="155"/>
      <c r="I31" s="155"/>
      <c r="K31" s="116"/>
      <c r="L31" s="163"/>
      <c r="M31" s="163"/>
      <c r="N31" s="163"/>
      <c r="O31" s="163"/>
      <c r="P31" s="163"/>
      <c r="Q31" s="163"/>
      <c r="R31" s="163"/>
      <c r="S31" s="163"/>
      <c r="T31" s="164"/>
      <c r="U31" s="164"/>
    </row>
  </sheetData>
  <mergeCells count="50">
    <mergeCell ref="L31:M31"/>
    <mergeCell ref="N31:O31"/>
    <mergeCell ref="P31:Q31"/>
    <mergeCell ref="R31:S31"/>
    <mergeCell ref="T31:U31"/>
    <mergeCell ref="L30:M30"/>
    <mergeCell ref="N30:O30"/>
    <mergeCell ref="P30:Q30"/>
    <mergeCell ref="R30:S30"/>
    <mergeCell ref="T30:U30"/>
    <mergeCell ref="L29:M29"/>
    <mergeCell ref="N29:O29"/>
    <mergeCell ref="P29:Q29"/>
    <mergeCell ref="R29:S29"/>
    <mergeCell ref="T29:U29"/>
    <mergeCell ref="P27:Q27"/>
    <mergeCell ref="R27:S27"/>
    <mergeCell ref="T27:U27"/>
    <mergeCell ref="L28:M28"/>
    <mergeCell ref="N28:O28"/>
    <mergeCell ref="P28:Q28"/>
    <mergeCell ref="R28:S28"/>
    <mergeCell ref="T28:U28"/>
    <mergeCell ref="R22:T22"/>
    <mergeCell ref="A24:I24"/>
    <mergeCell ref="K24:U24"/>
    <mergeCell ref="A25:I31"/>
    <mergeCell ref="L25:M25"/>
    <mergeCell ref="N25:O25"/>
    <mergeCell ref="P25:Q25"/>
    <mergeCell ref="R25:S25"/>
    <mergeCell ref="T25:U25"/>
    <mergeCell ref="L26:M26"/>
    <mergeCell ref="N26:O26"/>
    <mergeCell ref="P26:Q26"/>
    <mergeCell ref="R26:S26"/>
    <mergeCell ref="T26:U26"/>
    <mergeCell ref="L27:M27"/>
    <mergeCell ref="N27:O27"/>
    <mergeCell ref="D18:E18"/>
    <mergeCell ref="R18:T18"/>
    <mergeCell ref="R19:T19"/>
    <mergeCell ref="R20:T20"/>
    <mergeCell ref="R21:T21"/>
    <mergeCell ref="A1:U1"/>
    <mergeCell ref="D2:E2"/>
    <mergeCell ref="R2:R3"/>
    <mergeCell ref="U2:U3"/>
    <mergeCell ref="A17:N17"/>
    <mergeCell ref="R17:T17"/>
  </mergeCells>
  <pageMargins left="0.2" right="0.2" top="0.2" bottom="0.2" header="0.511811023622047" footer="0.511811023622047"/>
  <pageSetup paperSize="9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42"/>
  <sheetViews>
    <sheetView zoomScale="120" zoomScaleNormal="120" workbookViewId="0">
      <selection activeCell="A19" sqref="A19:D21"/>
    </sheetView>
  </sheetViews>
  <sheetFormatPr baseColWidth="10" defaultColWidth="8.6640625" defaultRowHeight="13" x14ac:dyDescent="0.15"/>
  <cols>
    <col min="1" max="1" width="6.5" bestFit="1" customWidth="1"/>
    <col min="2" max="2" width="7.5" customWidth="1"/>
    <col min="3" max="3" width="0.5" customWidth="1"/>
    <col min="4" max="4" width="2.5" customWidth="1"/>
    <col min="5" max="6" width="0.6640625" customWidth="1"/>
    <col min="7" max="7" width="2.5" customWidth="1"/>
    <col min="8" max="8" width="6.83203125" customWidth="1"/>
    <col min="9" max="9" width="3" customWidth="1"/>
    <col min="10" max="10" width="0.6640625" customWidth="1"/>
    <col min="11" max="11" width="7" customWidth="1"/>
    <col min="12" max="12" width="2.5" customWidth="1"/>
    <col min="13" max="13" width="10.5" customWidth="1"/>
    <col min="14" max="14" width="0.5" customWidth="1"/>
    <col min="15" max="15" width="7.5" customWidth="1"/>
    <col min="16" max="16" width="10.5" customWidth="1"/>
  </cols>
  <sheetData>
    <row r="1" spans="1:16" ht="12.75" customHeight="1" x14ac:dyDescent="0.15">
      <c r="A1" s="165" t="s">
        <v>157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1:16" ht="3" customHeight="1" x14ac:dyDescent="0.15"/>
    <row r="3" spans="1:16" ht="12.75" customHeight="1" x14ac:dyDescent="0.15">
      <c r="A3" s="166" t="s">
        <v>158</v>
      </c>
      <c r="B3" s="166"/>
      <c r="C3" s="166"/>
      <c r="D3" s="166"/>
      <c r="E3" s="166"/>
      <c r="F3" s="2"/>
      <c r="G3" s="167" t="s">
        <v>159</v>
      </c>
      <c r="H3" s="167"/>
      <c r="I3" s="167"/>
      <c r="K3" s="167" t="s">
        <v>160</v>
      </c>
      <c r="L3" s="167"/>
      <c r="M3" s="168" t="s">
        <v>161</v>
      </c>
      <c r="N3" s="167" t="s">
        <v>72</v>
      </c>
      <c r="O3" s="167"/>
      <c r="P3" s="168" t="s">
        <v>161</v>
      </c>
    </row>
    <row r="4" spans="1:16" ht="8.25" customHeight="1" x14ac:dyDescent="0.15">
      <c r="A4" s="169">
        <f ca="1">TODAY()</f>
        <v>44510</v>
      </c>
      <c r="B4" s="169"/>
      <c r="C4" s="169"/>
      <c r="D4" s="169"/>
      <c r="E4" s="169"/>
      <c r="F4" s="2"/>
      <c r="G4" s="170" t="s">
        <v>200</v>
      </c>
      <c r="H4" s="170"/>
      <c r="I4" s="170"/>
      <c r="K4" s="167"/>
      <c r="L4" s="167"/>
      <c r="M4" s="168"/>
      <c r="N4" s="167"/>
      <c r="O4" s="167"/>
      <c r="P4" s="168"/>
    </row>
    <row r="5" spans="1:16" ht="3.75" customHeight="1" x14ac:dyDescent="0.15">
      <c r="A5" s="169"/>
      <c r="B5" s="169"/>
      <c r="C5" s="169"/>
      <c r="D5" s="169"/>
      <c r="E5" s="169"/>
      <c r="G5" s="170"/>
      <c r="H5" s="170"/>
      <c r="I5" s="170"/>
      <c r="K5" s="167" t="s">
        <v>162</v>
      </c>
      <c r="L5" s="167"/>
      <c r="M5" s="168" t="s">
        <v>161</v>
      </c>
      <c r="N5" s="167" t="s">
        <v>163</v>
      </c>
      <c r="O5" s="167"/>
      <c r="P5" s="168" t="s">
        <v>161</v>
      </c>
    </row>
    <row r="6" spans="1:16" ht="3" customHeight="1" x14ac:dyDescent="0.15">
      <c r="K6" s="167"/>
      <c r="L6" s="167"/>
      <c r="M6" s="168"/>
      <c r="N6" s="167"/>
      <c r="O6" s="167"/>
      <c r="P6" s="168"/>
    </row>
    <row r="7" spans="1:16" ht="12.75" customHeight="1" x14ac:dyDescent="0.15">
      <c r="A7" s="167" t="s">
        <v>164</v>
      </c>
      <c r="B7" s="167"/>
      <c r="C7" s="167"/>
      <c r="D7" s="167"/>
      <c r="E7" s="167"/>
      <c r="G7" s="167" t="s">
        <v>165</v>
      </c>
      <c r="H7" s="167"/>
      <c r="I7" s="167"/>
      <c r="K7" s="167"/>
      <c r="L7" s="167"/>
      <c r="M7" s="168"/>
      <c r="N7" s="167"/>
      <c r="O7" s="167"/>
      <c r="P7" s="168"/>
    </row>
    <row r="8" spans="1:16" s="2" customFormat="1" ht="3.75" customHeight="1" x14ac:dyDescent="0.15">
      <c r="A8" s="167"/>
      <c r="B8" s="167"/>
      <c r="C8" s="167"/>
      <c r="D8" s="167"/>
      <c r="E8" s="167"/>
      <c r="G8" s="167"/>
      <c r="H8" s="167"/>
      <c r="I8" s="167"/>
      <c r="K8" s="167" t="s">
        <v>166</v>
      </c>
      <c r="L8" s="167"/>
      <c r="M8" s="168" t="s">
        <v>161</v>
      </c>
      <c r="N8" s="167" t="s">
        <v>167</v>
      </c>
      <c r="O8" s="167"/>
      <c r="P8" s="168" t="s">
        <v>161</v>
      </c>
    </row>
    <row r="9" spans="1:16" s="2" customFormat="1" ht="15.75" customHeight="1" x14ac:dyDescent="0.15">
      <c r="A9" s="170" t="s">
        <v>168</v>
      </c>
      <c r="B9" s="170"/>
      <c r="C9" s="170"/>
      <c r="D9" s="170"/>
      <c r="E9" s="170"/>
      <c r="G9" s="170" t="str">
        <f>VLOOKUP('Mass &amp; Balance Sheet'!J4,'Mass &amp; Balance Sheet'!K4:N7,2,TRUE())</f>
        <v>CS-ECQ</v>
      </c>
      <c r="H9" s="170"/>
      <c r="I9" s="170"/>
      <c r="K9" s="167"/>
      <c r="L9" s="167"/>
      <c r="M9" s="168"/>
      <c r="N9" s="167"/>
      <c r="O9" s="167"/>
      <c r="P9" s="168"/>
    </row>
    <row r="10" spans="1:16" ht="3" customHeight="1" x14ac:dyDescent="0.15"/>
    <row r="11" spans="1:16" ht="12.75" customHeight="1" x14ac:dyDescent="0.15">
      <c r="A11" s="165" t="s">
        <v>169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</row>
    <row r="12" spans="1:16" s="2" customFormat="1" ht="3" customHeight="1" x14ac:dyDescent="0.15"/>
    <row r="13" spans="1:16" ht="12.75" customHeight="1" x14ac:dyDescent="0.15">
      <c r="A13" s="167" t="s">
        <v>170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</row>
    <row r="14" spans="1:16" ht="23.25" customHeight="1" x14ac:dyDescent="0.15">
      <c r="A14" s="171" t="s">
        <v>171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</row>
    <row r="15" spans="1:16" ht="3" customHeight="1" x14ac:dyDescent="0.15"/>
    <row r="16" spans="1:16" ht="12.75" customHeight="1" x14ac:dyDescent="0.15">
      <c r="A16" s="165" t="s">
        <v>172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</row>
    <row r="17" spans="1:16" ht="3" customHeight="1" x14ac:dyDescent="0.15"/>
    <row r="18" spans="1:16" ht="12.75" customHeight="1" x14ac:dyDescent="0.15">
      <c r="A18" s="167" t="s">
        <v>173</v>
      </c>
      <c r="B18" s="167"/>
      <c r="C18" s="167"/>
      <c r="D18" s="167"/>
      <c r="E18" s="167" t="s">
        <v>174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</row>
    <row r="19" spans="1:16" ht="22.25" customHeight="1" x14ac:dyDescent="0.15">
      <c r="A19" s="172" t="s">
        <v>201</v>
      </c>
      <c r="B19" s="172"/>
      <c r="C19" s="172"/>
      <c r="D19" s="172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</row>
    <row r="20" spans="1:16" ht="12.75" customHeight="1" x14ac:dyDescent="0.15">
      <c r="A20" s="172"/>
      <c r="B20" s="172"/>
      <c r="C20" s="172"/>
      <c r="D20" s="172"/>
      <c r="E20" s="167" t="s">
        <v>175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</row>
    <row r="21" spans="1:16" ht="23" x14ac:dyDescent="0.15">
      <c r="A21" s="172"/>
      <c r="B21" s="172"/>
      <c r="C21" s="172"/>
      <c r="D21" s="172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</row>
    <row r="22" spans="1:16" ht="3" customHeight="1" x14ac:dyDescent="0.15"/>
    <row r="23" spans="1:16" ht="12.75" customHeight="1" x14ac:dyDescent="0.15">
      <c r="A23" s="165" t="s">
        <v>176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</row>
    <row r="24" spans="1:16" ht="3" customHeight="1" x14ac:dyDescent="0.15"/>
    <row r="25" spans="1:16" ht="12.75" customHeight="1" x14ac:dyDescent="0.15">
      <c r="A25" s="117" t="s">
        <v>177</v>
      </c>
      <c r="B25" s="117" t="s">
        <v>39</v>
      </c>
      <c r="D25" s="167" t="s">
        <v>178</v>
      </c>
      <c r="E25" s="167"/>
      <c r="F25" s="167"/>
      <c r="G25" s="167"/>
      <c r="H25" s="117" t="s">
        <v>179</v>
      </c>
      <c r="I25" s="167" t="s">
        <v>51</v>
      </c>
      <c r="J25" s="167"/>
      <c r="K25" s="167"/>
      <c r="L25" s="167" t="s">
        <v>180</v>
      </c>
      <c r="M25" s="167"/>
      <c r="O25" s="117" t="s">
        <v>181</v>
      </c>
      <c r="P25" s="117" t="s">
        <v>156</v>
      </c>
    </row>
    <row r="26" spans="1:16" ht="12.75" customHeight="1" x14ac:dyDescent="0.15">
      <c r="A26" s="123">
        <f>Performance!C13</f>
        <v>6000</v>
      </c>
      <c r="B26" s="124">
        <f>FC!B1</f>
        <v>7</v>
      </c>
      <c r="C26" s="2"/>
      <c r="D26" s="173">
        <f>FC!E1</f>
        <v>2050</v>
      </c>
      <c r="E26" s="173"/>
      <c r="F26" s="173"/>
      <c r="G26" s="173"/>
      <c r="H26" s="118">
        <f>_xlfn.FORECAST.LINEAR(Performance!C13,FC!E5:E8,FC!A5:A8)</f>
        <v>0.50586075766235039</v>
      </c>
      <c r="I26" s="174">
        <f>Performance!F13</f>
        <v>83.889660211617269</v>
      </c>
      <c r="J26" s="174"/>
      <c r="K26" s="174"/>
      <c r="L26" s="175">
        <f>Performance!G13</f>
        <v>13.588412004352998</v>
      </c>
      <c r="M26" s="175"/>
      <c r="N26" s="2"/>
      <c r="O26" s="122">
        <f>'Navigation Log'!U22</f>
        <v>39.314036714448207</v>
      </c>
      <c r="P26" s="121">
        <f>O26/L26/24</f>
        <v>0.12055013216976745</v>
      </c>
    </row>
    <row r="27" spans="1:16" ht="3" customHeight="1" x14ac:dyDescent="0.15">
      <c r="B27" s="119"/>
    </row>
    <row r="28" spans="1:16" ht="12.75" customHeight="1" x14ac:dyDescent="0.15">
      <c r="A28" s="165" t="s">
        <v>182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</row>
    <row r="29" spans="1:16" ht="3" customHeight="1" x14ac:dyDescent="0.15"/>
    <row r="30" spans="1:16" ht="12.75" customHeight="1" x14ac:dyDescent="0.15">
      <c r="A30" s="167" t="s">
        <v>170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</row>
    <row r="31" spans="1:16" ht="23.25" customHeight="1" x14ac:dyDescent="0.15">
      <c r="A31" s="171" t="s">
        <v>183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</row>
    <row r="32" spans="1:16" ht="3" customHeight="1" x14ac:dyDescent="0.15"/>
    <row r="33" spans="1:16" ht="12.75" customHeight="1" x14ac:dyDescent="0.15">
      <c r="A33" s="165" t="s">
        <v>184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</row>
    <row r="34" spans="1:16" ht="3" customHeight="1" x14ac:dyDescent="0.15"/>
    <row r="35" spans="1:16" ht="12.75" customHeight="1" x14ac:dyDescent="0.15">
      <c r="A35" s="167" t="s">
        <v>173</v>
      </c>
      <c r="B35" s="167"/>
      <c r="C35" s="167"/>
      <c r="D35" s="167"/>
      <c r="E35" s="167" t="s">
        <v>185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</row>
    <row r="36" spans="1:16" ht="22.25" customHeight="1" x14ac:dyDescent="0.15">
      <c r="A36" s="172" t="s">
        <v>186</v>
      </c>
      <c r="B36" s="172"/>
      <c r="C36" s="172"/>
      <c r="D36" s="172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</row>
    <row r="37" spans="1:16" ht="12.75" customHeight="1" x14ac:dyDescent="0.15">
      <c r="A37" s="172"/>
      <c r="B37" s="172"/>
      <c r="C37" s="172"/>
      <c r="D37" s="172"/>
      <c r="E37" s="167" t="s">
        <v>187</v>
      </c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</row>
    <row r="38" spans="1:16" ht="23" x14ac:dyDescent="0.15">
      <c r="A38" s="172"/>
      <c r="B38" s="172"/>
      <c r="C38" s="172"/>
      <c r="D38" s="172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</row>
    <row r="39" spans="1:16" ht="3" customHeight="1" x14ac:dyDescent="0.15"/>
    <row r="40" spans="1:16" ht="12.75" customHeight="1" x14ac:dyDescent="0.15">
      <c r="A40" s="165" t="s">
        <v>149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</row>
    <row r="41" spans="1:16" ht="3" customHeight="1" x14ac:dyDescent="0.15"/>
    <row r="42" spans="1:16" ht="48" customHeight="1" x14ac:dyDescent="0.15">
      <c r="A42" s="17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</row>
  </sheetData>
  <mergeCells count="50">
    <mergeCell ref="A42:P42"/>
    <mergeCell ref="A36:D38"/>
    <mergeCell ref="E36:P36"/>
    <mergeCell ref="E37:P37"/>
    <mergeCell ref="E38:P38"/>
    <mergeCell ref="A40:P40"/>
    <mergeCell ref="A28:P28"/>
    <mergeCell ref="A30:P30"/>
    <mergeCell ref="A31:P31"/>
    <mergeCell ref="A33:P33"/>
    <mergeCell ref="A35:D35"/>
    <mergeCell ref="E35:P35"/>
    <mergeCell ref="D25:G25"/>
    <mergeCell ref="I25:K25"/>
    <mergeCell ref="L25:M25"/>
    <mergeCell ref="D26:G26"/>
    <mergeCell ref="I26:K26"/>
    <mergeCell ref="L26:M26"/>
    <mergeCell ref="A19:D21"/>
    <mergeCell ref="E19:P19"/>
    <mergeCell ref="E20:P20"/>
    <mergeCell ref="E21:P21"/>
    <mergeCell ref="A23:P23"/>
    <mergeCell ref="A11:P11"/>
    <mergeCell ref="A13:P13"/>
    <mergeCell ref="A14:P14"/>
    <mergeCell ref="A16:P16"/>
    <mergeCell ref="A18:D18"/>
    <mergeCell ref="E18:P18"/>
    <mergeCell ref="M8:M9"/>
    <mergeCell ref="N8:O9"/>
    <mergeCell ref="P8:P9"/>
    <mergeCell ref="A9:E9"/>
    <mergeCell ref="G9:I9"/>
    <mergeCell ref="A1:P1"/>
    <mergeCell ref="A3:E3"/>
    <mergeCell ref="G3:I3"/>
    <mergeCell ref="K3:L4"/>
    <mergeCell ref="M3:M4"/>
    <mergeCell ref="N3:O4"/>
    <mergeCell ref="P3:P4"/>
    <mergeCell ref="A4:E5"/>
    <mergeCell ref="G4:I5"/>
    <mergeCell ref="K5:L7"/>
    <mergeCell ref="M5:M7"/>
    <mergeCell ref="N5:O7"/>
    <mergeCell ref="P5:P7"/>
    <mergeCell ref="A7:E8"/>
    <mergeCell ref="G7:I8"/>
    <mergeCell ref="K8:L9"/>
  </mergeCells>
  <pageMargins left="0.23622047244094491" right="0.23622047244094491" top="0.74803149606299213" bottom="0.74803149606299213" header="0.31496062992125984" footer="0.31496062992125984"/>
  <pageSetup paperSize="9" fitToWidth="2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Mass &amp; Balance Sheet</vt:lpstr>
      <vt:lpstr>FC</vt:lpstr>
      <vt:lpstr>Performance</vt:lpstr>
      <vt:lpstr>Dep 620</vt:lpstr>
      <vt:lpstr>Land 620</vt:lpstr>
      <vt:lpstr>Alternate 620</vt:lpstr>
      <vt:lpstr>Fuel</vt:lpstr>
      <vt:lpstr>Navigation Log</vt:lpstr>
      <vt:lpstr>Navigation Log Sheet</vt:lpstr>
      <vt:lpstr>Aerodromos</vt:lpstr>
      <vt:lpstr>Aeronave</vt:lpstr>
      <vt:lpstr>'Mass &amp; Balance Sheet'!Print_Area</vt:lpstr>
      <vt:lpstr>'Navigation Log'!Print_Area</vt:lpstr>
      <vt:lpstr>'Navigation Log Sheet'!Print_Area</vt:lpstr>
      <vt:lpstr>Performance!Print_Area</vt:lpstr>
      <vt:lpstr>Performance!Print_Area_0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</dc:creator>
  <dc:description/>
  <cp:lastModifiedBy>Microsoft Office User</cp:lastModifiedBy>
  <cp:revision>158</cp:revision>
  <cp:lastPrinted>2021-11-09T16:13:13Z</cp:lastPrinted>
  <dcterms:created xsi:type="dcterms:W3CDTF">2021-07-20T15:24:48Z</dcterms:created>
  <dcterms:modified xsi:type="dcterms:W3CDTF">2021-11-10T17:33:57Z</dcterms:modified>
  <dc:language>en-US</dc:language>
</cp:coreProperties>
</file>