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eroberts/OneDrive - UNSW/python/en/DATA_EN_5/reference/"/>
    </mc:Choice>
  </mc:AlternateContent>
  <xr:revisionPtr revIDLastSave="21" documentId="13_ncr:1_{35E77F62-4831-40D2-84E8-DCD5BEBDE065}" xr6:coauthVersionLast="43" xr6:coauthVersionMax="43" xr10:uidLastSave="{6ECDB067-71BC-E841-95FA-8A6923817EE8}"/>
  <bookViews>
    <workbookView xWindow="4420" yWindow="740" windowWidth="19420" windowHeight="15820" xr2:uid="{00000000-000D-0000-FFFF-FFFF00000000}"/>
  </bookViews>
  <sheets>
    <sheet name="capex_pv_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24" i="1"/>
  <c r="D23" i="1"/>
  <c r="I25" i="1"/>
  <c r="L25" i="1" s="1"/>
  <c r="M25" i="1" s="1"/>
  <c r="H25" i="1"/>
  <c r="F25" i="1" s="1"/>
  <c r="L24" i="1"/>
  <c r="M24" i="1" s="1"/>
  <c r="K24" i="1"/>
  <c r="J24" i="1"/>
  <c r="I24" i="1"/>
  <c r="H24" i="1"/>
  <c r="F24" i="1" s="1"/>
  <c r="E24" i="1"/>
  <c r="I23" i="1"/>
  <c r="J23" i="1" s="1"/>
  <c r="K23" i="1" s="1"/>
  <c r="H23" i="1"/>
  <c r="F23" i="1" s="1"/>
  <c r="E23" i="1"/>
  <c r="E20" i="1"/>
  <c r="H20" i="1"/>
  <c r="F20" i="1" s="1"/>
  <c r="E21" i="1"/>
  <c r="H21" i="1"/>
  <c r="F21" i="1" s="1"/>
  <c r="E22" i="1"/>
  <c r="H22" i="1"/>
  <c r="F22" i="1" s="1"/>
  <c r="D22" i="1"/>
  <c r="D21" i="1"/>
  <c r="D20" i="1"/>
  <c r="I22" i="1"/>
  <c r="L22" i="1" s="1"/>
  <c r="M22" i="1" s="1"/>
  <c r="J22" i="1"/>
  <c r="K22" i="1" s="1"/>
  <c r="I21" i="1"/>
  <c r="J21" i="1" s="1"/>
  <c r="K21" i="1" s="1"/>
  <c r="I20" i="1"/>
  <c r="J20" i="1" s="1"/>
  <c r="K20" i="1" s="1"/>
  <c r="L23" i="1" l="1"/>
  <c r="M23" i="1" s="1"/>
  <c r="J25" i="1"/>
  <c r="K25" i="1" s="1"/>
  <c r="L21" i="1"/>
  <c r="M21" i="1" s="1"/>
  <c r="L20" i="1"/>
  <c r="M20" i="1" s="1"/>
  <c r="I18" i="1"/>
  <c r="J18" i="1" s="1"/>
  <c r="K18" i="1" s="1"/>
  <c r="D18" i="1"/>
  <c r="E18" i="1" s="1"/>
  <c r="H18" i="1"/>
  <c r="F18" i="1" s="1"/>
  <c r="I19" i="1"/>
  <c r="L19" i="1" s="1"/>
  <c r="M19" i="1" s="1"/>
  <c r="H19" i="1"/>
  <c r="F19" i="1" s="1"/>
  <c r="D19" i="1"/>
  <c r="E19" i="1" s="1"/>
  <c r="I15" i="1"/>
  <c r="H17" i="1"/>
  <c r="F17" i="1" s="1"/>
  <c r="H16" i="1"/>
  <c r="F16" i="1" s="1"/>
  <c r="H15" i="1"/>
  <c r="F15" i="1" s="1"/>
  <c r="H14" i="1"/>
  <c r="F14" i="1" s="1"/>
  <c r="D17" i="1"/>
  <c r="E17" i="1" s="1"/>
  <c r="D16" i="1"/>
  <c r="E16" i="1" s="1"/>
  <c r="D15" i="1"/>
  <c r="E15" i="1" s="1"/>
  <c r="D14" i="1"/>
  <c r="E14" i="1" s="1"/>
  <c r="I17" i="1"/>
  <c r="L17" i="1" s="1"/>
  <c r="M17" i="1" s="1"/>
  <c r="J17" i="1"/>
  <c r="K17" i="1"/>
  <c r="D28" i="1"/>
  <c r="D29" i="1" s="1"/>
  <c r="E29" i="1" s="1"/>
  <c r="E28" i="1"/>
  <c r="I16" i="1"/>
  <c r="L16" i="1" s="1"/>
  <c r="M16" i="1" s="1"/>
  <c r="J15" i="1"/>
  <c r="K15" i="1" s="1"/>
  <c r="I14" i="1"/>
  <c r="J14" i="1" s="1"/>
  <c r="K14" i="1" s="1"/>
  <c r="L14" i="1" l="1"/>
  <c r="M14" i="1" s="1"/>
  <c r="L18" i="1"/>
  <c r="M18" i="1" s="1"/>
  <c r="J19" i="1"/>
  <c r="K19" i="1" s="1"/>
  <c r="J16" i="1"/>
  <c r="K16" i="1" s="1"/>
  <c r="L15" i="1"/>
  <c r="M15" i="1" s="1"/>
  <c r="D2" i="1"/>
  <c r="D4" i="1"/>
  <c r="Q6" i="1" l="1"/>
  <c r="Q7" i="1"/>
  <c r="Q8" i="1"/>
  <c r="Q9" i="1"/>
  <c r="Q10" i="1"/>
  <c r="Q11" i="1"/>
  <c r="Q12" i="1"/>
  <c r="Q13" i="1"/>
  <c r="Q14" i="1"/>
  <c r="I4" i="1"/>
  <c r="L4" i="1" s="1"/>
  <c r="M4" i="1" s="1"/>
  <c r="F4" i="1"/>
  <c r="E4" i="1"/>
  <c r="I8" i="1"/>
  <c r="J8" i="1" s="1"/>
  <c r="K8" i="1" s="1"/>
  <c r="I9" i="1"/>
  <c r="J9" i="1" s="1"/>
  <c r="K9" i="1" s="1"/>
  <c r="I10" i="1"/>
  <c r="L10" i="1" s="1"/>
  <c r="M10" i="1" s="1"/>
  <c r="I11" i="1"/>
  <c r="L11" i="1" s="1"/>
  <c r="M11" i="1" s="1"/>
  <c r="I12" i="1"/>
  <c r="J12" i="1" s="1"/>
  <c r="K12" i="1" s="1"/>
  <c r="I13" i="1"/>
  <c r="J13" i="1" s="1"/>
  <c r="K13" i="1" s="1"/>
  <c r="L12" i="1" l="1"/>
  <c r="M12" i="1" s="1"/>
  <c r="L13" i="1"/>
  <c r="M13" i="1" s="1"/>
  <c r="J4" i="1"/>
  <c r="K4" i="1" s="1"/>
  <c r="J11" i="1"/>
  <c r="K11" i="1" s="1"/>
  <c r="J10" i="1"/>
  <c r="K10" i="1" s="1"/>
  <c r="L9" i="1"/>
  <c r="M9" i="1" s="1"/>
  <c r="L8" i="1"/>
  <c r="M8" i="1" s="1"/>
  <c r="H10" i="1"/>
  <c r="F10" i="1" s="1"/>
  <c r="G10" i="1"/>
  <c r="H8" i="1"/>
  <c r="F8" i="1" s="1"/>
  <c r="G8" i="1"/>
  <c r="D8" i="1"/>
  <c r="E8" i="1" s="1"/>
  <c r="D10" i="1" l="1"/>
  <c r="E10" i="1" s="1"/>
  <c r="Q15" i="1"/>
  <c r="Q16" i="1"/>
  <c r="Q17" i="1"/>
  <c r="Q18" i="1"/>
  <c r="I3" i="1" l="1"/>
  <c r="I5" i="1"/>
  <c r="I6" i="1"/>
  <c r="I7" i="1"/>
  <c r="I2" i="1"/>
  <c r="J2" i="1" l="1"/>
  <c r="K2" i="1" s="1"/>
  <c r="L7" i="1"/>
  <c r="M7" i="1" s="1"/>
  <c r="J7" i="1"/>
  <c r="K7" i="1" s="1"/>
  <c r="L6" i="1"/>
  <c r="M6" i="1" s="1"/>
  <c r="J6" i="1"/>
  <c r="K6" i="1" s="1"/>
  <c r="J5" i="1"/>
  <c r="K5" i="1" s="1"/>
  <c r="L3" i="1"/>
  <c r="M3" i="1" s="1"/>
  <c r="J3" i="1"/>
  <c r="K3" i="1" s="1"/>
  <c r="L5" i="1"/>
  <c r="M5" i="1" s="1"/>
  <c r="L2" i="1"/>
  <c r="M2" i="1" s="1"/>
  <c r="D3" i="1"/>
  <c r="E3" i="1" s="1"/>
  <c r="H3" i="1"/>
  <c r="F3" i="1" s="1"/>
  <c r="D5" i="1"/>
  <c r="E5" i="1" s="1"/>
  <c r="H5" i="1"/>
  <c r="F5" i="1" s="1"/>
  <c r="D6" i="1"/>
  <c r="E6" i="1" s="1"/>
  <c r="H6" i="1"/>
  <c r="F6" i="1" s="1"/>
  <c r="D7" i="1"/>
  <c r="E7" i="1" s="1"/>
  <c r="H7" i="1"/>
  <c r="D9" i="1"/>
  <c r="E9" i="1" s="1"/>
  <c r="H9" i="1"/>
  <c r="D11" i="1"/>
  <c r="E11" i="1" s="1"/>
  <c r="H11" i="1"/>
  <c r="D12" i="1"/>
  <c r="E12" i="1" s="1"/>
  <c r="H12" i="1"/>
  <c r="D13" i="1"/>
  <c r="E13" i="1" s="1"/>
  <c r="H13" i="1"/>
  <c r="F2" i="1"/>
  <c r="E2" i="1"/>
  <c r="F13" i="1" l="1"/>
  <c r="F12" i="1"/>
  <c r="F11" i="1"/>
  <c r="F9" i="1"/>
  <c r="F7" i="1"/>
</calcChain>
</file>

<file path=xl/sharedStrings.xml><?xml version="1.0" encoding="utf-8"?>
<sst xmlns="http://schemas.openxmlformats.org/spreadsheetml/2006/main" count="67" uniqueCount="55">
  <si>
    <t>pv_cap_id</t>
  </si>
  <si>
    <t>kW</t>
  </si>
  <si>
    <t>$/W</t>
  </si>
  <si>
    <t>pv_capex</t>
  </si>
  <si>
    <t>inverter_cost</t>
  </si>
  <si>
    <t>inverter_life</t>
  </si>
  <si>
    <t>System $/W</t>
  </si>
  <si>
    <t>Inverter $/W</t>
  </si>
  <si>
    <t>From</t>
  </si>
  <si>
    <t>To</t>
  </si>
  <si>
    <t>Before subsidy</t>
  </si>
  <si>
    <t>number_units</t>
  </si>
  <si>
    <t>kW/unit</t>
  </si>
  <si>
    <t>pv_capex_indi</t>
  </si>
  <si>
    <t>inverter_cost_indi</t>
  </si>
  <si>
    <t>$/W_indi</t>
  </si>
  <si>
    <t>inverter $/W indi</t>
  </si>
  <si>
    <t>C_max_pv</t>
  </si>
  <si>
    <t>K_best_fit</t>
  </si>
  <si>
    <t>K_max_pv</t>
  </si>
  <si>
    <t>K_max_yield</t>
  </si>
  <si>
    <t>T_best_fit</t>
  </si>
  <si>
    <t>T_max_pv</t>
  </si>
  <si>
    <t>T_max_yield</t>
  </si>
  <si>
    <t>W_best_fit</t>
  </si>
  <si>
    <t>W_max_pv</t>
  </si>
  <si>
    <t>W_max_yield</t>
  </si>
  <si>
    <t>B_exist_micro</t>
  </si>
  <si>
    <t>C_max_pv_micro</t>
  </si>
  <si>
    <t>https</t>
  </si>
  <si>
    <t>//www.solarchoice.net.au/blog/solar-power-system-prices</t>
  </si>
  <si>
    <t>Microinverter</t>
  </si>
  <si>
    <t>Enphase Microinverter:</t>
  </si>
  <si>
    <t>NV-EP230-60</t>
  </si>
  <si>
    <t>Rainbow Power Company</t>
  </si>
  <si>
    <t>Pricelist sep 18</t>
  </si>
  <si>
    <t>plus est installation and margin</t>
  </si>
  <si>
    <t>For inverter costs see C:\Users\z5044992\Dropbox\UNSW\MARKET DATA\capex\System Price Estimates.xlsx</t>
  </si>
  <si>
    <t>180 inc GST RETAIL</t>
  </si>
  <si>
    <t>MicroInverter Replacement</t>
  </si>
  <si>
    <t>W_iu_1</t>
  </si>
  <si>
    <t>W_iu_2</t>
  </si>
  <si>
    <t>W_ic_1</t>
  </si>
  <si>
    <t>CP Ratio</t>
  </si>
  <si>
    <t>W</t>
  </si>
  <si>
    <t>W_ic_15</t>
  </si>
  <si>
    <t>W_cp30</t>
  </si>
  <si>
    <t>W_cp15</t>
  </si>
  <si>
    <t>profile based on</t>
  </si>
  <si>
    <t>abb_4</t>
  </si>
  <si>
    <t>abb_6</t>
  </si>
  <si>
    <t>abb_8</t>
  </si>
  <si>
    <t>abb_6m</t>
  </si>
  <si>
    <t>abb_8m</t>
  </si>
  <si>
    <t>abb_4m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</si>
</sst>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Border="1"/>
    <xf numFmtId="0" fontId="0" fillId="33" borderId="0" xfId="0" applyFill="1"/>
    <xf numFmtId="0" fontId="0" fillId="0" borderId="0" xfId="0" applyFill="1" applyBorder="1"/>
    <xf numFmtId="2" fontId="0" fillId="33" borderId="0" xfId="0" applyNumberFormat="1" applyFill="1"/>
    <xf numFmtId="164" fontId="0" fillId="33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0" xfId="0" applyFill="1"/>
    <xf numFmtId="2" fontId="0" fillId="0" borderId="0" xfId="0" applyNumberFormat="1"/>
    <xf numFmtId="0" fontId="0" fillId="0" borderId="0" xfId="0" applyFill="1"/>
    <xf numFmtId="0" fontId="0" fillId="35" borderId="0" xfId="0" applyFill="1"/>
    <xf numFmtId="2" fontId="0" fillId="35" borderId="0" xfId="0" applyNumberFormat="1" applyFill="1"/>
    <xf numFmtId="164" fontId="0" fillId="35" borderId="0" xfId="0" applyNumberFormat="1" applyFill="1"/>
    <xf numFmtId="164" fontId="0" fillId="0" borderId="0" xfId="0" applyNumberFormat="1"/>
    <xf numFmtId="2" fontId="0" fillId="34" borderId="0" xfId="0" applyNumberForma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capex_pv_calc!$C$2:$C$13</c:f>
              <c:numCache>
                <c:formatCode>General</c:formatCode>
                <c:ptCount val="12"/>
                <c:pt idx="0">
                  <c:v>10.4</c:v>
                </c:pt>
                <c:pt idx="1">
                  <c:v>10.5</c:v>
                </c:pt>
                <c:pt idx="2">
                  <c:v>10.5</c:v>
                </c:pt>
                <c:pt idx="3">
                  <c:v>15.5</c:v>
                </c:pt>
                <c:pt idx="4">
                  <c:v>24.5</c:v>
                </c:pt>
                <c:pt idx="5">
                  <c:v>12.5</c:v>
                </c:pt>
                <c:pt idx="6">
                  <c:v>21.5</c:v>
                </c:pt>
                <c:pt idx="7">
                  <c:v>30.75</c:v>
                </c:pt>
                <c:pt idx="8">
                  <c:v>12.75</c:v>
                </c:pt>
                <c:pt idx="9">
                  <c:v>109.5</c:v>
                </c:pt>
                <c:pt idx="10">
                  <c:v>143</c:v>
                </c:pt>
                <c:pt idx="11">
                  <c:v>74</c:v>
                </c:pt>
              </c:numCache>
            </c:numRef>
          </c:xVal>
          <c:yVal>
            <c:numRef>
              <c:f>capex_pv_calc!$K$2:$K$13</c:f>
              <c:numCache>
                <c:formatCode>0.0</c:formatCode>
                <c:ptCount val="12"/>
                <c:pt idx="0">
                  <c:v>15288</c:v>
                </c:pt>
                <c:pt idx="1">
                  <c:v>19425</c:v>
                </c:pt>
                <c:pt idx="2">
                  <c:v>19425</c:v>
                </c:pt>
                <c:pt idx="3">
                  <c:v>28675</c:v>
                </c:pt>
                <c:pt idx="4">
                  <c:v>45325</c:v>
                </c:pt>
                <c:pt idx="5">
                  <c:v>23125</c:v>
                </c:pt>
                <c:pt idx="6">
                  <c:v>39775</c:v>
                </c:pt>
                <c:pt idx="7">
                  <c:v>45202.5</c:v>
                </c:pt>
                <c:pt idx="8">
                  <c:v>23587.500000000004</c:v>
                </c:pt>
                <c:pt idx="9">
                  <c:v>190530</c:v>
                </c:pt>
                <c:pt idx="10">
                  <c:v>248820</c:v>
                </c:pt>
                <c:pt idx="11">
                  <c:v>136900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4-4500-AECB-72ED44AC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7264"/>
        <c:axId val="96226688"/>
      </c:scatterChart>
      <c:valAx>
        <c:axId val="962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26688"/>
        <c:crosses val="autoZero"/>
        <c:crossBetween val="midCat"/>
      </c:valAx>
      <c:valAx>
        <c:axId val="96226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622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26</xdr:row>
      <xdr:rowOff>52387</xdr:rowOff>
    </xdr:from>
    <xdr:to>
      <xdr:col>21</xdr:col>
      <xdr:colOff>123825</xdr:colOff>
      <xdr:row>40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workbookViewId="0">
      <selection activeCell="A23" sqref="A23:H25"/>
    </sheetView>
  </sheetViews>
  <sheetFormatPr baseColWidth="10" defaultColWidth="8.83203125" defaultRowHeight="15" x14ac:dyDescent="0.2"/>
  <cols>
    <col min="1" max="1" width="15.6640625" bestFit="1" customWidth="1"/>
    <col min="2" max="2" width="15.6640625" style="1" customWidth="1"/>
    <col min="3" max="3" width="6" bestFit="1" customWidth="1"/>
    <col min="5" max="5" width="9.33203125" bestFit="1" customWidth="1"/>
    <col min="6" max="6" width="12.6640625" bestFit="1" customWidth="1"/>
    <col min="7" max="7" width="12.1640625" bestFit="1" customWidth="1"/>
    <col min="8" max="8" width="12.33203125" bestFit="1" customWidth="1"/>
    <col min="9" max="9" width="15.6640625" style="1" customWidth="1"/>
    <col min="10" max="10" width="8.1640625" bestFit="1" customWidth="1"/>
    <col min="11" max="11" width="13.83203125" bestFit="1" customWidth="1"/>
    <col min="12" max="12" width="13.83203125" style="1" customWidth="1"/>
    <col min="13" max="13" width="14.33203125" bestFit="1" customWidth="1"/>
    <col min="14" max="14" width="15.5" bestFit="1" customWidth="1"/>
    <col min="17" max="17" width="14.33203125" bestFit="1" customWidth="1"/>
    <col min="18" max="18" width="11.5" bestFit="1" customWidth="1"/>
    <col min="19" max="19" width="12.33203125" bestFit="1" customWidth="1"/>
  </cols>
  <sheetData>
    <row r="1" spans="1:23" x14ac:dyDescent="0.2">
      <c r="A1" t="s">
        <v>0</v>
      </c>
      <c r="B1" s="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s="1" t="s">
        <v>12</v>
      </c>
      <c r="J1" s="1" t="s">
        <v>15</v>
      </c>
      <c r="K1" s="1" t="s">
        <v>13</v>
      </c>
      <c r="L1" s="1" t="s">
        <v>16</v>
      </c>
      <c r="M1" s="1" t="s">
        <v>14</v>
      </c>
      <c r="N1" t="s">
        <v>48</v>
      </c>
    </row>
    <row r="2" spans="1:23" x14ac:dyDescent="0.2">
      <c r="A2" s="1" t="s">
        <v>27</v>
      </c>
      <c r="B2" s="1">
        <v>4</v>
      </c>
      <c r="C2" s="1">
        <v>10.4</v>
      </c>
      <c r="D2" s="19">
        <f>VLOOKUP(C2,$O$6:$V$17,8,TRUE)</f>
        <v>1.33</v>
      </c>
      <c r="E2" s="19">
        <f t="shared" ref="E2" si="0">C2*D2*1000</f>
        <v>13832</v>
      </c>
      <c r="F2" s="19">
        <f t="shared" ref="F2" si="1">C2*H2*1000</f>
        <v>8944</v>
      </c>
      <c r="G2" s="19">
        <v>10</v>
      </c>
      <c r="H2" s="19">
        <v>0.86</v>
      </c>
      <c r="I2" s="20">
        <f t="shared" ref="I2" si="2">C2/B2</f>
        <v>2.6</v>
      </c>
      <c r="J2" s="19">
        <f t="shared" ref="J2:J7" si="3">VLOOKUP(I2,$O$6:$S$18,4,TRUE)</f>
        <v>1.47</v>
      </c>
      <c r="K2" s="21">
        <f t="shared" ref="K2:K7" si="4">C2*J2*1000</f>
        <v>15288</v>
      </c>
      <c r="L2" s="20">
        <f t="shared" ref="L2" si="5">VLOOKUP(I2,$O$6:$S$17,5,TRUE)</f>
        <v>0.95</v>
      </c>
      <c r="M2" s="19">
        <f t="shared" ref="M2:M7" si="6">L2*C2*1000</f>
        <v>9879.9999999999982</v>
      </c>
    </row>
    <row r="3" spans="1:23" x14ac:dyDescent="0.2">
      <c r="A3" s="1" t="s">
        <v>17</v>
      </c>
      <c r="B3" s="1">
        <v>12</v>
      </c>
      <c r="C3" s="1">
        <v>10.5</v>
      </c>
      <c r="D3" s="16">
        <f>VLOOKUP(C3,$O$6:$S$17,4,TRUE)</f>
        <v>1.21</v>
      </c>
      <c r="E3" s="16">
        <f t="shared" ref="E3:E9" si="7">C3*D3*1000</f>
        <v>12705</v>
      </c>
      <c r="F3" s="16">
        <f t="shared" ref="F3:F9" si="8">C3*H3*1000</f>
        <v>6825</v>
      </c>
      <c r="G3" s="16">
        <v>10</v>
      </c>
      <c r="H3" s="16">
        <f>VLOOKUP(C3,$O$6:$S$17,5,TRUE)</f>
        <v>0.65</v>
      </c>
      <c r="I3" s="5">
        <f>C3/B3</f>
        <v>0.875</v>
      </c>
      <c r="J3" s="3">
        <f t="shared" si="3"/>
        <v>1.85</v>
      </c>
      <c r="K3" s="6">
        <f t="shared" si="4"/>
        <v>19425</v>
      </c>
      <c r="L3" s="5">
        <f>VLOOKUP(I3,$O$6:$S$17,5,TRUE)</f>
        <v>1.1000000000000001</v>
      </c>
      <c r="M3" s="3">
        <f t="shared" si="6"/>
        <v>11550</v>
      </c>
      <c r="O3" s="17" t="s">
        <v>29</v>
      </c>
      <c r="U3" s="18" t="s">
        <v>30</v>
      </c>
    </row>
    <row r="4" spans="1:23" ht="16" thickBot="1" x14ac:dyDescent="0.25">
      <c r="A4" s="1" t="s">
        <v>28</v>
      </c>
      <c r="B4" s="1">
        <v>12</v>
      </c>
      <c r="C4" s="1">
        <v>10.5</v>
      </c>
      <c r="D4" s="19">
        <f>VLOOKUP(C4,$O$6:$V$17,8,TRUE)</f>
        <v>1.33</v>
      </c>
      <c r="E4" s="19">
        <f t="shared" si="7"/>
        <v>13965</v>
      </c>
      <c r="F4" s="19">
        <f t="shared" si="8"/>
        <v>9030</v>
      </c>
      <c r="G4" s="19">
        <v>10</v>
      </c>
      <c r="H4" s="19">
        <v>0.86</v>
      </c>
      <c r="I4" s="20">
        <f>C4/B4</f>
        <v>0.875</v>
      </c>
      <c r="J4" s="19">
        <f t="shared" si="3"/>
        <v>1.85</v>
      </c>
      <c r="K4" s="21">
        <f t="shared" si="4"/>
        <v>19425</v>
      </c>
      <c r="L4" s="20">
        <f>VLOOKUP(I4,$O$6:$S$17,5,TRUE)</f>
        <v>1.1000000000000001</v>
      </c>
      <c r="M4" s="19">
        <f t="shared" si="6"/>
        <v>11550</v>
      </c>
      <c r="U4" t="s">
        <v>31</v>
      </c>
    </row>
    <row r="5" spans="1:23" x14ac:dyDescent="0.2">
      <c r="A5" s="1" t="s">
        <v>18</v>
      </c>
      <c r="B5" s="1">
        <v>18</v>
      </c>
      <c r="C5" s="1">
        <v>15.5</v>
      </c>
      <c r="D5" s="16">
        <f>VLOOKUP(C5,$O$6:$S$17,4,TRUE)</f>
        <v>1.21</v>
      </c>
      <c r="E5" s="16">
        <f t="shared" si="7"/>
        <v>18755</v>
      </c>
      <c r="F5" s="16">
        <f t="shared" si="8"/>
        <v>10075.000000000002</v>
      </c>
      <c r="G5" s="16">
        <v>10</v>
      </c>
      <c r="H5" s="16">
        <f>VLOOKUP(C5,$O$6:$S$17,5,TRUE)</f>
        <v>0.65</v>
      </c>
      <c r="I5" s="5">
        <f>C5/B5</f>
        <v>0.86111111111111116</v>
      </c>
      <c r="J5" s="3">
        <f t="shared" si="3"/>
        <v>1.85</v>
      </c>
      <c r="K5" s="6">
        <f t="shared" si="4"/>
        <v>28675</v>
      </c>
      <c r="L5" s="5">
        <f>VLOOKUP(I5,$O$6:$S$17,5,TRUE)</f>
        <v>1.1000000000000001</v>
      </c>
      <c r="M5" s="3">
        <f t="shared" si="6"/>
        <v>17050</v>
      </c>
      <c r="O5" s="7" t="s">
        <v>8</v>
      </c>
      <c r="P5" s="8" t="s">
        <v>9</v>
      </c>
      <c r="Q5" s="8" t="s">
        <v>10</v>
      </c>
      <c r="R5" s="8" t="s">
        <v>6</v>
      </c>
      <c r="S5" s="9" t="s">
        <v>7</v>
      </c>
      <c r="U5" s="8" t="s">
        <v>10</v>
      </c>
      <c r="V5" s="8" t="s">
        <v>6</v>
      </c>
      <c r="W5" s="4" t="s">
        <v>39</v>
      </c>
    </row>
    <row r="6" spans="1:23" x14ac:dyDescent="0.2">
      <c r="A6" s="1" t="s">
        <v>19</v>
      </c>
      <c r="B6" s="1">
        <v>18</v>
      </c>
      <c r="C6" s="1">
        <v>24.5</v>
      </c>
      <c r="D6" s="16">
        <f>VLOOKUP(C6,$O$6:$S$17,4,TRUE)</f>
        <v>1.1200000000000001</v>
      </c>
      <c r="E6" s="16">
        <f t="shared" si="7"/>
        <v>27440</v>
      </c>
      <c r="F6" s="16">
        <f t="shared" si="8"/>
        <v>10290</v>
      </c>
      <c r="G6" s="16">
        <v>10</v>
      </c>
      <c r="H6" s="16">
        <f>VLOOKUP(C6,$O$6:$S$17,5,TRUE)</f>
        <v>0.42</v>
      </c>
      <c r="I6" s="5">
        <f>C6/B6</f>
        <v>1.3611111111111112</v>
      </c>
      <c r="J6" s="3">
        <f t="shared" si="3"/>
        <v>1.85</v>
      </c>
      <c r="K6" s="6">
        <f t="shared" si="4"/>
        <v>45325</v>
      </c>
      <c r="L6" s="5">
        <f>VLOOKUP(I6,$O$6:$S$17,5,TRUE)</f>
        <v>1.1000000000000001</v>
      </c>
      <c r="M6" s="3">
        <f t="shared" si="6"/>
        <v>26950.000000000004</v>
      </c>
      <c r="O6" s="10">
        <v>0</v>
      </c>
      <c r="P6" s="2">
        <v>1.5</v>
      </c>
      <c r="Q6" s="1">
        <f t="shared" ref="Q6:Q18" si="9">R6+0.65</f>
        <v>2.5</v>
      </c>
      <c r="R6">
        <v>1.85</v>
      </c>
      <c r="S6" s="11">
        <v>1.1000000000000001</v>
      </c>
      <c r="T6" s="17"/>
      <c r="U6" s="18"/>
      <c r="V6" s="18"/>
    </row>
    <row r="7" spans="1:23" x14ac:dyDescent="0.2">
      <c r="A7" s="1" t="s">
        <v>20</v>
      </c>
      <c r="B7" s="1">
        <v>18</v>
      </c>
      <c r="C7" s="1">
        <v>12.5</v>
      </c>
      <c r="D7" s="16">
        <f>VLOOKUP(C7,$O$6:$S$17,4,TRUE)</f>
        <v>1.21</v>
      </c>
      <c r="E7" s="16">
        <f t="shared" si="7"/>
        <v>15125</v>
      </c>
      <c r="F7" s="16">
        <f t="shared" si="8"/>
        <v>8125</v>
      </c>
      <c r="G7" s="16">
        <v>10</v>
      </c>
      <c r="H7" s="16">
        <f>VLOOKUP(C7,$O$6:$S$17,5,TRUE)</f>
        <v>0.65</v>
      </c>
      <c r="I7" s="5">
        <f>C7/B7</f>
        <v>0.69444444444444442</v>
      </c>
      <c r="J7" s="3">
        <f t="shared" si="3"/>
        <v>1.85</v>
      </c>
      <c r="K7" s="6">
        <f t="shared" si="4"/>
        <v>23125</v>
      </c>
      <c r="L7" s="5">
        <f>VLOOKUP(I7,$O$6:$S$17,5,TRUE)</f>
        <v>1.1000000000000001</v>
      </c>
      <c r="M7" s="3">
        <f t="shared" si="6"/>
        <v>13750.000000000002</v>
      </c>
      <c r="O7" s="10">
        <v>1.5</v>
      </c>
      <c r="P7" s="2">
        <v>2</v>
      </c>
      <c r="Q7" s="1">
        <f t="shared" si="9"/>
        <v>2.39</v>
      </c>
      <c r="R7">
        <v>1.74</v>
      </c>
      <c r="S7" s="11">
        <v>1.1000000000000001</v>
      </c>
      <c r="V7" s="18">
        <v>2.46</v>
      </c>
      <c r="W7" s="17">
        <v>0.90186666666666659</v>
      </c>
    </row>
    <row r="8" spans="1:23" x14ac:dyDescent="0.2">
      <c r="A8" s="1" t="s">
        <v>21</v>
      </c>
      <c r="B8" s="1">
        <v>15</v>
      </c>
      <c r="C8" s="1">
        <v>21.5</v>
      </c>
      <c r="D8" s="16">
        <f>VLOOKUP(C8,$O$6:$S$17,4,TRUE)</f>
        <v>1.1200000000000001</v>
      </c>
      <c r="E8" s="16">
        <f t="shared" si="7"/>
        <v>24080.000000000004</v>
      </c>
      <c r="F8" s="16">
        <f t="shared" si="8"/>
        <v>9030</v>
      </c>
      <c r="G8" s="16">
        <f>G9</f>
        <v>10</v>
      </c>
      <c r="H8" s="16">
        <f>VLOOKUP(C8,$O$6:$S$17,5,TRUE)</f>
        <v>0.42</v>
      </c>
      <c r="I8" s="5">
        <f t="shared" ref="I8:I18" si="10">C8/B8</f>
        <v>1.4333333333333333</v>
      </c>
      <c r="J8" s="3">
        <f t="shared" ref="J8:J18" si="11">VLOOKUP(I8,$O$6:$S$18,4,TRUE)</f>
        <v>1.85</v>
      </c>
      <c r="K8" s="6">
        <f t="shared" ref="K8:K18" si="12">C8*J8*1000</f>
        <v>39775</v>
      </c>
      <c r="L8" s="5">
        <f t="shared" ref="L8:L18" si="13">VLOOKUP(I8,$O$6:$S$17,5,TRUE)</f>
        <v>1.1000000000000001</v>
      </c>
      <c r="M8" s="3">
        <f t="shared" ref="M8:M18" si="14">L8*C8*1000</f>
        <v>23650.000000000004</v>
      </c>
      <c r="O8" s="10">
        <v>2</v>
      </c>
      <c r="P8" s="2">
        <v>3</v>
      </c>
      <c r="Q8" s="1">
        <f t="shared" si="9"/>
        <v>2.12</v>
      </c>
      <c r="R8" s="1">
        <v>1.47</v>
      </c>
      <c r="S8" s="11">
        <v>0.95</v>
      </c>
      <c r="T8" s="17"/>
      <c r="U8" s="18"/>
      <c r="V8" s="18">
        <v>2.29</v>
      </c>
      <c r="W8" s="17">
        <v>0.85639999999999994</v>
      </c>
    </row>
    <row r="9" spans="1:23" x14ac:dyDescent="0.2">
      <c r="A9" s="1" t="s">
        <v>22</v>
      </c>
      <c r="B9" s="1">
        <v>15</v>
      </c>
      <c r="C9" s="1">
        <v>30.75</v>
      </c>
      <c r="D9" s="16">
        <f>VLOOKUP(C9,$O$6:$S$17,4,TRUE)</f>
        <v>1.1200000000000001</v>
      </c>
      <c r="E9" s="16">
        <f t="shared" si="7"/>
        <v>34440.000000000007</v>
      </c>
      <c r="F9" s="16">
        <f t="shared" si="8"/>
        <v>12915</v>
      </c>
      <c r="G9" s="16">
        <v>10</v>
      </c>
      <c r="H9" s="16">
        <f>VLOOKUP(C9,$O$6:$S$17,5,TRUE)</f>
        <v>0.42</v>
      </c>
      <c r="I9" s="5">
        <f t="shared" si="10"/>
        <v>2.0499999999999998</v>
      </c>
      <c r="J9" s="3">
        <f t="shared" si="11"/>
        <v>1.47</v>
      </c>
      <c r="K9" s="6">
        <f t="shared" si="12"/>
        <v>45202.5</v>
      </c>
      <c r="L9" s="5">
        <f t="shared" si="13"/>
        <v>0.95</v>
      </c>
      <c r="M9" s="3">
        <f t="shared" si="14"/>
        <v>29212.5</v>
      </c>
      <c r="O9" s="10">
        <v>3.01</v>
      </c>
      <c r="P9" s="2">
        <v>4</v>
      </c>
      <c r="Q9" s="1">
        <f t="shared" si="9"/>
        <v>1.8199999999999998</v>
      </c>
      <c r="R9" s="1">
        <v>1.17</v>
      </c>
      <c r="S9" s="11">
        <v>0.8</v>
      </c>
      <c r="T9" s="17"/>
      <c r="U9" s="18"/>
      <c r="V9" s="18">
        <v>1.81</v>
      </c>
      <c r="W9" s="17">
        <v>0.85640000000000005</v>
      </c>
    </row>
    <row r="10" spans="1:23" x14ac:dyDescent="0.2">
      <c r="A10" s="1" t="s">
        <v>23</v>
      </c>
      <c r="B10" s="1">
        <v>15</v>
      </c>
      <c r="C10" s="1">
        <v>12.75</v>
      </c>
      <c r="D10" s="16">
        <f t="shared" ref="D10" si="15">VLOOKUP(C10,$O$6:$S$17,4,TRUE)</f>
        <v>1.21</v>
      </c>
      <c r="E10" s="16">
        <f t="shared" ref="E10" si="16">C10*D10*1000</f>
        <v>15427.5</v>
      </c>
      <c r="F10" s="16">
        <f t="shared" ref="F10" si="17">C10*H10*1000</f>
        <v>8287.5</v>
      </c>
      <c r="G10" s="16">
        <f>G11</f>
        <v>10</v>
      </c>
      <c r="H10" s="16">
        <f t="shared" ref="H10" si="18">VLOOKUP(C10,$O$6:$S$17,5,TRUE)</f>
        <v>0.65</v>
      </c>
      <c r="I10" s="5">
        <f t="shared" si="10"/>
        <v>0.85</v>
      </c>
      <c r="J10" s="3">
        <f t="shared" si="11"/>
        <v>1.85</v>
      </c>
      <c r="K10" s="6">
        <f t="shared" si="12"/>
        <v>23587.500000000004</v>
      </c>
      <c r="L10" s="5">
        <f t="shared" si="13"/>
        <v>1.1000000000000001</v>
      </c>
      <c r="M10" s="3">
        <f t="shared" si="14"/>
        <v>14025</v>
      </c>
      <c r="O10" s="10">
        <v>4</v>
      </c>
      <c r="P10" s="2">
        <v>5</v>
      </c>
      <c r="Q10" s="1">
        <f t="shared" si="9"/>
        <v>1.67</v>
      </c>
      <c r="R10" s="1">
        <v>1.02</v>
      </c>
      <c r="S10" s="11">
        <v>0.83</v>
      </c>
      <c r="T10" s="17"/>
      <c r="U10" s="18"/>
      <c r="V10" s="18">
        <v>1.61</v>
      </c>
      <c r="W10" s="17">
        <v>0.85639999999999994</v>
      </c>
    </row>
    <row r="11" spans="1:23" x14ac:dyDescent="0.2">
      <c r="A11" s="1" t="s">
        <v>24</v>
      </c>
      <c r="B11" s="1">
        <v>72</v>
      </c>
      <c r="C11" s="1">
        <v>109.5</v>
      </c>
      <c r="D11" s="16">
        <f>VLOOKUP(C11,$O$6:$S$17,4,TRUE)</f>
        <v>1.1399999999999999</v>
      </c>
      <c r="E11" s="16">
        <f t="shared" ref="E11:E19" si="19">C11*D11*1000</f>
        <v>124829.99999999999</v>
      </c>
      <c r="F11" s="16">
        <f t="shared" ref="F11:F19" si="20">C11*H11*1000</f>
        <v>33945</v>
      </c>
      <c r="G11" s="16">
        <v>10</v>
      </c>
      <c r="H11" s="16">
        <f>VLOOKUP(C11,$O$6:$S$17,5,TRUE)</f>
        <v>0.31</v>
      </c>
      <c r="I11" s="5">
        <f t="shared" si="10"/>
        <v>1.5208333333333333</v>
      </c>
      <c r="J11" s="3">
        <f t="shared" si="11"/>
        <v>1.74</v>
      </c>
      <c r="K11" s="6">
        <f t="shared" si="12"/>
        <v>190530</v>
      </c>
      <c r="L11" s="5">
        <f t="shared" si="13"/>
        <v>1.1000000000000001</v>
      </c>
      <c r="M11" s="3">
        <f t="shared" si="14"/>
        <v>120450</v>
      </c>
      <c r="O11" s="12">
        <v>5</v>
      </c>
      <c r="P11" s="4">
        <v>7</v>
      </c>
      <c r="Q11" s="1">
        <f t="shared" si="9"/>
        <v>1.54</v>
      </c>
      <c r="R11" s="1">
        <v>0.89</v>
      </c>
      <c r="S11" s="11">
        <v>0.65</v>
      </c>
      <c r="T11" s="17"/>
      <c r="U11" s="18"/>
      <c r="V11" s="18">
        <v>1.44</v>
      </c>
      <c r="W11" s="17">
        <v>0.85639999999999994</v>
      </c>
    </row>
    <row r="12" spans="1:23" x14ac:dyDescent="0.2">
      <c r="A12" s="1" t="s">
        <v>25</v>
      </c>
      <c r="B12" s="1">
        <v>72</v>
      </c>
      <c r="C12" s="1">
        <v>143</v>
      </c>
      <c r="D12" s="16">
        <f>VLOOKUP(C12,$O$6:$S$17,4,TRUE)</f>
        <v>1.1399999999999999</v>
      </c>
      <c r="E12" s="16">
        <f t="shared" si="19"/>
        <v>163019.99999999997</v>
      </c>
      <c r="F12" s="16">
        <f t="shared" si="20"/>
        <v>44330</v>
      </c>
      <c r="G12" s="16">
        <v>10</v>
      </c>
      <c r="H12" s="16">
        <f>VLOOKUP(C12,$O$6:$S$17,5,TRUE)</f>
        <v>0.31</v>
      </c>
      <c r="I12" s="5">
        <f t="shared" si="10"/>
        <v>1.9861111111111112</v>
      </c>
      <c r="J12" s="3">
        <f t="shared" si="11"/>
        <v>1.74</v>
      </c>
      <c r="K12" s="6">
        <f t="shared" si="12"/>
        <v>248820</v>
      </c>
      <c r="L12" s="5">
        <f t="shared" si="13"/>
        <v>1.1000000000000001</v>
      </c>
      <c r="M12" s="3">
        <f t="shared" si="14"/>
        <v>157300</v>
      </c>
      <c r="O12" s="12">
        <v>7</v>
      </c>
      <c r="P12" s="4">
        <v>10</v>
      </c>
      <c r="Q12" s="1">
        <f t="shared" si="9"/>
        <v>1.65</v>
      </c>
      <c r="R12" s="1">
        <v>1</v>
      </c>
      <c r="S12" s="11">
        <v>0.65</v>
      </c>
      <c r="T12" s="17"/>
      <c r="U12" s="18"/>
      <c r="V12" s="18">
        <v>1.4</v>
      </c>
      <c r="W12" s="17">
        <v>0.85640000000000005</v>
      </c>
    </row>
    <row r="13" spans="1:23" x14ac:dyDescent="0.2">
      <c r="A13" s="1" t="s">
        <v>26</v>
      </c>
      <c r="B13" s="1">
        <v>72</v>
      </c>
      <c r="C13" s="1">
        <v>74</v>
      </c>
      <c r="D13" s="16">
        <f>VLOOKUP(C13,$O$6:$S$17,4,TRUE)</f>
        <v>1.1399999999999999</v>
      </c>
      <c r="E13" s="16">
        <f t="shared" si="19"/>
        <v>84360</v>
      </c>
      <c r="F13" s="16">
        <f t="shared" si="20"/>
        <v>22940</v>
      </c>
      <c r="G13" s="16">
        <v>10</v>
      </c>
      <c r="H13" s="16">
        <f>VLOOKUP(C13,$O$6:$S$17,5,TRUE)</f>
        <v>0.31</v>
      </c>
      <c r="I13" s="5">
        <f t="shared" si="10"/>
        <v>1.0277777777777777</v>
      </c>
      <c r="J13" s="3">
        <f t="shared" si="11"/>
        <v>1.85</v>
      </c>
      <c r="K13" s="6">
        <f t="shared" si="12"/>
        <v>136900</v>
      </c>
      <c r="L13" s="5">
        <f t="shared" si="13"/>
        <v>1.1000000000000001</v>
      </c>
      <c r="M13" s="3">
        <f t="shared" si="14"/>
        <v>81400</v>
      </c>
      <c r="O13" s="10">
        <v>10</v>
      </c>
      <c r="P13" s="2">
        <v>20</v>
      </c>
      <c r="Q13" s="1">
        <f t="shared" si="9"/>
        <v>1.8599999999999999</v>
      </c>
      <c r="R13" s="1">
        <v>1.21</v>
      </c>
      <c r="S13" s="11">
        <v>0.65</v>
      </c>
      <c r="T13" s="17"/>
      <c r="U13" s="18"/>
      <c r="V13" s="18">
        <v>1.33</v>
      </c>
      <c r="W13" s="17">
        <v>0.85640000000000005</v>
      </c>
    </row>
    <row r="14" spans="1:23" x14ac:dyDescent="0.2">
      <c r="A14" t="s">
        <v>40</v>
      </c>
      <c r="B14" s="1">
        <v>72</v>
      </c>
      <c r="C14">
        <v>72</v>
      </c>
      <c r="D14" s="16">
        <f>VLOOKUP(1,$O$6:$S$17,4,TRUE)</f>
        <v>1.85</v>
      </c>
      <c r="E14" s="16">
        <f t="shared" si="19"/>
        <v>133200.00000000003</v>
      </c>
      <c r="F14" s="16">
        <f t="shared" si="20"/>
        <v>79200</v>
      </c>
      <c r="G14" s="16">
        <v>10</v>
      </c>
      <c r="H14" s="16">
        <f>VLOOKUP(1,$O$6:$S$17,5,TRUE)</f>
        <v>1.1000000000000001</v>
      </c>
      <c r="I14" s="5">
        <f t="shared" si="10"/>
        <v>1</v>
      </c>
      <c r="J14" s="3">
        <f t="shared" si="11"/>
        <v>1.85</v>
      </c>
      <c r="K14" s="6">
        <f t="shared" si="12"/>
        <v>133200.00000000003</v>
      </c>
      <c r="L14" s="5">
        <f t="shared" si="13"/>
        <v>1.1000000000000001</v>
      </c>
      <c r="M14" s="3">
        <f t="shared" si="14"/>
        <v>79200</v>
      </c>
      <c r="N14" t="s">
        <v>26</v>
      </c>
      <c r="O14" s="10">
        <v>20</v>
      </c>
      <c r="P14" s="2">
        <v>30</v>
      </c>
      <c r="Q14" s="1">
        <f t="shared" si="9"/>
        <v>1.77</v>
      </c>
      <c r="R14" s="1">
        <v>1.1200000000000001</v>
      </c>
      <c r="S14" s="11">
        <v>0.42</v>
      </c>
      <c r="T14" s="17"/>
      <c r="U14" s="18"/>
      <c r="V14" s="18"/>
    </row>
    <row r="15" spans="1:23" x14ac:dyDescent="0.2">
      <c r="A15" t="s">
        <v>41</v>
      </c>
      <c r="B15" s="1">
        <v>72</v>
      </c>
      <c r="C15">
        <v>143</v>
      </c>
      <c r="D15" s="16">
        <f>VLOOKUP(2,$O$6:$S$17,4,TRUE)</f>
        <v>1.47</v>
      </c>
      <c r="E15" s="16">
        <f t="shared" si="19"/>
        <v>210210</v>
      </c>
      <c r="F15" s="16">
        <f t="shared" si="20"/>
        <v>157300</v>
      </c>
      <c r="G15" s="16">
        <v>10</v>
      </c>
      <c r="H15" s="16">
        <f>VLOOKUP(1.5,$O$6:$S$17,5,TRUE)</f>
        <v>1.1000000000000001</v>
      </c>
      <c r="I15" s="5">
        <f t="shared" si="10"/>
        <v>1.9861111111111112</v>
      </c>
      <c r="J15" s="3">
        <f t="shared" si="11"/>
        <v>1.74</v>
      </c>
      <c r="K15" s="6">
        <f t="shared" si="12"/>
        <v>248820</v>
      </c>
      <c r="L15" s="5">
        <f t="shared" si="13"/>
        <v>1.1000000000000001</v>
      </c>
      <c r="M15" s="3">
        <f t="shared" si="14"/>
        <v>157300</v>
      </c>
      <c r="N15" t="s">
        <v>25</v>
      </c>
      <c r="O15" s="10">
        <v>30</v>
      </c>
      <c r="P15" s="2">
        <v>50</v>
      </c>
      <c r="Q15" s="1">
        <f t="shared" si="9"/>
        <v>1.77</v>
      </c>
      <c r="R15" s="1">
        <v>1.1200000000000001</v>
      </c>
      <c r="S15" s="11">
        <v>0.42</v>
      </c>
      <c r="T15" s="17"/>
      <c r="U15" s="18" t="s">
        <v>32</v>
      </c>
      <c r="V15" s="18"/>
    </row>
    <row r="16" spans="1:23" x14ac:dyDescent="0.2">
      <c r="A16" t="s">
        <v>42</v>
      </c>
      <c r="B16" s="1">
        <v>72</v>
      </c>
      <c r="C16">
        <v>92</v>
      </c>
      <c r="D16" s="23">
        <f>(VLOOKUP(1,$O$6:$S$17,4,TRUE)*0.784)+(VLOOKUP(20,$O$6:$S$17,4,TRUE)*0.216)</f>
        <v>1.69232</v>
      </c>
      <c r="E16" s="16">
        <f t="shared" si="19"/>
        <v>155693.44</v>
      </c>
      <c r="F16" s="16">
        <f t="shared" si="20"/>
        <v>87687.040000000008</v>
      </c>
      <c r="G16" s="16">
        <v>10</v>
      </c>
      <c r="H16" s="23">
        <f>(0.784*VLOOKUP(1,$O$6:$S$17,5,TRUE)) + (0.216*VLOOKUP(20,$O$6:$S$17,5,TRUE))</f>
        <v>0.95312000000000008</v>
      </c>
      <c r="I16" s="5">
        <f t="shared" si="10"/>
        <v>1.2777777777777777</v>
      </c>
      <c r="J16" s="3">
        <f t="shared" si="11"/>
        <v>1.85</v>
      </c>
      <c r="K16" s="6">
        <f t="shared" si="12"/>
        <v>170200.00000000003</v>
      </c>
      <c r="L16" s="5">
        <f t="shared" si="13"/>
        <v>1.1000000000000001</v>
      </c>
      <c r="M16" s="3">
        <f t="shared" si="14"/>
        <v>101200</v>
      </c>
      <c r="N16" s="1" t="s">
        <v>24</v>
      </c>
      <c r="O16" s="10">
        <v>50</v>
      </c>
      <c r="P16" s="2">
        <v>70</v>
      </c>
      <c r="Q16" s="1">
        <f t="shared" si="9"/>
        <v>1.7999999999999998</v>
      </c>
      <c r="R16" s="1">
        <v>1.1499999999999999</v>
      </c>
      <c r="S16" s="11">
        <v>0.31</v>
      </c>
      <c r="T16" s="17"/>
      <c r="U16" s="18" t="s">
        <v>33</v>
      </c>
      <c r="V16" s="18"/>
    </row>
    <row r="17" spans="1:22" x14ac:dyDescent="0.2">
      <c r="A17" t="s">
        <v>45</v>
      </c>
      <c r="B17" s="1">
        <v>72</v>
      </c>
      <c r="C17">
        <v>138</v>
      </c>
      <c r="D17" s="23">
        <f>(VLOOKUP(1.5,$O$6:$S$17,4,TRUE)*0.784)+(VLOOKUP(30,$O$6:$S$17,4,TRUE)*0.216)</f>
        <v>1.60608</v>
      </c>
      <c r="E17" s="16">
        <f t="shared" si="19"/>
        <v>221639.04000000001</v>
      </c>
      <c r="F17" s="16">
        <f t="shared" si="20"/>
        <v>131530.56</v>
      </c>
      <c r="G17" s="16">
        <v>10</v>
      </c>
      <c r="H17" s="23">
        <f>(0.784*VLOOKUP(1.5,$O$6:$S$17,5,TRUE)) + (0.216*VLOOKUP(30,$O$6:$S$17,5,TRUE))</f>
        <v>0.95312000000000008</v>
      </c>
      <c r="I17" s="5">
        <f t="shared" si="10"/>
        <v>1.9166666666666667</v>
      </c>
      <c r="J17" s="3">
        <f t="shared" si="11"/>
        <v>1.74</v>
      </c>
      <c r="K17" s="6">
        <f t="shared" si="12"/>
        <v>240120</v>
      </c>
      <c r="L17" s="5">
        <f t="shared" si="13"/>
        <v>1.1000000000000001</v>
      </c>
      <c r="M17" s="3">
        <f t="shared" si="14"/>
        <v>151800</v>
      </c>
      <c r="N17" s="1" t="s">
        <v>25</v>
      </c>
      <c r="O17" s="10">
        <v>70</v>
      </c>
      <c r="P17" s="2">
        <v>100</v>
      </c>
      <c r="Q17" s="2">
        <f t="shared" si="9"/>
        <v>1.79</v>
      </c>
      <c r="R17" s="2">
        <v>1.1399999999999999</v>
      </c>
      <c r="S17" s="11">
        <v>0.31</v>
      </c>
      <c r="T17" s="17"/>
      <c r="U17" s="18" t="s">
        <v>34</v>
      </c>
      <c r="V17" s="18"/>
    </row>
    <row r="18" spans="1:22" ht="16" thickBot="1" x14ac:dyDescent="0.25">
      <c r="A18" t="s">
        <v>46</v>
      </c>
      <c r="B18" s="1">
        <v>72</v>
      </c>
      <c r="C18">
        <v>30</v>
      </c>
      <c r="D18" s="16">
        <f>VLOOKUP(C18,$O$6:$S$17,4,TRUE)</f>
        <v>1.1200000000000001</v>
      </c>
      <c r="E18" s="16">
        <f t="shared" si="19"/>
        <v>33600</v>
      </c>
      <c r="F18" s="16">
        <f t="shared" si="20"/>
        <v>12600</v>
      </c>
      <c r="G18" s="16">
        <v>10</v>
      </c>
      <c r="H18" s="16">
        <f>VLOOKUP(C18,$O$6:$S$17,5,TRUE)</f>
        <v>0.42</v>
      </c>
      <c r="I18" s="5">
        <f t="shared" si="10"/>
        <v>0.41666666666666669</v>
      </c>
      <c r="J18" s="3">
        <f t="shared" si="11"/>
        <v>1.85</v>
      </c>
      <c r="K18" s="6">
        <f t="shared" si="12"/>
        <v>55500</v>
      </c>
      <c r="L18" s="5">
        <f t="shared" si="13"/>
        <v>1.1000000000000001</v>
      </c>
      <c r="M18" s="3">
        <f t="shared" si="14"/>
        <v>33000</v>
      </c>
      <c r="N18" s="1" t="s">
        <v>26</v>
      </c>
      <c r="O18" s="13">
        <v>100</v>
      </c>
      <c r="P18" s="14"/>
      <c r="Q18" s="14">
        <f t="shared" si="9"/>
        <v>1.73</v>
      </c>
      <c r="R18" s="14">
        <v>1.08</v>
      </c>
      <c r="S18" s="15">
        <v>0.31</v>
      </c>
      <c r="T18" s="17"/>
      <c r="U18" s="18" t="s">
        <v>35</v>
      </c>
      <c r="V18" s="18"/>
    </row>
    <row r="19" spans="1:22" x14ac:dyDescent="0.2">
      <c r="A19" t="s">
        <v>47</v>
      </c>
      <c r="B19" s="1">
        <v>72</v>
      </c>
      <c r="C19">
        <v>15</v>
      </c>
      <c r="D19" s="16">
        <f>VLOOKUP(C19,$O$6:$S$17,4,TRUE)</f>
        <v>1.21</v>
      </c>
      <c r="E19" s="16">
        <f t="shared" si="19"/>
        <v>18150</v>
      </c>
      <c r="F19" s="16">
        <f t="shared" si="20"/>
        <v>9750</v>
      </c>
      <c r="G19" s="16">
        <v>10</v>
      </c>
      <c r="H19" s="16">
        <f>VLOOKUP(C19,$O$6:$S$17,5,TRUE)</f>
        <v>0.65</v>
      </c>
      <c r="I19" s="5">
        <f t="shared" ref="I19:I22" si="21">C19/B19</f>
        <v>0.20833333333333334</v>
      </c>
      <c r="J19" s="3">
        <f t="shared" ref="J19:J22" si="22">VLOOKUP(I19,$O$6:$S$18,4,TRUE)</f>
        <v>1.85</v>
      </c>
      <c r="K19" s="6">
        <f t="shared" ref="K19:K22" si="23">C19*J19*1000</f>
        <v>27750</v>
      </c>
      <c r="L19" s="5">
        <f t="shared" ref="L19:L22" si="24">VLOOKUP(I19,$O$6:$S$17,5,TRUE)</f>
        <v>1.1000000000000001</v>
      </c>
      <c r="M19" s="3">
        <f t="shared" ref="M19:M22" si="25">L19*C19*1000</f>
        <v>16500</v>
      </c>
      <c r="N19" s="1" t="s">
        <v>26</v>
      </c>
      <c r="U19" s="18" t="s">
        <v>38</v>
      </c>
      <c r="V19" s="18" t="s">
        <v>36</v>
      </c>
    </row>
    <row r="20" spans="1:22" s="1" customFormat="1" x14ac:dyDescent="0.2">
      <c r="A20" s="1" t="s">
        <v>54</v>
      </c>
      <c r="B20" s="1">
        <v>0</v>
      </c>
      <c r="C20" s="1">
        <v>4</v>
      </c>
      <c r="D20" s="19">
        <f t="shared" ref="D20:D25" si="26">VLOOKUP(C20,$O$6:$V$17,8,TRUE)</f>
        <v>1.61</v>
      </c>
      <c r="E20" s="16">
        <f t="shared" ref="E20:E22" si="27">C20*D20*1000</f>
        <v>6440</v>
      </c>
      <c r="F20" s="16">
        <f t="shared" ref="F20:F22" si="28">C20*H20*1000</f>
        <v>3320</v>
      </c>
      <c r="G20" s="16">
        <v>10</v>
      </c>
      <c r="H20" s="16">
        <f t="shared" ref="H20:H22" si="29">VLOOKUP(C20,$O$6:$S$17,5,TRUE)</f>
        <v>0.83</v>
      </c>
      <c r="I20" s="5" t="e">
        <f t="shared" si="21"/>
        <v>#DIV/0!</v>
      </c>
      <c r="J20" s="3" t="e">
        <f t="shared" si="22"/>
        <v>#DIV/0!</v>
      </c>
      <c r="K20" s="6" t="e">
        <f t="shared" si="23"/>
        <v>#DIV/0!</v>
      </c>
      <c r="L20" s="5" t="e">
        <f t="shared" si="24"/>
        <v>#DIV/0!</v>
      </c>
      <c r="M20" s="3" t="e">
        <f t="shared" si="25"/>
        <v>#DIV/0!</v>
      </c>
    </row>
    <row r="21" spans="1:22" s="1" customFormat="1" x14ac:dyDescent="0.2">
      <c r="A21" s="24" t="s">
        <v>52</v>
      </c>
      <c r="B21" s="1">
        <v>0</v>
      </c>
      <c r="C21" s="1">
        <v>6.6</v>
      </c>
      <c r="D21" s="19">
        <f t="shared" si="26"/>
        <v>1.44</v>
      </c>
      <c r="E21" s="16">
        <f t="shared" si="27"/>
        <v>9504</v>
      </c>
      <c r="F21" s="16">
        <f t="shared" si="28"/>
        <v>4290</v>
      </c>
      <c r="G21" s="16">
        <v>10</v>
      </c>
      <c r="H21" s="16">
        <f t="shared" si="29"/>
        <v>0.65</v>
      </c>
      <c r="I21" s="5" t="e">
        <f t="shared" si="21"/>
        <v>#DIV/0!</v>
      </c>
      <c r="J21" s="3" t="e">
        <f t="shared" si="22"/>
        <v>#DIV/0!</v>
      </c>
      <c r="K21" s="6" t="e">
        <f t="shared" si="23"/>
        <v>#DIV/0!</v>
      </c>
      <c r="L21" s="5" t="e">
        <f t="shared" si="24"/>
        <v>#DIV/0!</v>
      </c>
      <c r="M21" s="3" t="e">
        <f t="shared" si="25"/>
        <v>#DIV/0!</v>
      </c>
    </row>
    <row r="22" spans="1:22" s="1" customFormat="1" x14ac:dyDescent="0.2">
      <c r="A22" s="1" t="s">
        <v>53</v>
      </c>
      <c r="B22" s="1">
        <v>0</v>
      </c>
      <c r="C22" s="1">
        <v>8.8000000000000007</v>
      </c>
      <c r="D22" s="19">
        <f t="shared" si="26"/>
        <v>1.4</v>
      </c>
      <c r="E22" s="16">
        <f t="shared" si="27"/>
        <v>12320</v>
      </c>
      <c r="F22" s="16">
        <f t="shared" si="28"/>
        <v>5720.0000000000009</v>
      </c>
      <c r="G22" s="16">
        <v>10</v>
      </c>
      <c r="H22" s="16">
        <f t="shared" si="29"/>
        <v>0.65</v>
      </c>
      <c r="I22" s="5" t="e">
        <f t="shared" si="21"/>
        <v>#DIV/0!</v>
      </c>
      <c r="J22" s="3" t="e">
        <f t="shared" si="22"/>
        <v>#DIV/0!</v>
      </c>
      <c r="K22" s="6" t="e">
        <f t="shared" si="23"/>
        <v>#DIV/0!</v>
      </c>
      <c r="L22" s="5" t="e">
        <f t="shared" si="24"/>
        <v>#DIV/0!</v>
      </c>
      <c r="M22" s="3" t="e">
        <f t="shared" si="25"/>
        <v>#DIV/0!</v>
      </c>
    </row>
    <row r="23" spans="1:22" s="1" customFormat="1" x14ac:dyDescent="0.2">
      <c r="A23" s="1" t="s">
        <v>49</v>
      </c>
      <c r="B23" s="1">
        <v>0</v>
      </c>
      <c r="C23" s="1">
        <v>4</v>
      </c>
      <c r="D23" s="16">
        <f t="shared" ref="D23:D25" si="30">VLOOKUP(C23,$O$6:$S$17,4,TRUE)</f>
        <v>1.02</v>
      </c>
      <c r="E23" s="16">
        <f t="shared" ref="E23:E25" si="31">C23*D23*1000</f>
        <v>4080</v>
      </c>
      <c r="F23" s="16">
        <f t="shared" ref="F23:F25" si="32">C23*H23*1000</f>
        <v>3320</v>
      </c>
      <c r="G23" s="16">
        <v>10</v>
      </c>
      <c r="H23" s="16">
        <f t="shared" ref="H23:H25" si="33">VLOOKUP(C23,$O$6:$S$17,5,TRUE)</f>
        <v>0.83</v>
      </c>
      <c r="I23" s="5" t="e">
        <f t="shared" ref="I23:I25" si="34">C23/B23</f>
        <v>#DIV/0!</v>
      </c>
      <c r="J23" s="3" t="e">
        <f t="shared" ref="J23:J25" si="35">VLOOKUP(I23,$O$6:$S$18,4,TRUE)</f>
        <v>#DIV/0!</v>
      </c>
      <c r="K23" s="6" t="e">
        <f t="shared" ref="K23:K25" si="36">C23*J23*1000</f>
        <v>#DIV/0!</v>
      </c>
      <c r="L23" s="5" t="e">
        <f t="shared" ref="L23:L25" si="37">VLOOKUP(I23,$O$6:$S$17,5,TRUE)</f>
        <v>#DIV/0!</v>
      </c>
      <c r="M23" s="3" t="e">
        <f t="shared" ref="M23:M25" si="38">L23*C23*1000</f>
        <v>#DIV/0!</v>
      </c>
    </row>
    <row r="24" spans="1:22" s="1" customFormat="1" x14ac:dyDescent="0.2">
      <c r="A24" s="24" t="s">
        <v>50</v>
      </c>
      <c r="B24" s="1">
        <v>0</v>
      </c>
      <c r="C24" s="1">
        <v>6.6</v>
      </c>
      <c r="D24" s="16">
        <f t="shared" si="30"/>
        <v>0.89</v>
      </c>
      <c r="E24" s="16">
        <f t="shared" si="31"/>
        <v>5874</v>
      </c>
      <c r="F24" s="16">
        <f t="shared" si="32"/>
        <v>4290</v>
      </c>
      <c r="G24" s="16">
        <v>10</v>
      </c>
      <c r="H24" s="16">
        <f t="shared" si="33"/>
        <v>0.65</v>
      </c>
      <c r="I24" s="5" t="e">
        <f t="shared" si="34"/>
        <v>#DIV/0!</v>
      </c>
      <c r="J24" s="3" t="e">
        <f t="shared" si="35"/>
        <v>#DIV/0!</v>
      </c>
      <c r="K24" s="6" t="e">
        <f t="shared" si="36"/>
        <v>#DIV/0!</v>
      </c>
      <c r="L24" s="5" t="e">
        <f t="shared" si="37"/>
        <v>#DIV/0!</v>
      </c>
      <c r="M24" s="3" t="e">
        <f t="shared" si="38"/>
        <v>#DIV/0!</v>
      </c>
    </row>
    <row r="25" spans="1:22" s="1" customFormat="1" x14ac:dyDescent="0.2">
      <c r="A25" s="1" t="s">
        <v>51</v>
      </c>
      <c r="B25" s="1">
        <v>0</v>
      </c>
      <c r="C25" s="1">
        <v>8.8000000000000007</v>
      </c>
      <c r="D25" s="16">
        <f t="shared" si="30"/>
        <v>1</v>
      </c>
      <c r="E25" s="16">
        <f t="shared" si="31"/>
        <v>8800</v>
      </c>
      <c r="F25" s="16">
        <f t="shared" si="32"/>
        <v>5720.0000000000009</v>
      </c>
      <c r="G25" s="16">
        <v>10</v>
      </c>
      <c r="H25" s="16">
        <f t="shared" si="33"/>
        <v>0.65</v>
      </c>
      <c r="I25" s="5" t="e">
        <f t="shared" si="34"/>
        <v>#DIV/0!</v>
      </c>
      <c r="J25" s="3" t="e">
        <f t="shared" si="35"/>
        <v>#DIV/0!</v>
      </c>
      <c r="K25" s="6" t="e">
        <f t="shared" si="36"/>
        <v>#DIV/0!</v>
      </c>
      <c r="L25" s="5" t="e">
        <f t="shared" si="37"/>
        <v>#DIV/0!</v>
      </c>
      <c r="M25" s="3" t="e">
        <f t="shared" si="38"/>
        <v>#DIV/0!</v>
      </c>
    </row>
    <row r="27" spans="1:22" x14ac:dyDescent="0.2">
      <c r="B27" s="1" t="s">
        <v>43</v>
      </c>
    </row>
    <row r="28" spans="1:22" x14ac:dyDescent="0.2">
      <c r="A28" s="1" t="s">
        <v>42</v>
      </c>
      <c r="B28" s="1">
        <v>21.6</v>
      </c>
      <c r="C28" t="s">
        <v>44</v>
      </c>
      <c r="D28" s="22">
        <f>(100/(100-21.6)*72)</f>
        <v>91.836734693877546</v>
      </c>
      <c r="E28" s="22">
        <f>0.216*D28</f>
        <v>19.836734693877549</v>
      </c>
    </row>
    <row r="29" spans="1:22" x14ac:dyDescent="0.2">
      <c r="A29" s="1" t="s">
        <v>45</v>
      </c>
      <c r="B29" s="1">
        <v>21.6</v>
      </c>
      <c r="C29" t="s">
        <v>44</v>
      </c>
      <c r="D29" s="22">
        <f>D28*1.5</f>
        <v>137.75510204081633</v>
      </c>
      <c r="E29" s="22">
        <f>0.216*D29</f>
        <v>29.755102040816325</v>
      </c>
    </row>
    <row r="44" spans="15:15" x14ac:dyDescent="0.2">
      <c r="O44" t="s">
        <v>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capex_pv_calc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2018-05-02T01:30:23Z</dcterms:created>
  <dcterms:modified xsi:type="dcterms:W3CDTF">2019-04-21T23:46:46Z</dcterms:modified>
</cp:coreProperties>
</file>